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7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8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9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0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1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2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3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4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5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6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7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8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19.xml" ContentType="application/vnd.openxmlformats-officedocument.drawing+xml"/>
  <Override PartName="/xl/comments2.xml" ContentType="application/vnd.openxmlformats-officedocument.spreadsheetml.comments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20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21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22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23.xml" ContentType="application/vnd.openxmlformats-officedocument.drawing+xml"/>
  <Override PartName="/xl/comments3.xml" ContentType="application/vnd.openxmlformats-officedocument.spreadsheetml.comments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24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25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26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27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28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29.xml" ContentType="application/vnd.openxmlformats-officedocument.drawing+xml"/>
  <Override PartName="/xl/comments4.xml" ContentType="application/vnd.openxmlformats-officedocument.spreadsheetml.comments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30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31.xml" ContentType="application/vnd.openxmlformats-officedocument.drawing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32.xml" ContentType="application/vnd.openxmlformats-officedocument.drawing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33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34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35.xml" ContentType="application/vnd.openxmlformats-officedocument.drawing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36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37.xml" ContentType="application/vnd.openxmlformats-officedocument.drawing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38.xml" ContentType="application/vnd.openxmlformats-officedocument.drawing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39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40.xml" ContentType="application/vnd.openxmlformats-officedocument.drawing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drawings/drawing41.xml" ContentType="application/vnd.openxmlformats-officedocument.drawing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42.xml" ContentType="application/vnd.openxmlformats-officedocument.drawing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drawings/drawing43.xml" ContentType="application/vnd.openxmlformats-officedocument.drawing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44.xml" ContentType="application/vnd.openxmlformats-officedocument.drawing+xml"/>
  <Override PartName="/xl/charts/chart86.xml" ContentType="application/vnd.openxmlformats-officedocument.drawingml.chart+xml"/>
  <Override PartName="/xl/drawings/drawing45.xml" ContentType="application/vnd.openxmlformats-officedocument.drawing+xml"/>
  <Override PartName="/xl/charts/chart87.xml" ContentType="application/vnd.openxmlformats-officedocument.drawingml.chart+xml"/>
  <Override PartName="/xl/drawings/drawing46.xml" ContentType="application/vnd.openxmlformats-officedocument.drawing+xml"/>
  <Override PartName="/xl/charts/chart88.xml" ContentType="application/vnd.openxmlformats-officedocument.drawingml.chart+xml"/>
  <Override PartName="/xl/drawings/drawing47.xml" ContentType="application/vnd.openxmlformats-officedocument.drawing+xml"/>
  <Override PartName="/xl/charts/chart89.xml" ContentType="application/vnd.openxmlformats-officedocument.drawingml.chart+xml"/>
  <Override PartName="/xl/drawings/drawing48.xml" ContentType="application/vnd.openxmlformats-officedocument.drawing+xml"/>
  <Override PartName="/xl/comments5.xml" ContentType="application/vnd.openxmlformats-officedocument.spreadsheetml.comments+xml"/>
  <Override PartName="/xl/charts/chart90.xml" ContentType="application/vnd.openxmlformats-officedocument.drawingml.chart+xml"/>
  <Override PartName="/xl/drawings/drawing49.xml" ContentType="application/vnd.openxmlformats-officedocument.drawing+xml"/>
  <Override PartName="/xl/charts/chart91.xml" ContentType="application/vnd.openxmlformats-officedocument.drawingml.chart+xml"/>
  <Override PartName="/xl/drawings/drawing50.xml" ContentType="application/vnd.openxmlformats-officedocument.drawing+xml"/>
  <Override PartName="/xl/charts/chart92.xml" ContentType="application/vnd.openxmlformats-officedocument.drawingml.chart+xml"/>
  <Override PartName="/xl/drawings/drawing51.xml" ContentType="application/vnd.openxmlformats-officedocument.drawing+xml"/>
  <Override PartName="/xl/charts/chart93.xml" ContentType="application/vnd.openxmlformats-officedocument.drawingml.chart+xml"/>
  <Override PartName="/xl/drawings/drawing52.xml" ContentType="application/vnd.openxmlformats-officedocument.drawing+xml"/>
  <Override PartName="/xl/charts/chart94.xml" ContentType="application/vnd.openxmlformats-officedocument.drawingml.chart+xml"/>
  <Override PartName="/xl/drawings/drawing53.xml" ContentType="application/vnd.openxmlformats-officedocument.drawing+xml"/>
  <Override PartName="/xl/charts/chart95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wzhang\Edison Electric Institute\EEI Energy Supply &amp; Finance - Documents\General\Projects\FINREVS\2022 Quarterlies\2022 Q1\Credit Ratings\"/>
    </mc:Choice>
  </mc:AlternateContent>
  <bookViews>
    <workbookView xWindow="0" yWindow="0" windowWidth="23040" windowHeight="8328" tabRatio="873"/>
  </bookViews>
  <sheets>
    <sheet name="II. Upgrades &amp; Downgrades" sheetId="5" r:id="rId1"/>
    <sheet name="III. Total Ratings Actions" sheetId="9" r:id="rId2"/>
    <sheet name="IV. Direction of Rating Action" sheetId="10" r:id="rId3"/>
    <sheet name="V. S&amp;P Rating by Comp. Category" sheetId="7" r:id="rId4"/>
    <sheet name="VI. Credit Ratings Scales" sheetId="6" r:id="rId5"/>
    <sheet name="Credit_2022Q1" sheetId="91" r:id="rId6"/>
    <sheet name="Credit_2021Q4" sheetId="90" r:id="rId7"/>
    <sheet name="Credit_2021Q3" sheetId="89" r:id="rId8"/>
    <sheet name="Credit_2021Q2" sheetId="88" r:id="rId9"/>
    <sheet name="Credit_2021Q1" sheetId="87" r:id="rId10"/>
    <sheet name="Credit_2020Q4" sheetId="85" r:id="rId11"/>
    <sheet name="Credit_2020Q3" sheetId="84" r:id="rId12"/>
    <sheet name="Credit_2020Q2" sheetId="83" r:id="rId13"/>
    <sheet name="Credit_2020Q1" sheetId="81" r:id="rId14"/>
    <sheet name="Credit_2019Q4" sheetId="80" r:id="rId15"/>
    <sheet name="Credit_2019Q3" sheetId="79" r:id="rId16"/>
    <sheet name="Credit_2019Q2" sheetId="76" r:id="rId17"/>
    <sheet name="Credit_2019Q1" sheetId="78" r:id="rId18"/>
    <sheet name="Credit_2018Q4" sheetId="75" r:id="rId19"/>
    <sheet name="Credit_2018Q3" sheetId="74" r:id="rId20"/>
    <sheet name="Credit_2018Q2" sheetId="73" r:id="rId21"/>
    <sheet name="Credit_2018Q1" sheetId="71" r:id="rId22"/>
    <sheet name="Credit_2017Q4" sheetId="70" r:id="rId23"/>
    <sheet name="Credit_2017Q3" sheetId="69" r:id="rId24"/>
    <sheet name="Credit_2017Q2" sheetId="68" r:id="rId25"/>
    <sheet name="Credit_2017Q1" sheetId="66" r:id="rId26"/>
    <sheet name="Credit_2016Q4" sheetId="65" r:id="rId27"/>
    <sheet name="Credit_2016Q3" sheetId="64" r:id="rId28"/>
    <sheet name="Credit_2016Q2" sheetId="63" r:id="rId29"/>
    <sheet name="Credit_2016Q1" sheetId="61" r:id="rId30"/>
    <sheet name="Credit_2015Q4" sheetId="60" r:id="rId31"/>
    <sheet name="Credit_2015Q3" sheetId="58" r:id="rId32"/>
    <sheet name="Credit_2015Q2" sheetId="57" r:id="rId33"/>
    <sheet name="Credit_2015Q1" sheetId="56" r:id="rId34"/>
    <sheet name="Credit_2014Q4" sheetId="55" r:id="rId35"/>
    <sheet name="Credit_2014Q3" sheetId="54" r:id="rId36"/>
    <sheet name="Credit_2014Q2" sheetId="52" r:id="rId37"/>
    <sheet name="Credit_2014Q1" sheetId="51" r:id="rId38"/>
    <sheet name="Credit_2013Q4" sheetId="50" r:id="rId39"/>
    <sheet name="Credit_2013Q3" sheetId="49" r:id="rId40"/>
    <sheet name="Credit_2013Q2" sheetId="43" r:id="rId41"/>
    <sheet name="Credit_2013Q1" sheetId="40" r:id="rId42"/>
    <sheet name="Credit_2012Q4" sheetId="34" r:id="rId43"/>
    <sheet name="Credit_2012Q3" sheetId="45" r:id="rId44"/>
    <sheet name="Credit_2012Q2" sheetId="46" r:id="rId45"/>
    <sheet name="Credit_2012Q1" sheetId="47" r:id="rId46"/>
    <sheet name="Credit_2011Q4" sheetId="28" r:id="rId47"/>
    <sheet name="Credit_2011Q3" sheetId="27" r:id="rId48"/>
    <sheet name="Credit_2011Q2" sheetId="26" r:id="rId49"/>
    <sheet name="Credit_2011Q1" sheetId="25" r:id="rId50"/>
    <sheet name="Credit_2010Q4" sheetId="24" r:id="rId51"/>
    <sheet name="Credit_2009Q4" sheetId="20" r:id="rId52"/>
    <sheet name="Credit_2008Q4" sheetId="16" r:id="rId53"/>
    <sheet name="Credit_2007Q4" sheetId="17" r:id="rId54"/>
    <sheet name="Credit_2006Q4" sheetId="11" r:id="rId55"/>
    <sheet name="Credit_2001Q4" sheetId="8" r:id="rId56"/>
    <sheet name="Reg_Percent_2021" sheetId="92" r:id="rId57"/>
    <sheet name="Reg_Percent_2020" sheetId="86" r:id="rId58"/>
    <sheet name="Reg_Percent_2019" sheetId="82" r:id="rId59"/>
    <sheet name="Reg_Percent_2018" sheetId="77" r:id="rId60"/>
    <sheet name="Reg_Percent_2017" sheetId="72" r:id="rId61"/>
    <sheet name="Reg_Percent_2016" sheetId="67" r:id="rId62"/>
    <sheet name="Reg_Percent_2015" sheetId="62" r:id="rId63"/>
    <sheet name="Reg_Percent_2014" sheetId="59" r:id="rId64"/>
    <sheet name="Reg_Percent_2013" sheetId="53" r:id="rId65"/>
    <sheet name="Reg_Percent_2012" sheetId="44" r:id="rId66"/>
    <sheet name="Reg_Percent_2011" sheetId="38" r:id="rId67"/>
    <sheet name="Reg_Percent_2010" sheetId="48" r:id="rId68"/>
    <sheet name="Scale" sheetId="41" r:id="rId69"/>
  </sheets>
  <externalReferences>
    <externalReference r:id="rId70"/>
    <externalReference r:id="rId71"/>
    <externalReference r:id="rId72"/>
  </externalReferences>
  <definedNames>
    <definedName name="Format_Date">[1]Settings!$C$11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Label_Date_Asset">[1]Settings!$C$5</definedName>
    <definedName name="Label_Date_EOP_current">[1]Settings!$C$7</definedName>
    <definedName name="Label_Date_EOP_last">[1]Settings!$C$9</definedName>
    <definedName name="rating_scale_Fitch">Scale!$M$5:$M$30</definedName>
    <definedName name="rating_scale_Moody">Scale!$D$9:$D$29</definedName>
    <definedName name="rating_scale_SP">Scale!$I$5:$I$30</definedName>
    <definedName name="rating_scale_SP_invest">Scale!$I$9:$I$30</definedName>
    <definedName name="Sept03SharesOut">'[2]Shareholder Trends'!$G$1637</definedName>
    <definedName name="Sept04SharesOut">'[2]Shareholder Trends'!$G$746</definedName>
    <definedName name="Settings_As_Of">[3]Settings!$C$42</definedName>
    <definedName name="Settings_End_Date">[3]Settings!$C$44</definedName>
    <definedName name="Settings_Sheet_Toggle">[3]Settings!$C$5:$C$16</definedName>
    <definedName name="Settings_Sheet_Toggle_Extreme">[3]Settings!$C$20:$C$31</definedName>
  </definedNames>
  <calcPr calcId="162913" calcMode="manual" calcCompleted="0" calcOnSave="0"/>
</workbook>
</file>

<file path=xl/calcChain.xml><?xml version="1.0" encoding="utf-8"?>
<calcChain xmlns="http://schemas.openxmlformats.org/spreadsheetml/2006/main">
  <c r="CM31" i="7" l="1"/>
  <c r="CM21" i="7"/>
  <c r="CM11" i="7"/>
  <c r="CM7" i="7"/>
  <c r="BM11" i="7"/>
  <c r="BM7" i="7"/>
  <c r="X12" i="10" l="1"/>
  <c r="X11" i="10"/>
  <c r="X14" i="10" s="1"/>
  <c r="X14" i="9"/>
  <c r="W14" i="9"/>
  <c r="X13" i="10" l="1"/>
  <c r="CJ62" i="5" l="1"/>
  <c r="CI62" i="5"/>
  <c r="CH62" i="5"/>
  <c r="CJ61" i="5"/>
  <c r="CJ63" i="5" s="1"/>
  <c r="CI61" i="5"/>
  <c r="CI63" i="5" s="1"/>
  <c r="CH61" i="5"/>
  <c r="CH63" i="5" s="1"/>
  <c r="CK57" i="5"/>
  <c r="CJ57" i="5"/>
  <c r="CK62" i="5" s="1"/>
  <c r="CI57" i="5"/>
  <c r="CH57" i="5"/>
  <c r="CK56" i="5"/>
  <c r="CK58" i="5" s="1"/>
  <c r="CJ56" i="5"/>
  <c r="CJ58" i="5" s="1"/>
  <c r="CI56" i="5"/>
  <c r="CI58" i="5" s="1"/>
  <c r="CH56" i="5"/>
  <c r="CH58" i="5" s="1"/>
  <c r="CK47" i="5"/>
  <c r="CJ47" i="5"/>
  <c r="CI47" i="5"/>
  <c r="CH47" i="5"/>
  <c r="CK46" i="5"/>
  <c r="CK52" i="5" s="1"/>
  <c r="CJ46" i="5"/>
  <c r="CJ52" i="5" s="1"/>
  <c r="CI46" i="5"/>
  <c r="CI52" i="5" s="1"/>
  <c r="CH46" i="5"/>
  <c r="CH52" i="5" s="1"/>
  <c r="CK45" i="5"/>
  <c r="CJ45" i="5"/>
  <c r="CI45" i="5"/>
  <c r="CH45" i="5"/>
  <c r="CK44" i="5"/>
  <c r="CK51" i="5" s="1"/>
  <c r="CJ44" i="5"/>
  <c r="CJ51" i="5" s="1"/>
  <c r="CJ53" i="5" s="1"/>
  <c r="CI44" i="5"/>
  <c r="CI51" i="5" s="1"/>
  <c r="CI53" i="5" s="1"/>
  <c r="CH44" i="5"/>
  <c r="CH51" i="5" s="1"/>
  <c r="CH53" i="5" s="1"/>
  <c r="CK43" i="5"/>
  <c r="CJ43" i="5"/>
  <c r="CI43" i="5"/>
  <c r="CH43" i="5"/>
  <c r="CK42" i="5"/>
  <c r="CK50" i="5" s="1"/>
  <c r="CJ42" i="5"/>
  <c r="CJ50" i="5" s="1"/>
  <c r="CI42" i="5"/>
  <c r="CI50" i="5" s="1"/>
  <c r="CH42" i="5"/>
  <c r="CH50" i="5" s="1"/>
  <c r="CK53" i="5" l="1"/>
  <c r="CK61" i="5"/>
  <c r="CK63" i="5" s="1"/>
  <c r="C68" i="91"/>
  <c r="B68" i="91" s="1"/>
  <c r="AH67" i="91"/>
  <c r="AG67" i="91"/>
  <c r="AF67" i="91"/>
  <c r="AH66" i="91"/>
  <c r="AG66" i="91"/>
  <c r="AF66" i="91"/>
  <c r="AH65" i="91"/>
  <c r="AG65" i="91"/>
  <c r="AF65" i="91"/>
  <c r="AH64" i="91"/>
  <c r="AG64" i="91"/>
  <c r="AF64" i="91"/>
  <c r="BI63" i="91"/>
  <c r="BH63" i="91"/>
  <c r="BG63" i="91"/>
  <c r="BF63" i="91"/>
  <c r="AV63" i="91"/>
  <c r="AH63" i="91"/>
  <c r="AG63" i="91"/>
  <c r="AF63" i="91"/>
  <c r="AV62" i="91"/>
  <c r="AH62" i="91"/>
  <c r="AG62" i="91"/>
  <c r="AF62" i="91"/>
  <c r="G62" i="91"/>
  <c r="AV61" i="91"/>
  <c r="AV60" i="91"/>
  <c r="AH60" i="91"/>
  <c r="AG60" i="91"/>
  <c r="AF60" i="91"/>
  <c r="AF61" i="91" s="1"/>
  <c r="G60" i="91"/>
  <c r="E60" i="91" s="1"/>
  <c r="AV59" i="91"/>
  <c r="AH59" i="91"/>
  <c r="AG59" i="91"/>
  <c r="AF59" i="91"/>
  <c r="G59" i="91"/>
  <c r="E59" i="91" s="1"/>
  <c r="AV58" i="91"/>
  <c r="AH58" i="91"/>
  <c r="AG58" i="91"/>
  <c r="AF58" i="91"/>
  <c r="G58" i="91"/>
  <c r="AV57" i="91"/>
  <c r="AH57" i="91"/>
  <c r="AG57" i="91"/>
  <c r="AF57" i="91"/>
  <c r="G57" i="91"/>
  <c r="AV56" i="91"/>
  <c r="AH56" i="91"/>
  <c r="AG56" i="91"/>
  <c r="AF56" i="91"/>
  <c r="G56" i="91"/>
  <c r="AV55" i="91"/>
  <c r="AH55" i="91"/>
  <c r="AG55" i="91"/>
  <c r="AF55" i="91"/>
  <c r="G55" i="91"/>
  <c r="AV54" i="91"/>
  <c r="AH54" i="91"/>
  <c r="AG54" i="91"/>
  <c r="AF54" i="91"/>
  <c r="G54" i="91"/>
  <c r="AV53" i="91"/>
  <c r="AH53" i="91"/>
  <c r="AG53" i="91"/>
  <c r="AF53" i="91"/>
  <c r="G53" i="91"/>
  <c r="AV52" i="91"/>
  <c r="AH52" i="91"/>
  <c r="AG52" i="91"/>
  <c r="AF52" i="91"/>
  <c r="AV51" i="91"/>
  <c r="AH51" i="91"/>
  <c r="AG51" i="91"/>
  <c r="AF51" i="91"/>
  <c r="AV50" i="91"/>
  <c r="AH50" i="91"/>
  <c r="AG50" i="91"/>
  <c r="AF50" i="91"/>
  <c r="AV49" i="91"/>
  <c r="AV48" i="91"/>
  <c r="AV47" i="91"/>
  <c r="AV46" i="91"/>
  <c r="AV45" i="91"/>
  <c r="AV44" i="91"/>
  <c r="AV43" i="91"/>
  <c r="AV42" i="91"/>
  <c r="AV41" i="91"/>
  <c r="AV40" i="91"/>
  <c r="AV39" i="91"/>
  <c r="AV38" i="91"/>
  <c r="AV37" i="91"/>
  <c r="AV36" i="91"/>
  <c r="AV35" i="91"/>
  <c r="AV34" i="91"/>
  <c r="AV33" i="91"/>
  <c r="AV32" i="91"/>
  <c r="AV31" i="91"/>
  <c r="AV30" i="91"/>
  <c r="AV29" i="91"/>
  <c r="AV28" i="91"/>
  <c r="AV27" i="91"/>
  <c r="AV26" i="91"/>
  <c r="AV25" i="91"/>
  <c r="AV24" i="91"/>
  <c r="AV23" i="91"/>
  <c r="AV22" i="91"/>
  <c r="AV21" i="91"/>
  <c r="AV20" i="91"/>
  <c r="AV19" i="91"/>
  <c r="AV18" i="91"/>
  <c r="AV17" i="91"/>
  <c r="AV16" i="91"/>
  <c r="L16" i="91" a="1"/>
  <c r="L16" i="91" s="1"/>
  <c r="AV15" i="91"/>
  <c r="AV14" i="91"/>
  <c r="AV13" i="91"/>
  <c r="L13" i="91"/>
  <c r="AV12" i="91"/>
  <c r="L12" i="91"/>
  <c r="AV11" i="91"/>
  <c r="L11" i="91"/>
  <c r="AV10" i="91"/>
  <c r="L10" i="91"/>
  <c r="AV9" i="91"/>
  <c r="L9" i="91"/>
  <c r="AV8" i="91"/>
  <c r="L8" i="91"/>
  <c r="BC7" i="91"/>
  <c r="AV7" i="91"/>
  <c r="AF7" i="91"/>
  <c r="AF8" i="91" s="1"/>
  <c r="AF9" i="91" s="1"/>
  <c r="AF10" i="91" s="1"/>
  <c r="AF11" i="91" s="1"/>
  <c r="AF12" i="91" s="1"/>
  <c r="AF13" i="91" s="1"/>
  <c r="AF14" i="91" s="1"/>
  <c r="AF15" i="91" s="1"/>
  <c r="AF16" i="91" s="1"/>
  <c r="AF17" i="91" s="1"/>
  <c r="AF18" i="91" s="1"/>
  <c r="AF19" i="91" s="1"/>
  <c r="AF20" i="91" s="1"/>
  <c r="AF21" i="91" s="1"/>
  <c r="AF22" i="91" s="1"/>
  <c r="AF23" i="91" s="1"/>
  <c r="AF24" i="91" s="1"/>
  <c r="AF25" i="91" s="1"/>
  <c r="AF26" i="91" s="1"/>
  <c r="AF27" i="91" s="1"/>
  <c r="AF28" i="91" s="1"/>
  <c r="AF29" i="91" s="1"/>
  <c r="AF30" i="91" s="1"/>
  <c r="AF31" i="91" s="1"/>
  <c r="AF32" i="91" s="1"/>
  <c r="AF33" i="91" s="1"/>
  <c r="AF34" i="91" s="1"/>
  <c r="AF35" i="91" s="1"/>
  <c r="AF36" i="91" s="1"/>
  <c r="AF37" i="91" s="1"/>
  <c r="AF38" i="91" s="1"/>
  <c r="AF39" i="91" s="1"/>
  <c r="AF40" i="91" s="1"/>
  <c r="AF41" i="91" s="1"/>
  <c r="AF42" i="91" s="1"/>
  <c r="AF43" i="91" s="1"/>
  <c r="AF44" i="91" s="1"/>
  <c r="AF45" i="91" s="1"/>
  <c r="AF46" i="91" s="1"/>
  <c r="AF47" i="91" s="1"/>
  <c r="AF48" i="91" s="1"/>
  <c r="AF49" i="91" s="1"/>
  <c r="AL4" i="91"/>
  <c r="AK4" i="91"/>
  <c r="AK2" i="91" s="1"/>
  <c r="AJ4" i="91"/>
  <c r="AJ2" i="91" s="1"/>
  <c r="G3" i="91"/>
  <c r="AL2" i="91"/>
  <c r="E2" i="91"/>
  <c r="E3" i="91" s="1"/>
  <c r="A1" i="91"/>
  <c r="G7" i="91"/>
  <c r="AJ7" i="91"/>
  <c r="AJ10" i="91"/>
  <c r="E6" i="91"/>
  <c r="AJ9" i="91"/>
  <c r="AW9" i="91" l="1"/>
  <c r="AX9" i="91" s="1"/>
  <c r="AW11" i="91"/>
  <c r="AX11" i="91" s="1"/>
  <c r="AW10" i="91"/>
  <c r="AW12" i="91"/>
  <c r="AX12" i="91" s="1"/>
  <c r="AW15" i="91"/>
  <c r="AX15" i="91" s="1"/>
  <c r="AW18" i="91"/>
  <c r="AX18" i="91" s="1"/>
  <c r="AW22" i="91"/>
  <c r="AW13" i="91"/>
  <c r="AX13" i="91" s="1"/>
  <c r="AW34" i="91"/>
  <c r="AX34" i="91" s="1"/>
  <c r="BC8" i="91"/>
  <c r="AX10" i="91"/>
  <c r="AW14" i="91"/>
  <c r="AX14" i="91" s="1"/>
  <c r="AW19" i="91"/>
  <c r="AX19" i="91" s="1"/>
  <c r="AX22" i="91"/>
  <c r="AW24" i="91"/>
  <c r="AX24" i="91" s="1"/>
  <c r="AW42" i="91"/>
  <c r="AX42" i="91" s="1"/>
  <c r="L14" i="91"/>
  <c r="M10" i="91" s="1"/>
  <c r="AW16" i="91"/>
  <c r="AX16" i="91" s="1"/>
  <c r="AW21" i="91"/>
  <c r="AX21" i="91" s="1"/>
  <c r="AW30" i="91"/>
  <c r="C77" i="91"/>
  <c r="AW7" i="91"/>
  <c r="AX7" i="91" s="1"/>
  <c r="AW8" i="91"/>
  <c r="AX8" i="91" s="1"/>
  <c r="AW20" i="91"/>
  <c r="AW23" i="91"/>
  <c r="AX23" i="91" s="1"/>
  <c r="AW25" i="91"/>
  <c r="AW62" i="91"/>
  <c r="AX62" i="91" s="1"/>
  <c r="AW59" i="91"/>
  <c r="AX59" i="91" s="1"/>
  <c r="AW51" i="91"/>
  <c r="AW60" i="91"/>
  <c r="AX60" i="91" s="1"/>
  <c r="AW57" i="91"/>
  <c r="AX57" i="91" s="1"/>
  <c r="AW55" i="91"/>
  <c r="AX55" i="91" s="1"/>
  <c r="AW53" i="91"/>
  <c r="AX53" i="91" s="1"/>
  <c r="AW50" i="91"/>
  <c r="AX50" i="91" s="1"/>
  <c r="AW43" i="91"/>
  <c r="AX43" i="91" s="1"/>
  <c r="AW40" i="91"/>
  <c r="AX40" i="91" s="1"/>
  <c r="AW36" i="91"/>
  <c r="AX36" i="91" s="1"/>
  <c r="AW32" i="91"/>
  <c r="AX32" i="91" s="1"/>
  <c r="AW28" i="91"/>
  <c r="AX28" i="91" s="1"/>
  <c r="AW39" i="91"/>
  <c r="AX39" i="91" s="1"/>
  <c r="AW35" i="91"/>
  <c r="AX35" i="91" s="1"/>
  <c r="AW31" i="91"/>
  <c r="AX31" i="91" s="1"/>
  <c r="AW17" i="91"/>
  <c r="AX17" i="91" s="1"/>
  <c r="AX20" i="91"/>
  <c r="AW26" i="91"/>
  <c r="AX26" i="91" s="1"/>
  <c r="AW38" i="91"/>
  <c r="AX38" i="91" s="1"/>
  <c r="AW45" i="91"/>
  <c r="AX45" i="91" s="1"/>
  <c r="AW49" i="91"/>
  <c r="AX49" i="91" s="1"/>
  <c r="AX51" i="91"/>
  <c r="AX25" i="91"/>
  <c r="AW27" i="91"/>
  <c r="AX27" i="91" s="1"/>
  <c r="AW29" i="91"/>
  <c r="AX29" i="91" s="1"/>
  <c r="AW33" i="91"/>
  <c r="AX33" i="91" s="1"/>
  <c r="AW37" i="91"/>
  <c r="AX37" i="91" s="1"/>
  <c r="AW41" i="91"/>
  <c r="AX41" i="91" s="1"/>
  <c r="AX30" i="91"/>
  <c r="AW44" i="91"/>
  <c r="AX44" i="91" s="1"/>
  <c r="AW47" i="91"/>
  <c r="AX47" i="91" s="1"/>
  <c r="AW61" i="91"/>
  <c r="AX61" i="91" s="1"/>
  <c r="AW48" i="91"/>
  <c r="AX48" i="91" s="1"/>
  <c r="AW46" i="91"/>
  <c r="AX46" i="91" s="1"/>
  <c r="AW52" i="91"/>
  <c r="AX52" i="91" s="1"/>
  <c r="AW54" i="91"/>
  <c r="AX54" i="91" s="1"/>
  <c r="AW56" i="91"/>
  <c r="AX56" i="91" s="1"/>
  <c r="AW58" i="91"/>
  <c r="AX58" i="91" s="1"/>
  <c r="AW63" i="91"/>
  <c r="AX63" i="91" s="1"/>
  <c r="C68" i="90"/>
  <c r="B68" i="90" s="1"/>
  <c r="AH67" i="90"/>
  <c r="AG67" i="90"/>
  <c r="AF67" i="90"/>
  <c r="AH66" i="90"/>
  <c r="AG66" i="90"/>
  <c r="AF66" i="90"/>
  <c r="AH65" i="90"/>
  <c r="AG65" i="90"/>
  <c r="AF65" i="90"/>
  <c r="AH64" i="90"/>
  <c r="AG64" i="90"/>
  <c r="AF64" i="90"/>
  <c r="BI63" i="90"/>
  <c r="BH63" i="90"/>
  <c r="BG63" i="90"/>
  <c r="BF63" i="90"/>
  <c r="AV63" i="90"/>
  <c r="AH63" i="90"/>
  <c r="AG63" i="90"/>
  <c r="AF63" i="90"/>
  <c r="AV62" i="90"/>
  <c r="AH62" i="90"/>
  <c r="AG62" i="90"/>
  <c r="AF62" i="90"/>
  <c r="G62" i="90"/>
  <c r="AV61" i="90"/>
  <c r="AV60" i="90"/>
  <c r="AH60" i="90"/>
  <c r="AG60" i="90"/>
  <c r="AF60" i="90"/>
  <c r="AF61" i="90" s="1"/>
  <c r="G60" i="90"/>
  <c r="E60" i="90" s="1"/>
  <c r="AV59" i="90"/>
  <c r="AH59" i="90"/>
  <c r="AG59" i="90"/>
  <c r="AF59" i="90"/>
  <c r="G59" i="90"/>
  <c r="E59" i="90" s="1"/>
  <c r="AV58" i="90"/>
  <c r="AH58" i="90"/>
  <c r="AG58" i="90"/>
  <c r="AF58" i="90"/>
  <c r="G58" i="90"/>
  <c r="AV57" i="90"/>
  <c r="AH57" i="90"/>
  <c r="AG57" i="90"/>
  <c r="AF57" i="90"/>
  <c r="G57" i="90"/>
  <c r="AV56" i="90"/>
  <c r="AH56" i="90"/>
  <c r="AG56" i="90"/>
  <c r="AF56" i="90"/>
  <c r="G56" i="90"/>
  <c r="AV55" i="90"/>
  <c r="AH55" i="90"/>
  <c r="AG55" i="90"/>
  <c r="AF55" i="90"/>
  <c r="G55" i="90"/>
  <c r="AV54" i="90"/>
  <c r="AH54" i="90"/>
  <c r="AG54" i="90"/>
  <c r="AF54" i="90"/>
  <c r="G54" i="90"/>
  <c r="AV53" i="90"/>
  <c r="AH53" i="90"/>
  <c r="AG53" i="90"/>
  <c r="AF53" i="90"/>
  <c r="G53" i="90"/>
  <c r="AV52" i="90"/>
  <c r="AH52" i="90"/>
  <c r="AG52" i="90"/>
  <c r="AF52" i="90"/>
  <c r="AV51" i="90"/>
  <c r="AH51" i="90"/>
  <c r="AG51" i="90"/>
  <c r="AF51" i="90"/>
  <c r="AV50" i="90"/>
  <c r="AH50" i="90"/>
  <c r="AG50" i="90"/>
  <c r="AF50" i="90"/>
  <c r="AV49" i="90"/>
  <c r="AV48" i="90"/>
  <c r="AV47" i="90"/>
  <c r="AV46" i="90"/>
  <c r="AV45" i="90"/>
  <c r="AV44" i="90"/>
  <c r="AV43" i="90"/>
  <c r="AV42" i="90"/>
  <c r="AV41" i="90"/>
  <c r="AV40" i="90"/>
  <c r="AV39" i="90"/>
  <c r="AV38" i="90"/>
  <c r="AV37" i="90"/>
  <c r="AV36" i="90"/>
  <c r="AV35" i="90"/>
  <c r="AV34" i="90"/>
  <c r="AV33" i="90"/>
  <c r="AV32" i="90"/>
  <c r="AV31" i="90"/>
  <c r="AV30" i="90"/>
  <c r="AV29" i="90"/>
  <c r="AV28" i="90"/>
  <c r="AV27" i="90"/>
  <c r="AV26" i="90"/>
  <c r="AV25" i="90"/>
  <c r="AV24" i="90"/>
  <c r="AV23" i="90"/>
  <c r="AV22" i="90"/>
  <c r="AV21" i="90"/>
  <c r="AV20" i="90"/>
  <c r="AV19" i="90"/>
  <c r="AV18" i="90"/>
  <c r="AV17" i="90"/>
  <c r="AV16" i="90"/>
  <c r="L16" i="90" a="1"/>
  <c r="L16" i="90" s="1"/>
  <c r="AV15" i="90"/>
  <c r="AV14" i="90"/>
  <c r="AV13" i="90"/>
  <c r="L13" i="90"/>
  <c r="AV12" i="90"/>
  <c r="L12" i="90"/>
  <c r="AV11" i="90"/>
  <c r="L11" i="90"/>
  <c r="AV10" i="90"/>
  <c r="L10" i="90"/>
  <c r="AV9" i="90"/>
  <c r="L9" i="90"/>
  <c r="AV8" i="90"/>
  <c r="L8" i="90"/>
  <c r="BC7" i="90"/>
  <c r="BC8" i="90" s="1"/>
  <c r="BC9" i="90" s="1"/>
  <c r="BC10" i="90" s="1"/>
  <c r="AV7" i="90"/>
  <c r="AF7" i="90"/>
  <c r="AF8" i="90" s="1"/>
  <c r="AF9" i="90" s="1"/>
  <c r="AF10" i="90" s="1"/>
  <c r="AF11" i="90" s="1"/>
  <c r="AF12" i="90" s="1"/>
  <c r="AF13" i="90" s="1"/>
  <c r="AF14" i="90" s="1"/>
  <c r="AF15" i="90" s="1"/>
  <c r="AF16" i="90" s="1"/>
  <c r="AF17" i="90" s="1"/>
  <c r="AF18" i="90" s="1"/>
  <c r="AF19" i="90" s="1"/>
  <c r="AF20" i="90" s="1"/>
  <c r="AF21" i="90" s="1"/>
  <c r="AF22" i="90" s="1"/>
  <c r="AF23" i="90" s="1"/>
  <c r="AF24" i="90" s="1"/>
  <c r="AF25" i="90" s="1"/>
  <c r="AF26" i="90" s="1"/>
  <c r="AF27" i="90" s="1"/>
  <c r="AF28" i="90" s="1"/>
  <c r="AF29" i="90" s="1"/>
  <c r="AF30" i="90" s="1"/>
  <c r="AF31" i="90" s="1"/>
  <c r="AF32" i="90" s="1"/>
  <c r="AF33" i="90" s="1"/>
  <c r="AF34" i="90" s="1"/>
  <c r="AF35" i="90" s="1"/>
  <c r="AF36" i="90" s="1"/>
  <c r="AF37" i="90" s="1"/>
  <c r="AF38" i="90" s="1"/>
  <c r="AF39" i="90" s="1"/>
  <c r="AF40" i="90" s="1"/>
  <c r="AF41" i="90" s="1"/>
  <c r="AF42" i="90" s="1"/>
  <c r="AF43" i="90" s="1"/>
  <c r="AF44" i="90" s="1"/>
  <c r="AF45" i="90" s="1"/>
  <c r="AF46" i="90" s="1"/>
  <c r="AF47" i="90" s="1"/>
  <c r="AF48" i="90" s="1"/>
  <c r="AF49" i="90" s="1"/>
  <c r="AL4" i="90"/>
  <c r="AL2" i="90" s="1"/>
  <c r="AK4" i="90"/>
  <c r="AK2" i="90" s="1"/>
  <c r="AJ4" i="90"/>
  <c r="AJ2" i="90" s="1"/>
  <c r="G3" i="90"/>
  <c r="E2" i="90"/>
  <c r="E3" i="90" s="1"/>
  <c r="A1" i="90"/>
  <c r="E6" i="90"/>
  <c r="G15" i="90"/>
  <c r="AJ37" i="91"/>
  <c r="G61" i="91"/>
  <c r="G30" i="91"/>
  <c r="G14" i="91"/>
  <c r="AJ33" i="91"/>
  <c r="AJ63" i="91"/>
  <c r="AJ32" i="91"/>
  <c r="AJ41" i="91"/>
  <c r="AJ48" i="91"/>
  <c r="AJ47" i="91"/>
  <c r="AJ30" i="91"/>
  <c r="AL9" i="91"/>
  <c r="G42" i="91"/>
  <c r="G16" i="91"/>
  <c r="G35" i="91"/>
  <c r="G33" i="91"/>
  <c r="G22" i="91"/>
  <c r="AJ26" i="91"/>
  <c r="AJ45" i="91"/>
  <c r="AJ40" i="91"/>
  <c r="AJ15" i="91"/>
  <c r="AJ53" i="91"/>
  <c r="AJ19" i="91"/>
  <c r="G44" i="91"/>
  <c r="G34" i="91"/>
  <c r="G13" i="91"/>
  <c r="AJ36" i="91"/>
  <c r="AJ24" i="91"/>
  <c r="AJ35" i="91"/>
  <c r="AJ66" i="91"/>
  <c r="G36" i="91"/>
  <c r="G23" i="91"/>
  <c r="AJ21" i="91"/>
  <c r="AJ43" i="91"/>
  <c r="AJ39" i="91"/>
  <c r="AL10" i="91"/>
  <c r="G9" i="91"/>
  <c r="AJ8" i="91"/>
  <c r="G43" i="91"/>
  <c r="G41" i="91"/>
  <c r="G20" i="91"/>
  <c r="AJ60" i="91"/>
  <c r="AJ52" i="91"/>
  <c r="AJ27" i="91"/>
  <c r="G18" i="91"/>
  <c r="AJ49" i="91"/>
  <c r="AJ31" i="91"/>
  <c r="AJ20" i="91"/>
  <c r="G49" i="91"/>
  <c r="G27" i="91"/>
  <c r="G25" i="91"/>
  <c r="AK9" i="91"/>
  <c r="G32" i="91"/>
  <c r="G8" i="91"/>
  <c r="AJ29" i="91"/>
  <c r="AJ11" i="91"/>
  <c r="AJ56" i="91"/>
  <c r="AJ23" i="91"/>
  <c r="AJ12" i="91"/>
  <c r="AJ64" i="91"/>
  <c r="AJ17" i="91"/>
  <c r="G47" i="91"/>
  <c r="G19" i="91"/>
  <c r="AJ67" i="91"/>
  <c r="AJ38" i="91"/>
  <c r="AJ42" i="91"/>
  <c r="AJ14" i="91"/>
  <c r="AL7" i="91"/>
  <c r="G29" i="91"/>
  <c r="AJ65" i="91"/>
  <c r="G46" i="91"/>
  <c r="AJ61" i="91"/>
  <c r="AJ57" i="91"/>
  <c r="AJ46" i="91"/>
  <c r="G11" i="91"/>
  <c r="G45" i="91"/>
  <c r="AJ16" i="91"/>
  <c r="AJ44" i="91"/>
  <c r="G21" i="91"/>
  <c r="G28" i="91"/>
  <c r="AK7" i="91"/>
  <c r="G40" i="91"/>
  <c r="G26" i="91"/>
  <c r="AJ13" i="91"/>
  <c r="AJ50" i="91"/>
  <c r="AJ51" i="91"/>
  <c r="AJ34" i="91"/>
  <c r="G24" i="91"/>
  <c r="AJ58" i="91"/>
  <c r="AJ28" i="91"/>
  <c r="G39" i="91"/>
  <c r="G37" i="91"/>
  <c r="AJ18" i="91"/>
  <c r="G48" i="91"/>
  <c r="G38" i="91"/>
  <c r="G12" i="91"/>
  <c r="G15" i="91"/>
  <c r="AJ55" i="91"/>
  <c r="AJ62" i="91"/>
  <c r="AJ54" i="91"/>
  <c r="G31" i="91"/>
  <c r="AJ22" i="91"/>
  <c r="AK10" i="91"/>
  <c r="G10" i="91"/>
  <c r="AJ25" i="91"/>
  <c r="E7" i="91"/>
  <c r="G17" i="91"/>
  <c r="AJ59" i="91"/>
  <c r="AY29" i="91" l="1"/>
  <c r="AY48" i="91"/>
  <c r="M8" i="91"/>
  <c r="M11" i="91"/>
  <c r="M12" i="91"/>
  <c r="AL59" i="91"/>
  <c r="AK59" i="91"/>
  <c r="AM59" i="91" s="1"/>
  <c r="AL65" i="91"/>
  <c r="AK65" i="91"/>
  <c r="AM65" i="91" s="1"/>
  <c r="AL67" i="91"/>
  <c r="AK67" i="91"/>
  <c r="AM67" i="91" s="1"/>
  <c r="AH10" i="91"/>
  <c r="AG10" i="91"/>
  <c r="AH7" i="91"/>
  <c r="AG7" i="91"/>
  <c r="AL54" i="91"/>
  <c r="AK54" i="91"/>
  <c r="AM54" i="91" s="1"/>
  <c r="AK64" i="91"/>
  <c r="AM64" i="91" s="1"/>
  <c r="AL64" i="91"/>
  <c r="AL53" i="91"/>
  <c r="AK53" i="91"/>
  <c r="AM53" i="91" s="1"/>
  <c r="AL62" i="91"/>
  <c r="AK62" i="91"/>
  <c r="AM62" i="91" s="1"/>
  <c r="AL56" i="91"/>
  <c r="AK56" i="91"/>
  <c r="AM56" i="91" s="1"/>
  <c r="AL55" i="91"/>
  <c r="AK55" i="91"/>
  <c r="AM55" i="91" s="1"/>
  <c r="AM9" i="91"/>
  <c r="AH9" i="91"/>
  <c r="AG9" i="91"/>
  <c r="AL66" i="91"/>
  <c r="AK66" i="91"/>
  <c r="AM66" i="91" s="1"/>
  <c r="AL58" i="91"/>
  <c r="AK58" i="91"/>
  <c r="AM58" i="91" s="1"/>
  <c r="AL57" i="91"/>
  <c r="AK57" i="91"/>
  <c r="AM57" i="91" s="1"/>
  <c r="AL51" i="91"/>
  <c r="AK51" i="91"/>
  <c r="AM51" i="91" s="1"/>
  <c r="AL52" i="91"/>
  <c r="AK52" i="91"/>
  <c r="AM52" i="91" s="1"/>
  <c r="AL63" i="91"/>
  <c r="AK63" i="91"/>
  <c r="AM63" i="91" s="1"/>
  <c r="AL50" i="91"/>
  <c r="AK50" i="91"/>
  <c r="AM50" i="91" s="1"/>
  <c r="AL60" i="91"/>
  <c r="AK60" i="91"/>
  <c r="AM60" i="91" s="1"/>
  <c r="AM10" i="91"/>
  <c r="AM7" i="91"/>
  <c r="AY52" i="91"/>
  <c r="AY41" i="91"/>
  <c r="AY45" i="91"/>
  <c r="AY62" i="91"/>
  <c r="AY14" i="91"/>
  <c r="AY58" i="91"/>
  <c r="AY46" i="91"/>
  <c r="AY37" i="91"/>
  <c r="AY21" i="91"/>
  <c r="AY24" i="91"/>
  <c r="AY63" i="91"/>
  <c r="AY61" i="91"/>
  <c r="AY27" i="91"/>
  <c r="AY17" i="91"/>
  <c r="AY8" i="91"/>
  <c r="AY56" i="91"/>
  <c r="AY33" i="91"/>
  <c r="AY26" i="91"/>
  <c r="AY7" i="91"/>
  <c r="AY15" i="91"/>
  <c r="AY12" i="91"/>
  <c r="AY13" i="91"/>
  <c r="AY18" i="91"/>
  <c r="AY16" i="91"/>
  <c r="AY30" i="91"/>
  <c r="AY51" i="91"/>
  <c r="AY43" i="91"/>
  <c r="AY42" i="91"/>
  <c r="AY19" i="91"/>
  <c r="AY10" i="91"/>
  <c r="AY44" i="91"/>
  <c r="AY59" i="91"/>
  <c r="AY54" i="91"/>
  <c r="AY38" i="91"/>
  <c r="AY28" i="91"/>
  <c r="AY57" i="91"/>
  <c r="AY22" i="91"/>
  <c r="AY47" i="91"/>
  <c r="AY34" i="91"/>
  <c r="AY25" i="91"/>
  <c r="AY20" i="91"/>
  <c r="AY31" i="91"/>
  <c r="AY32" i="91"/>
  <c r="AY50" i="91"/>
  <c r="AY60" i="91"/>
  <c r="AY9" i="91"/>
  <c r="M9" i="91"/>
  <c r="L5" i="91"/>
  <c r="M14" i="91"/>
  <c r="BC9" i="91"/>
  <c r="Y14" i="91"/>
  <c r="AY35" i="91"/>
  <c r="AY36" i="91"/>
  <c r="AY53" i="91"/>
  <c r="AY49" i="91"/>
  <c r="AY39" i="91"/>
  <c r="AY40" i="91"/>
  <c r="AY55" i="91"/>
  <c r="AY23" i="91"/>
  <c r="AY11" i="91"/>
  <c r="M13" i="91"/>
  <c r="AW9" i="90"/>
  <c r="AX9" i="90" s="1"/>
  <c r="AW8" i="90"/>
  <c r="BC11" i="90"/>
  <c r="AX8" i="90"/>
  <c r="AW59" i="90"/>
  <c r="AW52" i="90"/>
  <c r="AW50" i="90"/>
  <c r="AX50" i="90" s="1"/>
  <c r="AW48" i="90"/>
  <c r="AX48" i="90" s="1"/>
  <c r="AW62" i="90"/>
  <c r="AW53" i="90"/>
  <c r="AX53" i="90" s="1"/>
  <c r="AW46" i="90"/>
  <c r="AX46" i="90" s="1"/>
  <c r="AW38" i="90"/>
  <c r="AX38" i="90" s="1"/>
  <c r="AW55" i="90"/>
  <c r="AX55" i="90" s="1"/>
  <c r="AW44" i="90"/>
  <c r="AX44" i="90" s="1"/>
  <c r="AW60" i="90"/>
  <c r="AX60" i="90" s="1"/>
  <c r="AW47" i="90"/>
  <c r="AX47" i="90" s="1"/>
  <c r="AW41" i="90"/>
  <c r="AX41" i="90" s="1"/>
  <c r="AW37" i="90"/>
  <c r="AX37" i="90" s="1"/>
  <c r="AW57" i="90"/>
  <c r="AX57" i="90" s="1"/>
  <c r="AW34" i="90"/>
  <c r="AX34" i="90" s="1"/>
  <c r="AW14" i="90"/>
  <c r="AW30" i="90"/>
  <c r="AX30" i="90" s="1"/>
  <c r="AW26" i="90"/>
  <c r="AX26" i="90" s="1"/>
  <c r="AW19" i="90"/>
  <c r="AX19" i="90" s="1"/>
  <c r="AW10" i="90"/>
  <c r="AX10" i="90" s="1"/>
  <c r="AW12" i="90"/>
  <c r="AX12" i="90" s="1"/>
  <c r="L14" i="90"/>
  <c r="Y14" i="90" s="1"/>
  <c r="AX14" i="90"/>
  <c r="AW7" i="90"/>
  <c r="AW11" i="90"/>
  <c r="AX11" i="90" s="1"/>
  <c r="AW15" i="90"/>
  <c r="AX15" i="90" s="1"/>
  <c r="AW16" i="90"/>
  <c r="AX16" i="90" s="1"/>
  <c r="AW20" i="90"/>
  <c r="AX20" i="90" s="1"/>
  <c r="AX7" i="90"/>
  <c r="AW13" i="90"/>
  <c r="AX13" i="90" s="1"/>
  <c r="AW23" i="90"/>
  <c r="AX23" i="90" s="1"/>
  <c r="AW24" i="90"/>
  <c r="AX24" i="90" s="1"/>
  <c r="AW27" i="90"/>
  <c r="AX27" i="90" s="1"/>
  <c r="AW18" i="90"/>
  <c r="AX18" i="90" s="1"/>
  <c r="AW22" i="90"/>
  <c r="AX22" i="90" s="1"/>
  <c r="AW33" i="90"/>
  <c r="AX33" i="90" s="1"/>
  <c r="AW17" i="90"/>
  <c r="AX17" i="90" s="1"/>
  <c r="AW21" i="90"/>
  <c r="AX21" i="90" s="1"/>
  <c r="AW25" i="90"/>
  <c r="AX25" i="90" s="1"/>
  <c r="AW31" i="90"/>
  <c r="AX31" i="90" s="1"/>
  <c r="AW51" i="90"/>
  <c r="AX51" i="90" s="1"/>
  <c r="AW29" i="90"/>
  <c r="AX29" i="90" s="1"/>
  <c r="AW39" i="90"/>
  <c r="AX39" i="90" s="1"/>
  <c r="AW43" i="90"/>
  <c r="AX43" i="90" s="1"/>
  <c r="AW56" i="90"/>
  <c r="AX56" i="90" s="1"/>
  <c r="AW28" i="90"/>
  <c r="AX28" i="90" s="1"/>
  <c r="AW32" i="90"/>
  <c r="AX32" i="90" s="1"/>
  <c r="AW35" i="90"/>
  <c r="AX35" i="90" s="1"/>
  <c r="AW42" i="90"/>
  <c r="AX42" i="90" s="1"/>
  <c r="AW36" i="90"/>
  <c r="AX36" i="90" s="1"/>
  <c r="AW40" i="90"/>
  <c r="AX40" i="90" s="1"/>
  <c r="AW63" i="90"/>
  <c r="AX63" i="90" s="1"/>
  <c r="AW49" i="90"/>
  <c r="AX49" i="90" s="1"/>
  <c r="AW54" i="90"/>
  <c r="AX54" i="90" s="1"/>
  <c r="AX62" i="90"/>
  <c r="AX52" i="90"/>
  <c r="AX59" i="90"/>
  <c r="AW61" i="90"/>
  <c r="AX61" i="90" s="1"/>
  <c r="AW45" i="90"/>
  <c r="AX45" i="90" s="1"/>
  <c r="AW58" i="90"/>
  <c r="AX58" i="90" s="1"/>
  <c r="C68" i="89"/>
  <c r="B68" i="89" s="1"/>
  <c r="AH67" i="89"/>
  <c r="AG67" i="89"/>
  <c r="AF67" i="89"/>
  <c r="AH66" i="89"/>
  <c r="AG66" i="89"/>
  <c r="AF66" i="89"/>
  <c r="AH65" i="89"/>
  <c r="AG65" i="89"/>
  <c r="AF65" i="89"/>
  <c r="AH64" i="89"/>
  <c r="AG64" i="89"/>
  <c r="AF64" i="89"/>
  <c r="BI63" i="89"/>
  <c r="BH63" i="89"/>
  <c r="BG63" i="89"/>
  <c r="BF63" i="89"/>
  <c r="AV63" i="89"/>
  <c r="AH63" i="89"/>
  <c r="AG63" i="89"/>
  <c r="AF63" i="89"/>
  <c r="AV62" i="89"/>
  <c r="AH62" i="89"/>
  <c r="AG62" i="89"/>
  <c r="AF62" i="89"/>
  <c r="G62" i="89"/>
  <c r="AV61" i="89"/>
  <c r="AV60" i="89"/>
  <c r="AH60" i="89"/>
  <c r="AG60" i="89"/>
  <c r="AF60" i="89"/>
  <c r="AF61" i="89" s="1"/>
  <c r="G60" i="89"/>
  <c r="E60" i="89" s="1"/>
  <c r="AV59" i="89"/>
  <c r="AH59" i="89"/>
  <c r="AG59" i="89"/>
  <c r="AF59" i="89"/>
  <c r="G59" i="89"/>
  <c r="E59" i="89" s="1"/>
  <c r="AV58" i="89"/>
  <c r="AH58" i="89"/>
  <c r="AG58" i="89"/>
  <c r="AF58" i="89"/>
  <c r="G58" i="89"/>
  <c r="AV57" i="89"/>
  <c r="AH57" i="89"/>
  <c r="AG57" i="89"/>
  <c r="AF57" i="89"/>
  <c r="G57" i="89"/>
  <c r="AV56" i="89"/>
  <c r="AH56" i="89"/>
  <c r="AG56" i="89"/>
  <c r="AF56" i="89"/>
  <c r="G56" i="89"/>
  <c r="AV55" i="89"/>
  <c r="AH55" i="89"/>
  <c r="AG55" i="89"/>
  <c r="AF55" i="89"/>
  <c r="G55" i="89"/>
  <c r="AV54" i="89"/>
  <c r="AH54" i="89"/>
  <c r="AG54" i="89"/>
  <c r="AF54" i="89"/>
  <c r="G54" i="89"/>
  <c r="AV53" i="89"/>
  <c r="AH53" i="89"/>
  <c r="AG53" i="89"/>
  <c r="AF53" i="89"/>
  <c r="G53" i="89"/>
  <c r="AV52" i="89"/>
  <c r="AH52" i="89"/>
  <c r="AG52" i="89"/>
  <c r="AF52" i="89"/>
  <c r="AV51" i="89"/>
  <c r="AH51" i="89"/>
  <c r="AG51" i="89"/>
  <c r="AF51" i="89"/>
  <c r="AV50" i="89"/>
  <c r="AH50" i="89"/>
  <c r="AG50" i="89"/>
  <c r="AF50" i="89"/>
  <c r="AV49" i="89"/>
  <c r="AV48" i="89"/>
  <c r="AV47" i="89"/>
  <c r="AV46" i="89"/>
  <c r="AV45" i="89"/>
  <c r="AV44" i="89"/>
  <c r="AV43" i="89"/>
  <c r="AV42" i="89"/>
  <c r="AV41" i="89"/>
  <c r="AV40" i="89"/>
  <c r="AV39" i="89"/>
  <c r="AV38" i="89"/>
  <c r="AV37" i="89"/>
  <c r="AV36" i="89"/>
  <c r="AV35" i="89"/>
  <c r="AV34" i="89"/>
  <c r="AV33" i="89"/>
  <c r="AV32" i="89"/>
  <c r="AV31" i="89"/>
  <c r="AV30" i="89"/>
  <c r="AV29" i="89"/>
  <c r="AV28" i="89"/>
  <c r="AV27" i="89"/>
  <c r="AV26" i="89"/>
  <c r="AV25" i="89"/>
  <c r="AV24" i="89"/>
  <c r="AV23" i="89"/>
  <c r="AV22" i="89"/>
  <c r="AV21" i="89"/>
  <c r="AV20" i="89"/>
  <c r="AV19" i="89"/>
  <c r="AV18" i="89"/>
  <c r="AV17" i="89"/>
  <c r="AV16" i="89"/>
  <c r="L16" i="89" a="1"/>
  <c r="L16" i="89" s="1"/>
  <c r="AV15" i="89"/>
  <c r="AV14" i="89"/>
  <c r="AV13" i="89"/>
  <c r="L13" i="89"/>
  <c r="AV12" i="89"/>
  <c r="L12" i="89"/>
  <c r="AV11" i="89"/>
  <c r="L11" i="89"/>
  <c r="AV10" i="89"/>
  <c r="L10" i="89"/>
  <c r="AV9" i="89"/>
  <c r="L9" i="89"/>
  <c r="AV8" i="89"/>
  <c r="L8" i="89"/>
  <c r="BC7" i="89"/>
  <c r="BC8" i="89" s="1"/>
  <c r="AV7" i="89"/>
  <c r="AF7" i="89"/>
  <c r="AF8" i="89" s="1"/>
  <c r="AF9" i="89" s="1"/>
  <c r="AF10" i="89" s="1"/>
  <c r="AF11" i="89" s="1"/>
  <c r="AF12" i="89" s="1"/>
  <c r="AF13" i="89" s="1"/>
  <c r="AF14" i="89" s="1"/>
  <c r="AF15" i="89" s="1"/>
  <c r="AF16" i="89" s="1"/>
  <c r="AF17" i="89" s="1"/>
  <c r="AF18" i="89" s="1"/>
  <c r="AF19" i="89" s="1"/>
  <c r="AF20" i="89" s="1"/>
  <c r="AF21" i="89" s="1"/>
  <c r="AF22" i="89" s="1"/>
  <c r="AF23" i="89" s="1"/>
  <c r="AF24" i="89" s="1"/>
  <c r="AF25" i="89" s="1"/>
  <c r="AF26" i="89" s="1"/>
  <c r="AF27" i="89" s="1"/>
  <c r="AF28" i="89" s="1"/>
  <c r="AF29" i="89" s="1"/>
  <c r="AF30" i="89" s="1"/>
  <c r="AF31" i="89" s="1"/>
  <c r="AF32" i="89" s="1"/>
  <c r="AF33" i="89" s="1"/>
  <c r="AF34" i="89" s="1"/>
  <c r="AF35" i="89" s="1"/>
  <c r="AF36" i="89" s="1"/>
  <c r="AF37" i="89" s="1"/>
  <c r="AF38" i="89" s="1"/>
  <c r="AF39" i="89" s="1"/>
  <c r="AF40" i="89" s="1"/>
  <c r="AF41" i="89" s="1"/>
  <c r="AF42" i="89" s="1"/>
  <c r="AF43" i="89" s="1"/>
  <c r="AF44" i="89" s="1"/>
  <c r="AF45" i="89" s="1"/>
  <c r="AF46" i="89" s="1"/>
  <c r="AF47" i="89" s="1"/>
  <c r="AF48" i="89" s="1"/>
  <c r="AF49" i="89" s="1"/>
  <c r="AL4" i="89"/>
  <c r="AK4" i="89"/>
  <c r="AK2" i="89" s="1"/>
  <c r="AJ4" i="89"/>
  <c r="AJ2" i="89" s="1"/>
  <c r="G3" i="89"/>
  <c r="AL2" i="89"/>
  <c r="E2" i="89"/>
  <c r="E3" i="89" s="1"/>
  <c r="A1" i="89"/>
  <c r="E6" i="89"/>
  <c r="AJ8" i="89"/>
  <c r="E15" i="90"/>
  <c r="AJ60" i="90"/>
  <c r="AJ50" i="90"/>
  <c r="AJ61" i="90"/>
  <c r="AJ52" i="90"/>
  <c r="AJ46" i="90"/>
  <c r="AJ58" i="90"/>
  <c r="AJ39" i="90"/>
  <c r="AJ26" i="90"/>
  <c r="AJ32" i="90"/>
  <c r="AJ19" i="90"/>
  <c r="AJ20" i="90"/>
  <c r="AJ23" i="90"/>
  <c r="AJ33" i="90"/>
  <c r="AJ10" i="90"/>
  <c r="G48" i="90"/>
  <c r="G46" i="90"/>
  <c r="G45" i="90"/>
  <c r="G30" i="90"/>
  <c r="G31" i="90"/>
  <c r="G32" i="90"/>
  <c r="G23" i="90"/>
  <c r="G13" i="90"/>
  <c r="G9" i="90"/>
  <c r="G25" i="90"/>
  <c r="G22" i="90"/>
  <c r="G44" i="90"/>
  <c r="G42" i="90"/>
  <c r="G26" i="90"/>
  <c r="G27" i="90"/>
  <c r="G28" i="90"/>
  <c r="G12" i="90"/>
  <c r="G8" i="90"/>
  <c r="G21" i="90"/>
  <c r="AJ8" i="90"/>
  <c r="G49" i="90"/>
  <c r="G34" i="90"/>
  <c r="G39" i="90"/>
  <c r="G10" i="90"/>
  <c r="G24" i="90"/>
  <c r="AJ57" i="90"/>
  <c r="AJ48" i="90"/>
  <c r="AJ65" i="90"/>
  <c r="AJ63" i="90"/>
  <c r="AJ43" i="90"/>
  <c r="AJ51" i="90"/>
  <c r="AJ35" i="90"/>
  <c r="AJ31" i="90"/>
  <c r="AJ28" i="90"/>
  <c r="AJ36" i="90"/>
  <c r="AJ16" i="90"/>
  <c r="AJ21" i="90"/>
  <c r="AJ22" i="90"/>
  <c r="AJ9" i="90"/>
  <c r="G41" i="90"/>
  <c r="G20" i="90"/>
  <c r="G18" i="90"/>
  <c r="G47" i="90"/>
  <c r="G14" i="90"/>
  <c r="AJ55" i="90"/>
  <c r="AJ44" i="90"/>
  <c r="AJ62" i="90"/>
  <c r="AJ56" i="90"/>
  <c r="AJ41" i="90"/>
  <c r="AJ38" i="90"/>
  <c r="AJ34" i="90"/>
  <c r="AJ27" i="90"/>
  <c r="AJ40" i="90"/>
  <c r="AJ29" i="90"/>
  <c r="AJ59" i="90"/>
  <c r="AJ17" i="90"/>
  <c r="AJ18" i="90"/>
  <c r="AJ15" i="90"/>
  <c r="AJ11" i="90"/>
  <c r="G61" i="90"/>
  <c r="G37" i="90"/>
  <c r="G38" i="90"/>
  <c r="G40" i="90"/>
  <c r="G43" i="90"/>
  <c r="G33" i="90"/>
  <c r="G16" i="90"/>
  <c r="G11" i="90"/>
  <c r="G35" i="90"/>
  <c r="G17" i="90"/>
  <c r="G7" i="90"/>
  <c r="AJ67" i="90"/>
  <c r="AJ53" i="90"/>
  <c r="AJ64" i="90"/>
  <c r="AJ54" i="90"/>
  <c r="AJ49" i="90"/>
  <c r="AJ37" i="90"/>
  <c r="AJ66" i="90"/>
  <c r="AJ30" i="90"/>
  <c r="AJ47" i="90"/>
  <c r="AJ25" i="90"/>
  <c r="AJ24" i="90"/>
  <c r="AJ42" i="90"/>
  <c r="AJ45" i="90"/>
  <c r="AJ14" i="90"/>
  <c r="AJ13" i="90"/>
  <c r="AJ7" i="90"/>
  <c r="G36" i="90"/>
  <c r="G19" i="90"/>
  <c r="G29" i="90"/>
  <c r="AJ12" i="90"/>
  <c r="AK8" i="91"/>
  <c r="E34" i="91"/>
  <c r="E17" i="91"/>
  <c r="AK11" i="91"/>
  <c r="E32" i="91"/>
  <c r="AL20" i="91"/>
  <c r="AK41" i="91"/>
  <c r="AL13" i="91"/>
  <c r="AK48" i="91"/>
  <c r="AL19" i="91"/>
  <c r="AK44" i="91"/>
  <c r="AK31" i="91"/>
  <c r="AL33" i="91"/>
  <c r="E9" i="91"/>
  <c r="E21" i="91"/>
  <c r="AK45" i="91"/>
  <c r="E33" i="91"/>
  <c r="E49" i="91"/>
  <c r="AL48" i="91"/>
  <c r="AK35" i="91"/>
  <c r="E41" i="91"/>
  <c r="AK47" i="91"/>
  <c r="E30" i="91"/>
  <c r="AL11" i="91"/>
  <c r="E29" i="91"/>
  <c r="AL14" i="91"/>
  <c r="AL45" i="91"/>
  <c r="E23" i="91"/>
  <c r="AL24" i="91"/>
  <c r="AK20" i="91"/>
  <c r="E46" i="91"/>
  <c r="AL8" i="91"/>
  <c r="AL22" i="91"/>
  <c r="E44" i="91"/>
  <c r="AK23" i="91"/>
  <c r="AK21" i="91"/>
  <c r="AK18" i="91"/>
  <c r="AK46" i="91"/>
  <c r="AK34" i="91"/>
  <c r="E26" i="91"/>
  <c r="AL27" i="91"/>
  <c r="AK14" i="91"/>
  <c r="AL21" i="91"/>
  <c r="AK49" i="91"/>
  <c r="E10" i="91"/>
  <c r="E28" i="91"/>
  <c r="AL12" i="91"/>
  <c r="AL26" i="91"/>
  <c r="E35" i="91"/>
  <c r="AL30" i="91"/>
  <c r="E24" i="91"/>
  <c r="AK61" i="91"/>
  <c r="E43" i="91"/>
  <c r="E18" i="91"/>
  <c r="E61" i="91"/>
  <c r="AK29" i="91"/>
  <c r="E31" i="91"/>
  <c r="AK15" i="91"/>
  <c r="AK26" i="91"/>
  <c r="E45" i="91"/>
  <c r="E48" i="91"/>
  <c r="AL46" i="91"/>
  <c r="AK38" i="91"/>
  <c r="AL37" i="91"/>
  <c r="AK36" i="91"/>
  <c r="AK19" i="91"/>
  <c r="AL43" i="91"/>
  <c r="E22" i="91"/>
  <c r="E37" i="91"/>
  <c r="AL31" i="91"/>
  <c r="AL32" i="91"/>
  <c r="E40" i="91"/>
  <c r="E14" i="91"/>
  <c r="AL15" i="91"/>
  <c r="E12" i="91"/>
  <c r="AL34" i="91"/>
  <c r="AK22" i="91"/>
  <c r="AL17" i="91"/>
  <c r="AL42" i="91"/>
  <c r="E15" i="91"/>
  <c r="E25" i="91"/>
  <c r="AK28" i="91"/>
  <c r="AL25" i="91"/>
  <c r="AK24" i="91"/>
  <c r="E16" i="91"/>
  <c r="AL35" i="91"/>
  <c r="E19" i="91"/>
  <c r="E38" i="91"/>
  <c r="AK17" i="91"/>
  <c r="AK42" i="91"/>
  <c r="AL29" i="91"/>
  <c r="AL28" i="91"/>
  <c r="AL18" i="91"/>
  <c r="AL41" i="91"/>
  <c r="AK37" i="91"/>
  <c r="E13" i="91"/>
  <c r="AK12" i="91"/>
  <c r="AL44" i="91"/>
  <c r="E8" i="91"/>
  <c r="E39" i="91"/>
  <c r="AL49" i="91"/>
  <c r="AK33" i="91"/>
  <c r="E42" i="91"/>
  <c r="E47" i="91"/>
  <c r="AK43" i="91"/>
  <c r="E11" i="91"/>
  <c r="AK32" i="91"/>
  <c r="AL36" i="91"/>
  <c r="AK39" i="91"/>
  <c r="AK40" i="91"/>
  <c r="AL16" i="91"/>
  <c r="E27" i="91"/>
  <c r="AL47" i="91"/>
  <c r="AK27" i="91"/>
  <c r="E20" i="91"/>
  <c r="AK30" i="91"/>
  <c r="AL61" i="91"/>
  <c r="AL23" i="91"/>
  <c r="AL39" i="91"/>
  <c r="E36" i="91"/>
  <c r="AL40" i="91"/>
  <c r="AK13" i="91"/>
  <c r="AK16" i="91"/>
  <c r="AL38" i="91"/>
  <c r="AK25" i="91"/>
  <c r="AM37" i="91" l="1"/>
  <c r="AG37" i="91"/>
  <c r="AH37" i="91"/>
  <c r="AG8" i="91"/>
  <c r="AH8" i="91"/>
  <c r="AM8" i="91"/>
  <c r="AM38" i="91"/>
  <c r="AM13" i="91"/>
  <c r="AG41" i="91"/>
  <c r="AH41" i="91"/>
  <c r="AG46" i="91"/>
  <c r="AH46" i="91"/>
  <c r="AM20" i="91"/>
  <c r="AH18" i="91"/>
  <c r="AG18" i="91"/>
  <c r="AG24" i="91"/>
  <c r="AH24" i="91"/>
  <c r="AM25" i="91"/>
  <c r="AH28" i="91"/>
  <c r="AG28" i="91"/>
  <c r="AM16" i="91"/>
  <c r="AG29" i="91"/>
  <c r="AH29" i="91"/>
  <c r="AM26" i="91"/>
  <c r="AG45" i="91"/>
  <c r="AH45" i="91"/>
  <c r="AH40" i="91"/>
  <c r="AG40" i="91"/>
  <c r="AM42" i="91"/>
  <c r="AM15" i="91"/>
  <c r="AH14" i="91"/>
  <c r="AG14" i="91"/>
  <c r="AH39" i="91"/>
  <c r="AG39" i="91"/>
  <c r="AM17" i="91"/>
  <c r="AH38" i="91"/>
  <c r="AG38" i="91"/>
  <c r="AM29" i="91"/>
  <c r="AH11" i="91"/>
  <c r="AG11" i="91"/>
  <c r="AH23" i="91"/>
  <c r="AG23" i="91"/>
  <c r="AH61" i="91"/>
  <c r="AG61" i="91"/>
  <c r="AH35" i="91"/>
  <c r="AG35" i="91"/>
  <c r="AM47" i="91"/>
  <c r="AM30" i="91"/>
  <c r="AM24" i="91"/>
  <c r="AM61" i="91"/>
  <c r="AM35" i="91"/>
  <c r="AM27" i="91"/>
  <c r="AG25" i="91"/>
  <c r="AH25" i="91"/>
  <c r="AH48" i="91"/>
  <c r="AG48" i="91"/>
  <c r="AH47" i="91"/>
  <c r="AG47" i="91"/>
  <c r="AM28" i="91"/>
  <c r="AH30" i="91"/>
  <c r="AG30" i="91"/>
  <c r="AH16" i="91"/>
  <c r="AG16" i="91"/>
  <c r="AG26" i="91"/>
  <c r="AH26" i="91"/>
  <c r="AM45" i="91"/>
  <c r="AM40" i="91"/>
  <c r="AH42" i="91"/>
  <c r="AG42" i="91"/>
  <c r="AH12" i="91"/>
  <c r="AG12" i="91"/>
  <c r="AM39" i="91"/>
  <c r="AH17" i="91"/>
  <c r="AG17" i="91"/>
  <c r="AH36" i="91"/>
  <c r="AG36" i="91"/>
  <c r="AM22" i="91"/>
  <c r="AG33" i="91"/>
  <c r="AH33" i="91"/>
  <c r="AM32" i="91"/>
  <c r="AH34" i="91"/>
  <c r="AG34" i="91"/>
  <c r="AM49" i="91"/>
  <c r="AM31" i="91"/>
  <c r="AG21" i="91"/>
  <c r="AH21" i="91"/>
  <c r="AM44" i="91"/>
  <c r="AM43" i="91"/>
  <c r="AH15" i="91"/>
  <c r="AG15" i="91"/>
  <c r="AM14" i="91"/>
  <c r="AH19" i="91"/>
  <c r="AG19" i="91"/>
  <c r="AH27" i="91"/>
  <c r="AG27" i="91"/>
  <c r="AM48" i="91"/>
  <c r="AH13" i="91"/>
  <c r="AG13" i="91"/>
  <c r="AM33" i="91"/>
  <c r="AH32" i="91"/>
  <c r="AG32" i="91"/>
  <c r="AM34" i="91"/>
  <c r="AM41" i="91"/>
  <c r="AH49" i="91"/>
  <c r="AG49" i="91"/>
  <c r="AH31" i="91"/>
  <c r="AG31" i="91"/>
  <c r="AM46" i="91"/>
  <c r="AH20" i="91"/>
  <c r="AG20" i="91"/>
  <c r="AM18" i="91"/>
  <c r="U12" i="91"/>
  <c r="V12" i="91" s="1"/>
  <c r="U8" i="91"/>
  <c r="R9" i="91"/>
  <c r="U13" i="91"/>
  <c r="V13" i="91" s="1"/>
  <c r="U9" i="91"/>
  <c r="V9" i="91" s="1"/>
  <c r="R13" i="91"/>
  <c r="S13" i="91" s="1"/>
  <c r="O13" i="91"/>
  <c r="R10" i="91"/>
  <c r="O10" i="91"/>
  <c r="U11" i="91"/>
  <c r="V11" i="91" s="1"/>
  <c r="R12" i="91"/>
  <c r="R16" i="91" a="1"/>
  <c r="R16" i="91" s="1"/>
  <c r="O12" i="91"/>
  <c r="O8" i="91"/>
  <c r="O11" i="91"/>
  <c r="O9" i="91"/>
  <c r="O16" i="91" a="1"/>
  <c r="O16" i="91" s="1"/>
  <c r="U16" i="91" a="1"/>
  <c r="U16" i="91" s="1"/>
  <c r="U10" i="91"/>
  <c r="V10" i="91" s="1"/>
  <c r="R11" i="91"/>
  <c r="R8" i="91"/>
  <c r="AM21" i="91"/>
  <c r="AM11" i="91"/>
  <c r="AH44" i="91"/>
  <c r="AG44" i="91"/>
  <c r="AH43" i="91"/>
  <c r="AG43" i="91"/>
  <c r="AM23" i="91"/>
  <c r="AM12" i="91"/>
  <c r="AM19" i="91"/>
  <c r="AM36" i="91"/>
  <c r="AH22" i="91"/>
  <c r="AG22" i="91"/>
  <c r="BD9" i="91"/>
  <c r="BC10" i="91"/>
  <c r="BD7" i="91"/>
  <c r="BD8" i="91"/>
  <c r="C77" i="90"/>
  <c r="M13" i="90"/>
  <c r="M8" i="90"/>
  <c r="AY54" i="90"/>
  <c r="AY40" i="90"/>
  <c r="AL66" i="90"/>
  <c r="AK66" i="90"/>
  <c r="AM66" i="90" s="1"/>
  <c r="AL54" i="90"/>
  <c r="AK54" i="90"/>
  <c r="AM54" i="90" s="1"/>
  <c r="AK64" i="90"/>
  <c r="AM64" i="90" s="1"/>
  <c r="AL64" i="90"/>
  <c r="AL53" i="90"/>
  <c r="AK53" i="90"/>
  <c r="AM53" i="90" s="1"/>
  <c r="AL67" i="90"/>
  <c r="AK67" i="90"/>
  <c r="AM67" i="90" s="1"/>
  <c r="AL59" i="90"/>
  <c r="AK59" i="90"/>
  <c r="AM59" i="90" s="1"/>
  <c r="AL56" i="90"/>
  <c r="AK56" i="90"/>
  <c r="AM56" i="90" s="1"/>
  <c r="AL62" i="90"/>
  <c r="AK62" i="90"/>
  <c r="AM62" i="90" s="1"/>
  <c r="AL55" i="90"/>
  <c r="AK55" i="90"/>
  <c r="AM55" i="90" s="1"/>
  <c r="AL51" i="90"/>
  <c r="AK51" i="90"/>
  <c r="AM51" i="90" s="1"/>
  <c r="AL63" i="90"/>
  <c r="AK63" i="90"/>
  <c r="AM63" i="90" s="1"/>
  <c r="AL65" i="90"/>
  <c r="AK65" i="90"/>
  <c r="AM65" i="90" s="1"/>
  <c r="AL57" i="90"/>
  <c r="AK57" i="90"/>
  <c r="AM57" i="90" s="1"/>
  <c r="AL58" i="90"/>
  <c r="AK58" i="90"/>
  <c r="AM58" i="90" s="1"/>
  <c r="AL52" i="90"/>
  <c r="AK52" i="90"/>
  <c r="AM52" i="90" s="1"/>
  <c r="AK50" i="90"/>
  <c r="AM50" i="90" s="1"/>
  <c r="AL50" i="90"/>
  <c r="AL60" i="90"/>
  <c r="AK60" i="90"/>
  <c r="AM60" i="90" s="1"/>
  <c r="AY56" i="90"/>
  <c r="AY17" i="90"/>
  <c r="AY18" i="90"/>
  <c r="AY15" i="90"/>
  <c r="AY47" i="90"/>
  <c r="AY32" i="90"/>
  <c r="AY39" i="90"/>
  <c r="AY25" i="90"/>
  <c r="AY11" i="90"/>
  <c r="AY51" i="90"/>
  <c r="AY63" i="90"/>
  <c r="AY42" i="90"/>
  <c r="AY28" i="90"/>
  <c r="AY29" i="90"/>
  <c r="AY58" i="90"/>
  <c r="AY52" i="90"/>
  <c r="AY27" i="90"/>
  <c r="AY20" i="90"/>
  <c r="AY19" i="90"/>
  <c r="AY34" i="90"/>
  <c r="AY38" i="90"/>
  <c r="AY48" i="90"/>
  <c r="AY22" i="90"/>
  <c r="AY45" i="90"/>
  <c r="AY62" i="90"/>
  <c r="AY46" i="90"/>
  <c r="AY16" i="90"/>
  <c r="AY12" i="90"/>
  <c r="AY26" i="90"/>
  <c r="AY57" i="90"/>
  <c r="AY60" i="90"/>
  <c r="AY50" i="90"/>
  <c r="M12" i="90"/>
  <c r="BC12" i="90"/>
  <c r="AY49" i="90"/>
  <c r="AY43" i="90"/>
  <c r="AY23" i="90"/>
  <c r="AY7" i="90"/>
  <c r="AY35" i="90"/>
  <c r="AY36" i="90"/>
  <c r="AY24" i="90"/>
  <c r="AY14" i="90"/>
  <c r="AY10" i="90"/>
  <c r="AY30" i="90"/>
  <c r="AY37" i="90"/>
  <c r="AY44" i="90"/>
  <c r="AY53" i="90"/>
  <c r="AY9" i="90"/>
  <c r="AY31" i="90"/>
  <c r="AY21" i="90"/>
  <c r="AY61" i="90"/>
  <c r="AY33" i="90"/>
  <c r="AY13" i="90"/>
  <c r="AY59" i="90"/>
  <c r="M14" i="90"/>
  <c r="L5" i="90"/>
  <c r="M11" i="90"/>
  <c r="M10" i="90"/>
  <c r="M9" i="90"/>
  <c r="AY41" i="90"/>
  <c r="AY55" i="90"/>
  <c r="AY8" i="90"/>
  <c r="BC9" i="89"/>
  <c r="AW11" i="89"/>
  <c r="AW13" i="89"/>
  <c r="AW17" i="89"/>
  <c r="AX17" i="89" s="1"/>
  <c r="AW21" i="89"/>
  <c r="AX21" i="89" s="1"/>
  <c r="AW62" i="89"/>
  <c r="AW60" i="89"/>
  <c r="AX60" i="89" s="1"/>
  <c r="AW57" i="89"/>
  <c r="AX57" i="89" s="1"/>
  <c r="AW55" i="89"/>
  <c r="AX55" i="89" s="1"/>
  <c r="AW53" i="89"/>
  <c r="AX53" i="89" s="1"/>
  <c r="AW50" i="89"/>
  <c r="AX50" i="89" s="1"/>
  <c r="AW48" i="89"/>
  <c r="AX48" i="89" s="1"/>
  <c r="AW61" i="89"/>
  <c r="AX61" i="89" s="1"/>
  <c r="AW47" i="89"/>
  <c r="AW42" i="89"/>
  <c r="AX42" i="89" s="1"/>
  <c r="AW40" i="89"/>
  <c r="AX40" i="89" s="1"/>
  <c r="AW36" i="89"/>
  <c r="AX36" i="89" s="1"/>
  <c r="AW59" i="89"/>
  <c r="AW51" i="89"/>
  <c r="AX51" i="89" s="1"/>
  <c r="AW43" i="89"/>
  <c r="AX43" i="89" s="1"/>
  <c r="AW38" i="89"/>
  <c r="AW34" i="89"/>
  <c r="AW28" i="89"/>
  <c r="AX28" i="89" s="1"/>
  <c r="AW24" i="89"/>
  <c r="AX24" i="89" s="1"/>
  <c r="AW20" i="89"/>
  <c r="AX20" i="89" s="1"/>
  <c r="AW16" i="89"/>
  <c r="AX16" i="89" s="1"/>
  <c r="AW32" i="89"/>
  <c r="AX32" i="89" s="1"/>
  <c r="AW30" i="89"/>
  <c r="AX30" i="89" s="1"/>
  <c r="AW25" i="89"/>
  <c r="AX25" i="89" s="1"/>
  <c r="AW14" i="89"/>
  <c r="AX14" i="89" s="1"/>
  <c r="AW7" i="89"/>
  <c r="AX7" i="89" s="1"/>
  <c r="AW9" i="89"/>
  <c r="AX9" i="89" s="1"/>
  <c r="AX11" i="89"/>
  <c r="AX13" i="89"/>
  <c r="M10" i="89"/>
  <c r="AW10" i="89"/>
  <c r="AW12" i="89"/>
  <c r="AX12" i="89" s="1"/>
  <c r="L14" i="89"/>
  <c r="M9" i="89" s="1"/>
  <c r="AW8" i="89"/>
  <c r="AX8" i="89" s="1"/>
  <c r="AX10" i="89"/>
  <c r="AW15" i="89"/>
  <c r="AX15" i="89" s="1"/>
  <c r="AW19" i="89"/>
  <c r="AX19" i="89" s="1"/>
  <c r="AW23" i="89"/>
  <c r="AX23" i="89" s="1"/>
  <c r="AW27" i="89"/>
  <c r="AX27" i="89" s="1"/>
  <c r="AW18" i="89"/>
  <c r="AX18" i="89" s="1"/>
  <c r="AW22" i="89"/>
  <c r="AX22" i="89" s="1"/>
  <c r="AW26" i="89"/>
  <c r="AX26" i="89" s="1"/>
  <c r="AX34" i="89"/>
  <c r="AX38" i="89"/>
  <c r="AW29" i="89"/>
  <c r="AX29" i="89" s="1"/>
  <c r="AW39" i="89"/>
  <c r="AX39" i="89" s="1"/>
  <c r="AW31" i="89"/>
  <c r="AX31" i="89" s="1"/>
  <c r="AW33" i="89"/>
  <c r="AX33" i="89" s="1"/>
  <c r="AW35" i="89"/>
  <c r="AX35" i="89" s="1"/>
  <c r="AW52" i="89"/>
  <c r="AX52" i="89" s="1"/>
  <c r="AW54" i="89"/>
  <c r="AX54" i="89" s="1"/>
  <c r="AW56" i="89"/>
  <c r="AX56" i="89" s="1"/>
  <c r="AW58" i="89"/>
  <c r="AX58" i="89" s="1"/>
  <c r="AX59" i="89"/>
  <c r="AW46" i="89"/>
  <c r="AX46" i="89" s="1"/>
  <c r="AW37" i="89"/>
  <c r="AX37" i="89" s="1"/>
  <c r="AW41" i="89"/>
  <c r="AX41" i="89" s="1"/>
  <c r="AW44" i="89"/>
  <c r="AX44" i="89" s="1"/>
  <c r="AX47" i="89"/>
  <c r="AW49" i="89"/>
  <c r="AX49" i="89" s="1"/>
  <c r="AX62" i="89"/>
  <c r="AW63" i="89"/>
  <c r="AX63" i="89" s="1"/>
  <c r="AW45" i="89"/>
  <c r="AX45" i="89" s="1"/>
  <c r="C68" i="88"/>
  <c r="B68" i="88" s="1"/>
  <c r="AH67" i="88"/>
  <c r="AG67" i="88"/>
  <c r="AF67" i="88"/>
  <c r="AH66" i="88"/>
  <c r="AG66" i="88"/>
  <c r="AF66" i="88"/>
  <c r="AH65" i="88"/>
  <c r="AG65" i="88"/>
  <c r="AF65" i="88"/>
  <c r="AH64" i="88"/>
  <c r="AG64" i="88"/>
  <c r="AF64" i="88"/>
  <c r="BI63" i="88"/>
  <c r="BH63" i="88"/>
  <c r="BG63" i="88"/>
  <c r="BF63" i="88"/>
  <c r="AV63" i="88"/>
  <c r="AH63" i="88"/>
  <c r="AG63" i="88"/>
  <c r="AF63" i="88"/>
  <c r="AV62" i="88"/>
  <c r="AH62" i="88"/>
  <c r="AG62" i="88"/>
  <c r="AF62" i="88"/>
  <c r="G62" i="88"/>
  <c r="AV61" i="88"/>
  <c r="AV60" i="88"/>
  <c r="AH60" i="88"/>
  <c r="AG60" i="88"/>
  <c r="AF60" i="88"/>
  <c r="AF61" i="88" s="1"/>
  <c r="G60" i="88"/>
  <c r="E60" i="88" s="1"/>
  <c r="AV59" i="88"/>
  <c r="AH59" i="88"/>
  <c r="AG59" i="88"/>
  <c r="AF59" i="88"/>
  <c r="G59" i="88"/>
  <c r="E59" i="88" s="1"/>
  <c r="AV58" i="88"/>
  <c r="AH58" i="88"/>
  <c r="AG58" i="88"/>
  <c r="AF58" i="88"/>
  <c r="G58" i="88"/>
  <c r="AV57" i="88"/>
  <c r="AH57" i="88"/>
  <c r="AG57" i="88"/>
  <c r="AF57" i="88"/>
  <c r="G57" i="88"/>
  <c r="AV56" i="88"/>
  <c r="AH56" i="88"/>
  <c r="AG56" i="88"/>
  <c r="AF56" i="88"/>
  <c r="G56" i="88"/>
  <c r="AV55" i="88"/>
  <c r="AH55" i="88"/>
  <c r="AG55" i="88"/>
  <c r="AF55" i="88"/>
  <c r="G55" i="88"/>
  <c r="AV54" i="88"/>
  <c r="AH54" i="88"/>
  <c r="AG54" i="88"/>
  <c r="AF54" i="88"/>
  <c r="G54" i="88"/>
  <c r="AV53" i="88"/>
  <c r="AH53" i="88"/>
  <c r="AG53" i="88"/>
  <c r="AF53" i="88"/>
  <c r="G53" i="88"/>
  <c r="AV52" i="88"/>
  <c r="AH52" i="88"/>
  <c r="AG52" i="88"/>
  <c r="AF52" i="88"/>
  <c r="AV51" i="88"/>
  <c r="AH51" i="88"/>
  <c r="AG51" i="88"/>
  <c r="AF51" i="88"/>
  <c r="AV50" i="88"/>
  <c r="AH50" i="88"/>
  <c r="AG50" i="88"/>
  <c r="AF50" i="88"/>
  <c r="AV49" i="88"/>
  <c r="AV48" i="88"/>
  <c r="AV47" i="88"/>
  <c r="AV46" i="88"/>
  <c r="AV45" i="88"/>
  <c r="AV44" i="88"/>
  <c r="AV43" i="88"/>
  <c r="AV42" i="88"/>
  <c r="AV41" i="88"/>
  <c r="AV40" i="88"/>
  <c r="AV39" i="88"/>
  <c r="AV38" i="88"/>
  <c r="AV37" i="88"/>
  <c r="AV36" i="88"/>
  <c r="AV35" i="88"/>
  <c r="AV34" i="88"/>
  <c r="AV33" i="88"/>
  <c r="AV32" i="88"/>
  <c r="AV31" i="88"/>
  <c r="AV30" i="88"/>
  <c r="AV29" i="88"/>
  <c r="AV28" i="88"/>
  <c r="AV27" i="88"/>
  <c r="AV26" i="88"/>
  <c r="AV25" i="88"/>
  <c r="AV24" i="88"/>
  <c r="AV23" i="88"/>
  <c r="AV22" i="88"/>
  <c r="AV21" i="88"/>
  <c r="AV20" i="88"/>
  <c r="AV19" i="88"/>
  <c r="AV18" i="88"/>
  <c r="AV17" i="88"/>
  <c r="AV16" i="88"/>
  <c r="L16" i="88" a="1"/>
  <c r="L16" i="88" s="1"/>
  <c r="AV15" i="88"/>
  <c r="AV14" i="88"/>
  <c r="AV13" i="88"/>
  <c r="L13" i="88"/>
  <c r="AV12" i="88"/>
  <c r="L12" i="88"/>
  <c r="AV11" i="88"/>
  <c r="L11" i="88"/>
  <c r="AV10" i="88"/>
  <c r="L10" i="88"/>
  <c r="AV9" i="88"/>
  <c r="L9" i="88"/>
  <c r="AV8" i="88"/>
  <c r="L8" i="88"/>
  <c r="BC7" i="88"/>
  <c r="BC8" i="88" s="1"/>
  <c r="AV7" i="88"/>
  <c r="AF7" i="88"/>
  <c r="AF8" i="88" s="1"/>
  <c r="AF9" i="88" s="1"/>
  <c r="AF10" i="88" s="1"/>
  <c r="AF11" i="88" s="1"/>
  <c r="AF12" i="88" s="1"/>
  <c r="AF13" i="88" s="1"/>
  <c r="AF14" i="88" s="1"/>
  <c r="AF15" i="88" s="1"/>
  <c r="AF16" i="88" s="1"/>
  <c r="AF17" i="88" s="1"/>
  <c r="AF18" i="88" s="1"/>
  <c r="AF19" i="88" s="1"/>
  <c r="AF20" i="88" s="1"/>
  <c r="AF21" i="88" s="1"/>
  <c r="AF22" i="88" s="1"/>
  <c r="AF23" i="88" s="1"/>
  <c r="AF24" i="88" s="1"/>
  <c r="AF25" i="88" s="1"/>
  <c r="AF26" i="88" s="1"/>
  <c r="AF27" i="88" s="1"/>
  <c r="AF28" i="88" s="1"/>
  <c r="AF29" i="88" s="1"/>
  <c r="AF30" i="88" s="1"/>
  <c r="AF31" i="88" s="1"/>
  <c r="AF32" i="88" s="1"/>
  <c r="AF33" i="88" s="1"/>
  <c r="AF34" i="88" s="1"/>
  <c r="AF35" i="88" s="1"/>
  <c r="AF36" i="88" s="1"/>
  <c r="AF37" i="88" s="1"/>
  <c r="AF38" i="88" s="1"/>
  <c r="AF39" i="88" s="1"/>
  <c r="AF40" i="88" s="1"/>
  <c r="AF41" i="88" s="1"/>
  <c r="AF42" i="88" s="1"/>
  <c r="AF43" i="88" s="1"/>
  <c r="AF44" i="88" s="1"/>
  <c r="AF45" i="88" s="1"/>
  <c r="AF46" i="88" s="1"/>
  <c r="AF47" i="88" s="1"/>
  <c r="AF48" i="88" s="1"/>
  <c r="AF49" i="88" s="1"/>
  <c r="AL4" i="88"/>
  <c r="AL2" i="88" s="1"/>
  <c r="AK4" i="88"/>
  <c r="AK2" i="88" s="1"/>
  <c r="AJ4" i="88"/>
  <c r="AJ2" i="88" s="1"/>
  <c r="G3" i="88"/>
  <c r="E2" i="88"/>
  <c r="E3" i="88" s="1"/>
  <c r="A1" i="88"/>
  <c r="G20" i="88"/>
  <c r="G27" i="88"/>
  <c r="E6" i="88"/>
  <c r="G7" i="88"/>
  <c r="AJ11" i="88"/>
  <c r="G39" i="89"/>
  <c r="G19" i="89"/>
  <c r="G26" i="89"/>
  <c r="AJ44" i="89"/>
  <c r="AJ41" i="89"/>
  <c r="AJ25" i="89"/>
  <c r="G15" i="89"/>
  <c r="G47" i="89"/>
  <c r="G38" i="89"/>
  <c r="G10" i="89"/>
  <c r="AJ67" i="89"/>
  <c r="AJ42" i="89"/>
  <c r="AJ19" i="89"/>
  <c r="AJ10" i="89"/>
  <c r="G37" i="89"/>
  <c r="G13" i="89"/>
  <c r="AJ65" i="89"/>
  <c r="AJ61" i="89"/>
  <c r="AJ46" i="89"/>
  <c r="AJ17" i="89"/>
  <c r="G36" i="89"/>
  <c r="G20" i="89"/>
  <c r="AJ38" i="89"/>
  <c r="G32" i="89"/>
  <c r="G16" i="89"/>
  <c r="AJ66" i="89"/>
  <c r="AJ45" i="89"/>
  <c r="AJ34" i="89"/>
  <c r="AJ22" i="89"/>
  <c r="AL8" i="89"/>
  <c r="G49" i="89"/>
  <c r="G31" i="89"/>
  <c r="G21" i="89"/>
  <c r="AJ53" i="89"/>
  <c r="AJ40" i="89"/>
  <c r="AJ16" i="89"/>
  <c r="G48" i="89"/>
  <c r="G34" i="89"/>
  <c r="G9" i="89"/>
  <c r="AJ59" i="89"/>
  <c r="AJ56" i="89"/>
  <c r="AJ29" i="89"/>
  <c r="AJ14" i="89"/>
  <c r="G43" i="89"/>
  <c r="G12" i="89"/>
  <c r="AJ51" i="89"/>
  <c r="AJ54" i="89"/>
  <c r="AJ27" i="89"/>
  <c r="AJ7" i="89"/>
  <c r="G8" i="89"/>
  <c r="AJ57" i="89"/>
  <c r="AJ24" i="89"/>
  <c r="AJ13" i="89"/>
  <c r="AK8" i="89"/>
  <c r="G42" i="89"/>
  <c r="G11" i="89"/>
  <c r="AJ47" i="89"/>
  <c r="AJ52" i="89"/>
  <c r="AJ23" i="89"/>
  <c r="AJ11" i="89"/>
  <c r="AJ12" i="89"/>
  <c r="G35" i="89"/>
  <c r="G28" i="89"/>
  <c r="G22" i="89"/>
  <c r="AJ64" i="89"/>
  <c r="AJ37" i="89"/>
  <c r="AJ21" i="89"/>
  <c r="G45" i="89"/>
  <c r="G27" i="89"/>
  <c r="G17" i="89"/>
  <c r="AJ60" i="89"/>
  <c r="AJ39" i="89"/>
  <c r="AJ28" i="89"/>
  <c r="G44" i="89"/>
  <c r="G30" i="89"/>
  <c r="AJ35" i="89"/>
  <c r="G61" i="89"/>
  <c r="G33" i="89"/>
  <c r="G25" i="89"/>
  <c r="AJ55" i="89"/>
  <c r="AJ43" i="89"/>
  <c r="AJ20" i="89"/>
  <c r="G7" i="89"/>
  <c r="AJ15" i="89"/>
  <c r="G41" i="89"/>
  <c r="G14" i="89"/>
  <c r="AJ62" i="89"/>
  <c r="AJ58" i="89"/>
  <c r="AJ30" i="89"/>
  <c r="AJ18" i="89"/>
  <c r="G40" i="89"/>
  <c r="G24" i="89"/>
  <c r="G18" i="89"/>
  <c r="AJ50" i="89"/>
  <c r="AJ36" i="89"/>
  <c r="AJ33" i="89"/>
  <c r="G46" i="89"/>
  <c r="G23" i="89"/>
  <c r="G29" i="89"/>
  <c r="AJ48" i="89"/>
  <c r="AJ32" i="89"/>
  <c r="AJ31" i="89"/>
  <c r="AJ9" i="89"/>
  <c r="AJ63" i="89"/>
  <c r="AJ49" i="89"/>
  <c r="AJ26" i="89"/>
  <c r="AK12" i="90"/>
  <c r="E36" i="90"/>
  <c r="AL13" i="90"/>
  <c r="AL45" i="90"/>
  <c r="AK24" i="90"/>
  <c r="AK47" i="90"/>
  <c r="AL49" i="90"/>
  <c r="E11" i="90"/>
  <c r="E40" i="90"/>
  <c r="AK11" i="90"/>
  <c r="AL18" i="90"/>
  <c r="AL40" i="90"/>
  <c r="AL34" i="90"/>
  <c r="AL41" i="90"/>
  <c r="E18" i="90"/>
  <c r="AK9" i="90"/>
  <c r="AK21" i="90"/>
  <c r="AK36" i="90"/>
  <c r="AL31" i="90"/>
  <c r="AL48" i="90"/>
  <c r="E10" i="90"/>
  <c r="AL8" i="90"/>
  <c r="E12" i="90"/>
  <c r="E42" i="90"/>
  <c r="E9" i="90"/>
  <c r="E31" i="90"/>
  <c r="E48" i="90"/>
  <c r="AK33" i="90"/>
  <c r="AL20" i="90"/>
  <c r="AK32" i="90"/>
  <c r="AK39" i="90"/>
  <c r="AK46" i="90"/>
  <c r="AL61" i="90"/>
  <c r="E35" i="90"/>
  <c r="E61" i="90"/>
  <c r="AK29" i="90"/>
  <c r="AL38" i="90"/>
  <c r="AK44" i="90"/>
  <c r="E47" i="90"/>
  <c r="AL21" i="90"/>
  <c r="AK31" i="90"/>
  <c r="E49" i="90"/>
  <c r="E26" i="90"/>
  <c r="E32" i="90"/>
  <c r="AK20" i="90"/>
  <c r="AL32" i="90"/>
  <c r="AK61" i="90"/>
  <c r="AL12" i="90"/>
  <c r="AK7" i="90"/>
  <c r="AL14" i="90"/>
  <c r="AL42" i="90"/>
  <c r="AL25" i="90"/>
  <c r="AL30" i="90"/>
  <c r="AL37" i="90"/>
  <c r="E7" i="90"/>
  <c r="E16" i="90"/>
  <c r="E38" i="90"/>
  <c r="AL11" i="90"/>
  <c r="AK18" i="90"/>
  <c r="AK40" i="90"/>
  <c r="AK34" i="90"/>
  <c r="AK41" i="90"/>
  <c r="E20" i="90"/>
  <c r="AL22" i="90"/>
  <c r="AK16" i="90"/>
  <c r="AL28" i="90"/>
  <c r="AK35" i="90"/>
  <c r="AK43" i="90"/>
  <c r="E39" i="90"/>
  <c r="AK8" i="90"/>
  <c r="E28" i="90"/>
  <c r="E44" i="90"/>
  <c r="E13" i="90"/>
  <c r="E30" i="90"/>
  <c r="AL10" i="90"/>
  <c r="AK23" i="90"/>
  <c r="AL19" i="90"/>
  <c r="AL26" i="90"/>
  <c r="AK48" i="90"/>
  <c r="AL33" i="90"/>
  <c r="AL46" i="90"/>
  <c r="E29" i="90"/>
  <c r="AL7" i="90"/>
  <c r="AK14" i="90"/>
  <c r="AK42" i="90"/>
  <c r="AK25" i="90"/>
  <c r="AK30" i="90"/>
  <c r="AK37" i="90"/>
  <c r="E17" i="90"/>
  <c r="E33" i="90"/>
  <c r="E37" i="90"/>
  <c r="AL15" i="90"/>
  <c r="AL17" i="90"/>
  <c r="AL29" i="90"/>
  <c r="AK27" i="90"/>
  <c r="AK38" i="90"/>
  <c r="AL44" i="90"/>
  <c r="E14" i="90"/>
  <c r="E41" i="90"/>
  <c r="AK22" i="90"/>
  <c r="AL16" i="90"/>
  <c r="AK28" i="90"/>
  <c r="AL35" i="90"/>
  <c r="AL43" i="90"/>
  <c r="E34" i="90"/>
  <c r="E21" i="90"/>
  <c r="E27" i="90"/>
  <c r="E22" i="90"/>
  <c r="E23" i="90"/>
  <c r="E45" i="90"/>
  <c r="AK10" i="90"/>
  <c r="AL23" i="90"/>
  <c r="AK19" i="90"/>
  <c r="AK26" i="90"/>
  <c r="E19" i="90"/>
  <c r="AK13" i="90"/>
  <c r="AK45" i="90"/>
  <c r="AL24" i="90"/>
  <c r="AL47" i="90"/>
  <c r="AK49" i="90"/>
  <c r="E43" i="90"/>
  <c r="AK15" i="90"/>
  <c r="AK17" i="90"/>
  <c r="AL27" i="90"/>
  <c r="AL9" i="90"/>
  <c r="AL36" i="90"/>
  <c r="E24" i="90"/>
  <c r="E8" i="90"/>
  <c r="E25" i="90"/>
  <c r="E46" i="90"/>
  <c r="AL39" i="90"/>
  <c r="AA13" i="91" l="1"/>
  <c r="BI9" i="91"/>
  <c r="BH9" i="91"/>
  <c r="BG9" i="91"/>
  <c r="BF9" i="91"/>
  <c r="O14" i="91"/>
  <c r="P13" i="91" s="1"/>
  <c r="AA8" i="91"/>
  <c r="U14" i="91"/>
  <c r="V8" i="91"/>
  <c r="BD10" i="91"/>
  <c r="BC11" i="91"/>
  <c r="BI8" i="91"/>
  <c r="BG8" i="91"/>
  <c r="BF8" i="91"/>
  <c r="BH8" i="91"/>
  <c r="R14" i="91"/>
  <c r="S8" i="91" s="1"/>
  <c r="AA12" i="91"/>
  <c r="AA10" i="91"/>
  <c r="P10" i="91"/>
  <c r="AA11" i="91"/>
  <c r="BF7" i="91"/>
  <c r="BH7" i="91"/>
  <c r="BI7" i="91"/>
  <c r="BG7" i="91"/>
  <c r="AA9" i="91"/>
  <c r="AG39" i="90"/>
  <c r="AH39" i="90"/>
  <c r="AH36" i="90"/>
  <c r="AG36" i="90"/>
  <c r="AH9" i="90"/>
  <c r="AG9" i="90"/>
  <c r="AH27" i="90"/>
  <c r="AG27" i="90"/>
  <c r="AM17" i="90"/>
  <c r="AM15" i="90"/>
  <c r="AM49" i="90"/>
  <c r="AH47" i="90"/>
  <c r="AG47" i="90"/>
  <c r="AG24" i="90"/>
  <c r="AH24" i="90"/>
  <c r="AM45" i="90"/>
  <c r="AM13" i="90"/>
  <c r="AM26" i="90"/>
  <c r="AM19" i="90"/>
  <c r="AG23" i="90"/>
  <c r="AH23" i="90"/>
  <c r="AM10" i="90"/>
  <c r="AH43" i="90"/>
  <c r="AG43" i="90"/>
  <c r="AH35" i="90"/>
  <c r="AG35" i="90"/>
  <c r="AM28" i="90"/>
  <c r="AH16" i="90"/>
  <c r="AG16" i="90"/>
  <c r="AM22" i="90"/>
  <c r="AG44" i="90"/>
  <c r="AH44" i="90"/>
  <c r="AM38" i="90"/>
  <c r="AM27" i="90"/>
  <c r="AH29" i="90"/>
  <c r="AG29" i="90"/>
  <c r="AG17" i="90"/>
  <c r="AH17" i="90"/>
  <c r="AH15" i="90"/>
  <c r="AG15" i="90"/>
  <c r="AM37" i="90"/>
  <c r="AM30" i="90"/>
  <c r="AM25" i="90"/>
  <c r="AM42" i="90"/>
  <c r="AM14" i="90"/>
  <c r="AH7" i="90"/>
  <c r="AG7" i="90"/>
  <c r="AG46" i="90"/>
  <c r="AH46" i="90"/>
  <c r="AH33" i="90"/>
  <c r="AG33" i="90"/>
  <c r="AM48" i="90"/>
  <c r="AH26" i="90"/>
  <c r="AG26" i="90"/>
  <c r="AH19" i="90"/>
  <c r="AG19" i="90"/>
  <c r="AM23" i="90"/>
  <c r="AH10" i="90"/>
  <c r="AG10" i="90"/>
  <c r="AM8" i="90"/>
  <c r="AM43" i="90"/>
  <c r="AM35" i="90"/>
  <c r="AG28" i="90"/>
  <c r="AH28" i="90"/>
  <c r="AM16" i="90"/>
  <c r="AH22" i="90"/>
  <c r="AG22" i="90"/>
  <c r="AM41" i="90"/>
  <c r="AM34" i="90"/>
  <c r="AM40" i="90"/>
  <c r="AM18" i="90"/>
  <c r="AH11" i="90"/>
  <c r="AG11" i="90"/>
  <c r="R16" i="90" a="1"/>
  <c r="R16" i="90" s="1"/>
  <c r="O16" i="90" a="1"/>
  <c r="O16" i="90" s="1"/>
  <c r="U16" i="90" a="1"/>
  <c r="U16" i="90" s="1"/>
  <c r="U12" i="90"/>
  <c r="V12" i="90" s="1"/>
  <c r="O11" i="90"/>
  <c r="R10" i="90"/>
  <c r="U8" i="90"/>
  <c r="U13" i="90"/>
  <c r="V13" i="90" s="1"/>
  <c r="U11" i="90"/>
  <c r="V11" i="90" s="1"/>
  <c r="O10" i="90"/>
  <c r="R9" i="90"/>
  <c r="R13" i="90"/>
  <c r="S13" i="90" s="1"/>
  <c r="R12" i="90"/>
  <c r="U10" i="90"/>
  <c r="V10" i="90" s="1"/>
  <c r="O9" i="90"/>
  <c r="R8" i="90"/>
  <c r="O13" i="90"/>
  <c r="O12" i="90"/>
  <c r="R11" i="90"/>
  <c r="U9" i="90"/>
  <c r="V9" i="90" s="1"/>
  <c r="O8" i="90"/>
  <c r="AH37" i="90"/>
  <c r="AG37" i="90"/>
  <c r="AH30" i="90"/>
  <c r="AG30" i="90"/>
  <c r="AH25" i="90"/>
  <c r="AG25" i="90"/>
  <c r="AG42" i="90"/>
  <c r="AH42" i="90"/>
  <c r="AG14" i="90"/>
  <c r="AH14" i="90"/>
  <c r="AM7" i="90"/>
  <c r="AH12" i="90"/>
  <c r="AG12" i="90"/>
  <c r="AM61" i="90"/>
  <c r="AG32" i="90"/>
  <c r="AH32" i="90"/>
  <c r="AM20" i="90"/>
  <c r="AM31" i="90"/>
  <c r="AG21" i="90"/>
  <c r="AH21" i="90"/>
  <c r="AM44" i="90"/>
  <c r="AG38" i="90"/>
  <c r="AH38" i="90"/>
  <c r="AM29" i="90"/>
  <c r="AH61" i="90"/>
  <c r="AG61" i="90"/>
  <c r="AM46" i="90"/>
  <c r="AM39" i="90"/>
  <c r="AM32" i="90"/>
  <c r="AH20" i="90"/>
  <c r="AG20" i="90"/>
  <c r="AM33" i="90"/>
  <c r="AH8" i="90"/>
  <c r="AG8" i="90"/>
  <c r="AH48" i="90"/>
  <c r="AG48" i="90"/>
  <c r="AH31" i="90"/>
  <c r="AG31" i="90"/>
  <c r="AM36" i="90"/>
  <c r="AM21" i="90"/>
  <c r="AM9" i="90"/>
  <c r="AH41" i="90"/>
  <c r="AG41" i="90"/>
  <c r="AH34" i="90"/>
  <c r="AG34" i="90"/>
  <c r="AH40" i="90"/>
  <c r="AG40" i="90"/>
  <c r="AH18" i="90"/>
  <c r="AG18" i="90"/>
  <c r="AM11" i="90"/>
  <c r="AH49" i="90"/>
  <c r="AG49" i="90"/>
  <c r="AM47" i="90"/>
  <c r="AM24" i="90"/>
  <c r="AH45" i="90"/>
  <c r="AG45" i="90"/>
  <c r="AH13" i="90"/>
  <c r="AG13" i="90"/>
  <c r="AM12" i="90"/>
  <c r="BD8" i="90"/>
  <c r="BD7" i="90"/>
  <c r="BD9" i="90"/>
  <c r="BD10" i="90"/>
  <c r="BD12" i="90"/>
  <c r="BC13" i="90"/>
  <c r="BD11" i="90"/>
  <c r="AY63" i="89"/>
  <c r="AY46" i="89"/>
  <c r="AL54" i="89"/>
  <c r="AK54" i="89"/>
  <c r="AM54" i="89" s="1"/>
  <c r="AK57" i="89"/>
  <c r="AM57" i="89" s="1"/>
  <c r="AL57" i="89"/>
  <c r="AL51" i="89"/>
  <c r="AK51" i="89"/>
  <c r="AM51" i="89" s="1"/>
  <c r="AL63" i="89"/>
  <c r="AK63" i="89"/>
  <c r="AM63" i="89" s="1"/>
  <c r="AL56" i="89"/>
  <c r="AK56" i="89"/>
  <c r="AM56" i="89" s="1"/>
  <c r="AK50" i="89"/>
  <c r="AM50" i="89" s="1"/>
  <c r="AL50" i="89"/>
  <c r="AL60" i="89"/>
  <c r="AK60" i="89"/>
  <c r="AM60" i="89" s="1"/>
  <c r="AL59" i="89"/>
  <c r="AK59" i="89"/>
  <c r="AM59" i="89" s="1"/>
  <c r="AL65" i="89"/>
  <c r="AK65" i="89"/>
  <c r="AM65" i="89" s="1"/>
  <c r="AL58" i="89"/>
  <c r="AK58" i="89"/>
  <c r="AM58" i="89" s="1"/>
  <c r="AL64" i="89"/>
  <c r="AK64" i="89"/>
  <c r="AM64" i="89" s="1"/>
  <c r="AK53" i="89"/>
  <c r="AM53" i="89" s="1"/>
  <c r="AL53" i="89"/>
  <c r="AL67" i="89"/>
  <c r="AK67" i="89"/>
  <c r="AM67" i="89" s="1"/>
  <c r="AK62" i="89"/>
  <c r="AM62" i="89" s="1"/>
  <c r="AL62" i="89"/>
  <c r="AH8" i="89"/>
  <c r="AG8" i="89"/>
  <c r="AL52" i="89"/>
  <c r="AK52" i="89"/>
  <c r="AM52" i="89" s="1"/>
  <c r="AK55" i="89"/>
  <c r="AM55" i="89" s="1"/>
  <c r="AL55" i="89"/>
  <c r="AK66" i="89"/>
  <c r="AM66" i="89" s="1"/>
  <c r="AL66" i="89"/>
  <c r="AM8" i="89"/>
  <c r="AY52" i="89"/>
  <c r="AY22" i="89"/>
  <c r="AY23" i="89"/>
  <c r="AY58" i="89"/>
  <c r="AY18" i="89"/>
  <c r="AY19" i="89"/>
  <c r="AY8" i="89"/>
  <c r="AY37" i="89"/>
  <c r="AY56" i="89"/>
  <c r="AY33" i="89"/>
  <c r="AY14" i="89"/>
  <c r="AY54" i="89"/>
  <c r="AY31" i="89"/>
  <c r="AY26" i="89"/>
  <c r="AY51" i="89"/>
  <c r="AY40" i="89"/>
  <c r="AY35" i="89"/>
  <c r="AY32" i="89"/>
  <c r="AY12" i="89"/>
  <c r="AY27" i="89"/>
  <c r="AY9" i="89"/>
  <c r="AY16" i="89"/>
  <c r="AY53" i="89"/>
  <c r="AY21" i="89"/>
  <c r="M11" i="89"/>
  <c r="AY44" i="89"/>
  <c r="AY29" i="89"/>
  <c r="AY30" i="89"/>
  <c r="AY41" i="89"/>
  <c r="AY10" i="89"/>
  <c r="AY15" i="89"/>
  <c r="AY7" i="89"/>
  <c r="AY25" i="89"/>
  <c r="AY20" i="89"/>
  <c r="AY36" i="89"/>
  <c r="AY61" i="89"/>
  <c r="AY55" i="89"/>
  <c r="AY17" i="89"/>
  <c r="M13" i="89"/>
  <c r="Y14" i="89"/>
  <c r="AY45" i="89"/>
  <c r="AY62" i="89"/>
  <c r="AY42" i="89"/>
  <c r="AY43" i="89"/>
  <c r="AY38" i="89"/>
  <c r="M12" i="89"/>
  <c r="M8" i="89"/>
  <c r="AY13" i="89"/>
  <c r="AY24" i="89"/>
  <c r="AY48" i="89"/>
  <c r="AY57" i="89"/>
  <c r="AY47" i="89"/>
  <c r="AY49" i="89"/>
  <c r="AY59" i="89"/>
  <c r="AY39" i="89"/>
  <c r="AY34" i="89"/>
  <c r="M14" i="89"/>
  <c r="L5" i="89"/>
  <c r="C77" i="89"/>
  <c r="AY11" i="89"/>
  <c r="AY28" i="89"/>
  <c r="AY50" i="89"/>
  <c r="AY60" i="89"/>
  <c r="BC10" i="89"/>
  <c r="AW9" i="88"/>
  <c r="AX9" i="88" s="1"/>
  <c r="AW58" i="88"/>
  <c r="AX58" i="88" s="1"/>
  <c r="AW56" i="88"/>
  <c r="AW54" i="88"/>
  <c r="AX54" i="88" s="1"/>
  <c r="AW52" i="88"/>
  <c r="AX52" i="88" s="1"/>
  <c r="AW60" i="88"/>
  <c r="AW57" i="88"/>
  <c r="AW55" i="88"/>
  <c r="AX55" i="88" s="1"/>
  <c r="AW50" i="88"/>
  <c r="AX50" i="88" s="1"/>
  <c r="AW44" i="88"/>
  <c r="AX44" i="88" s="1"/>
  <c r="AW53" i="88"/>
  <c r="AX53" i="88" s="1"/>
  <c r="AW48" i="88"/>
  <c r="AX48" i="88" s="1"/>
  <c r="AW37" i="88"/>
  <c r="AX37" i="88" s="1"/>
  <c r="AW29" i="88"/>
  <c r="AX29" i="88" s="1"/>
  <c r="AW23" i="88"/>
  <c r="AX23" i="88" s="1"/>
  <c r="AW19" i="88"/>
  <c r="AX19" i="88" s="1"/>
  <c r="AW33" i="88"/>
  <c r="AX33" i="88" s="1"/>
  <c r="AW25" i="88"/>
  <c r="AW17" i="88"/>
  <c r="AX17" i="88" s="1"/>
  <c r="AW13" i="88"/>
  <c r="AX13" i="88" s="1"/>
  <c r="AW12" i="88"/>
  <c r="AX12" i="88" s="1"/>
  <c r="AW11" i="88"/>
  <c r="AX11" i="88" s="1"/>
  <c r="AW7" i="88"/>
  <c r="AX7" i="88" s="1"/>
  <c r="AW41" i="88"/>
  <c r="AX41" i="88" s="1"/>
  <c r="AW21" i="88"/>
  <c r="AX21" i="88" s="1"/>
  <c r="L14" i="88"/>
  <c r="M9" i="88" s="1"/>
  <c r="AW8" i="88"/>
  <c r="AX8" i="88" s="1"/>
  <c r="BC9" i="88"/>
  <c r="M11" i="88"/>
  <c r="AW14" i="88"/>
  <c r="AX14" i="88" s="1"/>
  <c r="AW22" i="88"/>
  <c r="AX22" i="88" s="1"/>
  <c r="AX25" i="88"/>
  <c r="AW36" i="88"/>
  <c r="AX36" i="88" s="1"/>
  <c r="AW10" i="88"/>
  <c r="AX10" i="88" s="1"/>
  <c r="AW16" i="88"/>
  <c r="AX16" i="88" s="1"/>
  <c r="AW24" i="88"/>
  <c r="AX24" i="88" s="1"/>
  <c r="AW15" i="88"/>
  <c r="AX15" i="88" s="1"/>
  <c r="AW20" i="88"/>
  <c r="AX20" i="88" s="1"/>
  <c r="AW26" i="88"/>
  <c r="AX26" i="88" s="1"/>
  <c r="AW28" i="88"/>
  <c r="AX28" i="88" s="1"/>
  <c r="AW42" i="88"/>
  <c r="AX42" i="88" s="1"/>
  <c r="AW18" i="88"/>
  <c r="AX18" i="88" s="1"/>
  <c r="AW43" i="88"/>
  <c r="AX43" i="88" s="1"/>
  <c r="AW34" i="88"/>
  <c r="AX34" i="88" s="1"/>
  <c r="AW45" i="88"/>
  <c r="AX45" i="88" s="1"/>
  <c r="AW32" i="88"/>
  <c r="AX32" i="88" s="1"/>
  <c r="AW40" i="88"/>
  <c r="AX40" i="88" s="1"/>
  <c r="AW27" i="88"/>
  <c r="AX27" i="88" s="1"/>
  <c r="AW30" i="88"/>
  <c r="AX30" i="88" s="1"/>
  <c r="AW38" i="88"/>
  <c r="AX38" i="88" s="1"/>
  <c r="AW51" i="88"/>
  <c r="AX51" i="88" s="1"/>
  <c r="AX56" i="88"/>
  <c r="AW31" i="88"/>
  <c r="AX31" i="88" s="1"/>
  <c r="AW35" i="88"/>
  <c r="AX35" i="88" s="1"/>
  <c r="AW39" i="88"/>
  <c r="AX39" i="88" s="1"/>
  <c r="AW49" i="88"/>
  <c r="AX49" i="88" s="1"/>
  <c r="AX57" i="88"/>
  <c r="AX60" i="88"/>
  <c r="AW47" i="88"/>
  <c r="AX47" i="88" s="1"/>
  <c r="AW61" i="88"/>
  <c r="AX61" i="88" s="1"/>
  <c r="AW59" i="88"/>
  <c r="AX59" i="88" s="1"/>
  <c r="AW62" i="88"/>
  <c r="AX62" i="88" s="1"/>
  <c r="AW46" i="88"/>
  <c r="AX46" i="88" s="1"/>
  <c r="AW63" i="88"/>
  <c r="AX63" i="88" s="1"/>
  <c r="CI31" i="7"/>
  <c r="CI21" i="7"/>
  <c r="CI11" i="7"/>
  <c r="CI7" i="7"/>
  <c r="AJ20" i="88"/>
  <c r="AJ7" i="88"/>
  <c r="G48" i="88"/>
  <c r="G35" i="88"/>
  <c r="AJ60" i="88"/>
  <c r="AJ66" i="88"/>
  <c r="AJ31" i="88"/>
  <c r="G8" i="88"/>
  <c r="G30" i="88"/>
  <c r="AJ57" i="88"/>
  <c r="AJ62" i="88"/>
  <c r="AJ46" i="88"/>
  <c r="G9" i="88"/>
  <c r="G39" i="88"/>
  <c r="AJ63" i="88"/>
  <c r="AJ32" i="88"/>
  <c r="G47" i="88"/>
  <c r="AJ55" i="88"/>
  <c r="AJ59" i="88"/>
  <c r="AJ36" i="88"/>
  <c r="G10" i="88"/>
  <c r="G49" i="88"/>
  <c r="G28" i="88"/>
  <c r="AJ29" i="88"/>
  <c r="AJ16" i="88"/>
  <c r="AJ22" i="88"/>
  <c r="AJ53" i="88"/>
  <c r="AJ54" i="88"/>
  <c r="AJ39" i="88"/>
  <c r="G21" i="88"/>
  <c r="AJ19" i="88"/>
  <c r="AJ12" i="88"/>
  <c r="AJ10" i="88"/>
  <c r="G41" i="88"/>
  <c r="G17" i="88"/>
  <c r="AJ50" i="88"/>
  <c r="AJ41" i="88"/>
  <c r="AJ25" i="88"/>
  <c r="G12" i="88"/>
  <c r="G44" i="88"/>
  <c r="G31" i="88"/>
  <c r="AJ48" i="88"/>
  <c r="AJ37" i="88"/>
  <c r="AJ21" i="88"/>
  <c r="G13" i="88"/>
  <c r="G23" i="88"/>
  <c r="AJ43" i="88"/>
  <c r="G11" i="88"/>
  <c r="G61" i="88"/>
  <c r="G25" i="88"/>
  <c r="AJ44" i="88"/>
  <c r="AJ33" i="88"/>
  <c r="AJ17" i="88"/>
  <c r="G14" i="88"/>
  <c r="G29" i="88"/>
  <c r="AJ67" i="88"/>
  <c r="AJ35" i="88"/>
  <c r="AJ40" i="88"/>
  <c r="AJ64" i="88"/>
  <c r="AJ9" i="88"/>
  <c r="E7" i="88"/>
  <c r="G34" i="88"/>
  <c r="G19" i="88"/>
  <c r="AJ45" i="88"/>
  <c r="G15" i="88"/>
  <c r="G45" i="88"/>
  <c r="AJ56" i="88"/>
  <c r="AJ26" i="88"/>
  <c r="AJ27" i="88"/>
  <c r="G18" i="88"/>
  <c r="G32" i="88"/>
  <c r="AL11" i="88"/>
  <c r="AJ14" i="88"/>
  <c r="AJ8" i="88"/>
  <c r="G46" i="88"/>
  <c r="G26" i="88"/>
  <c r="AJ61" i="88"/>
  <c r="AJ47" i="88"/>
  <c r="AJ18" i="88"/>
  <c r="G16" i="88"/>
  <c r="E20" i="88"/>
  <c r="G37" i="88"/>
  <c r="G43" i="88"/>
  <c r="AJ49" i="88"/>
  <c r="AJ38" i="88"/>
  <c r="AJ51" i="88"/>
  <c r="AJ15" i="88"/>
  <c r="G40" i="88"/>
  <c r="AJ30" i="88"/>
  <c r="G24" i="88"/>
  <c r="E27" i="88"/>
  <c r="G33" i="88"/>
  <c r="G36" i="88"/>
  <c r="AJ65" i="88"/>
  <c r="AJ34" i="88"/>
  <c r="G38" i="88"/>
  <c r="AK11" i="88"/>
  <c r="AJ58" i="88"/>
  <c r="AJ28" i="88"/>
  <c r="G22" i="88"/>
  <c r="AJ42" i="88"/>
  <c r="AJ24" i="88"/>
  <c r="AJ13" i="88"/>
  <c r="G42" i="88"/>
  <c r="AJ23" i="88"/>
  <c r="AJ52" i="88"/>
  <c r="AK9" i="89"/>
  <c r="AL32" i="89"/>
  <c r="E46" i="89"/>
  <c r="AL39" i="89"/>
  <c r="E48" i="89"/>
  <c r="AL40" i="89"/>
  <c r="AK11" i="89"/>
  <c r="AK44" i="89"/>
  <c r="E39" i="89"/>
  <c r="AK27" i="89"/>
  <c r="E30" i="89"/>
  <c r="AK46" i="89"/>
  <c r="E37" i="89"/>
  <c r="AL37" i="89"/>
  <c r="E35" i="89"/>
  <c r="AK23" i="89"/>
  <c r="E25" i="89"/>
  <c r="AL26" i="89"/>
  <c r="AL49" i="89"/>
  <c r="AK33" i="89"/>
  <c r="E24" i="89"/>
  <c r="AK19" i="89"/>
  <c r="E31" i="89"/>
  <c r="AL22" i="89"/>
  <c r="AL45" i="89"/>
  <c r="AK26" i="89"/>
  <c r="AK49" i="89"/>
  <c r="AL33" i="89"/>
  <c r="E27" i="89"/>
  <c r="AL30" i="89"/>
  <c r="E47" i="89"/>
  <c r="AL20" i="89"/>
  <c r="E16" i="89"/>
  <c r="AK7" i="89"/>
  <c r="AL17" i="89"/>
  <c r="AL61" i="89"/>
  <c r="E14" i="89"/>
  <c r="AL47" i="89"/>
  <c r="AK32" i="89"/>
  <c r="AK39" i="89"/>
  <c r="AL42" i="89"/>
  <c r="AK15" i="89"/>
  <c r="E33" i="89"/>
  <c r="AK29" i="89"/>
  <c r="AK37" i="89"/>
  <c r="E49" i="89"/>
  <c r="E11" i="89"/>
  <c r="AL29" i="89"/>
  <c r="AK40" i="89"/>
  <c r="AL12" i="89"/>
  <c r="E32" i="89"/>
  <c r="AK31" i="89"/>
  <c r="AK28" i="89"/>
  <c r="AL16" i="89"/>
  <c r="E41" i="89"/>
  <c r="AL7" i="89"/>
  <c r="AK17" i="89"/>
  <c r="AL21" i="89"/>
  <c r="AL11" i="89"/>
  <c r="AL44" i="89"/>
  <c r="AL38" i="89"/>
  <c r="E43" i="89"/>
  <c r="AK42" i="89"/>
  <c r="AL34" i="89"/>
  <c r="AK38" i="89"/>
  <c r="E36" i="89"/>
  <c r="E10" i="89"/>
  <c r="AK43" i="89"/>
  <c r="AL27" i="89"/>
  <c r="E23" i="89"/>
  <c r="AL46" i="89"/>
  <c r="E34" i="89"/>
  <c r="AK30" i="89"/>
  <c r="AL15" i="89"/>
  <c r="AL41" i="89"/>
  <c r="E19" i="89"/>
  <c r="AL31" i="89"/>
  <c r="E8" i="89"/>
  <c r="AL28" i="89"/>
  <c r="E13" i="89"/>
  <c r="AL19" i="89"/>
  <c r="E28" i="89"/>
  <c r="AK25" i="89"/>
  <c r="AK47" i="89"/>
  <c r="AK13" i="89"/>
  <c r="AL35" i="89"/>
  <c r="AL14" i="89"/>
  <c r="E18" i="89"/>
  <c r="AK21" i="89"/>
  <c r="E21" i="89"/>
  <c r="E15" i="89"/>
  <c r="AL43" i="89"/>
  <c r="AL13" i="89"/>
  <c r="AK35" i="89"/>
  <c r="AK14" i="89"/>
  <c r="E17" i="89"/>
  <c r="AK16" i="89"/>
  <c r="E38" i="89"/>
  <c r="AK22" i="89"/>
  <c r="AK45" i="89"/>
  <c r="AK48" i="89"/>
  <c r="AK18" i="89"/>
  <c r="AL25" i="89"/>
  <c r="AL9" i="89"/>
  <c r="E44" i="89"/>
  <c r="AK10" i="89"/>
  <c r="AK41" i="89"/>
  <c r="AK24" i="89"/>
  <c r="E12" i="89"/>
  <c r="E40" i="89"/>
  <c r="AK20" i="89"/>
  <c r="AL24" i="89"/>
  <c r="E20" i="89"/>
  <c r="E45" i="89"/>
  <c r="AK34" i="89"/>
  <c r="E29" i="89"/>
  <c r="E9" i="89"/>
  <c r="AL23" i="89"/>
  <c r="E26" i="89"/>
  <c r="AL48" i="89"/>
  <c r="AK61" i="89"/>
  <c r="E22" i="89"/>
  <c r="E61" i="89"/>
  <c r="AK36" i="89"/>
  <c r="AL10" i="89"/>
  <c r="AK12" i="89"/>
  <c r="E42" i="89"/>
  <c r="AL36" i="89"/>
  <c r="AL18" i="89"/>
  <c r="E7" i="89"/>
  <c r="BG11" i="7"/>
  <c r="BG7" i="7"/>
  <c r="S11" i="91" l="1"/>
  <c r="BF10" i="91"/>
  <c r="BI10" i="91"/>
  <c r="BG10" i="91"/>
  <c r="BH10" i="91"/>
  <c r="S10" i="91"/>
  <c r="S12" i="91"/>
  <c r="P8" i="91"/>
  <c r="R5" i="91"/>
  <c r="S14" i="91"/>
  <c r="P9" i="91"/>
  <c r="P11" i="91"/>
  <c r="P12" i="91"/>
  <c r="S9" i="91"/>
  <c r="U5" i="91"/>
  <c r="V14" i="91"/>
  <c r="P14" i="91"/>
  <c r="O5" i="91"/>
  <c r="BD11" i="91"/>
  <c r="BC12" i="91"/>
  <c r="AA14" i="91"/>
  <c r="BG11" i="90"/>
  <c r="BH11" i="90"/>
  <c r="BF11" i="90"/>
  <c r="BI11" i="90"/>
  <c r="BC14" i="90"/>
  <c r="BD13" i="90"/>
  <c r="AA10" i="90"/>
  <c r="BG7" i="90"/>
  <c r="BH7" i="90"/>
  <c r="BF7" i="90"/>
  <c r="BI7" i="90"/>
  <c r="AA12" i="90"/>
  <c r="BG12" i="90"/>
  <c r="BI12" i="90"/>
  <c r="BH12" i="90"/>
  <c r="BF12" i="90"/>
  <c r="O14" i="90"/>
  <c r="P12" i="90" s="1"/>
  <c r="AA8" i="90"/>
  <c r="BG9" i="90"/>
  <c r="BI9" i="90"/>
  <c r="BH9" i="90"/>
  <c r="BF9" i="90"/>
  <c r="AA9" i="90"/>
  <c r="V8" i="90"/>
  <c r="U14" i="90"/>
  <c r="BG8" i="90"/>
  <c r="BF8" i="90"/>
  <c r="BI8" i="90"/>
  <c r="BH8" i="90"/>
  <c r="AA13" i="90"/>
  <c r="P11" i="90"/>
  <c r="AA11" i="90"/>
  <c r="BG10" i="90"/>
  <c r="BI10" i="90"/>
  <c r="BH10" i="90"/>
  <c r="BF10" i="90"/>
  <c r="R14" i="90"/>
  <c r="S10" i="90" s="1"/>
  <c r="S8" i="90"/>
  <c r="BD9" i="89"/>
  <c r="AM45" i="89"/>
  <c r="AM43" i="89"/>
  <c r="AM34" i="89"/>
  <c r="AH20" i="89"/>
  <c r="AG20" i="89"/>
  <c r="AM22" i="89"/>
  <c r="R16" i="89" a="1"/>
  <c r="R16" i="89" s="1"/>
  <c r="O16" i="89" a="1"/>
  <c r="O16" i="89" s="1"/>
  <c r="U16" i="89" a="1"/>
  <c r="U16" i="89" s="1"/>
  <c r="U13" i="89"/>
  <c r="V13" i="89" s="1"/>
  <c r="O12" i="89"/>
  <c r="U11" i="89"/>
  <c r="V11" i="89" s="1"/>
  <c r="O10" i="89"/>
  <c r="U9" i="89"/>
  <c r="V9" i="89" s="1"/>
  <c r="O8" i="89"/>
  <c r="R9" i="89"/>
  <c r="R13" i="89"/>
  <c r="S13" i="89" s="1"/>
  <c r="R11" i="89"/>
  <c r="O13" i="89"/>
  <c r="U12" i="89"/>
  <c r="V12" i="89" s="1"/>
  <c r="O11" i="89"/>
  <c r="U10" i="89"/>
  <c r="V10" i="89" s="1"/>
  <c r="O9" i="89"/>
  <c r="U8" i="89"/>
  <c r="R8" i="89"/>
  <c r="R12" i="89"/>
  <c r="R10" i="89"/>
  <c r="AH12" i="89"/>
  <c r="AG12" i="89"/>
  <c r="AM40" i="89"/>
  <c r="AG30" i="89"/>
  <c r="AH30" i="89"/>
  <c r="AM16" i="89"/>
  <c r="AH18" i="89"/>
  <c r="AG18" i="89"/>
  <c r="AH36" i="89"/>
  <c r="AG36" i="89"/>
  <c r="AH29" i="89"/>
  <c r="AG29" i="89"/>
  <c r="AH33" i="89"/>
  <c r="AG33" i="89"/>
  <c r="AM14" i="89"/>
  <c r="AM49" i="89"/>
  <c r="AM35" i="89"/>
  <c r="AM38" i="89"/>
  <c r="AH24" i="89"/>
  <c r="AG24" i="89"/>
  <c r="AM26" i="89"/>
  <c r="AH13" i="89"/>
  <c r="AG13" i="89"/>
  <c r="AG45" i="89"/>
  <c r="AH45" i="89"/>
  <c r="AH43" i="89"/>
  <c r="AG43" i="89"/>
  <c r="AH34" i="89"/>
  <c r="AG34" i="89"/>
  <c r="AM20" i="89"/>
  <c r="AH22" i="89"/>
  <c r="AG22" i="89"/>
  <c r="AM12" i="89"/>
  <c r="AM42" i="89"/>
  <c r="AM37" i="89"/>
  <c r="AM19" i="89"/>
  <c r="AM21" i="89"/>
  <c r="AH10" i="89"/>
  <c r="AG10" i="89"/>
  <c r="AM36" i="89"/>
  <c r="AM29" i="89"/>
  <c r="AM33" i="89"/>
  <c r="AG14" i="89"/>
  <c r="AH14" i="89"/>
  <c r="AG49" i="89"/>
  <c r="AH49" i="89"/>
  <c r="AH35" i="89"/>
  <c r="AG35" i="89"/>
  <c r="AH38" i="89"/>
  <c r="AG38" i="89"/>
  <c r="AM24" i="89"/>
  <c r="AH26" i="89"/>
  <c r="AG26" i="89"/>
  <c r="AM13" i="89"/>
  <c r="AM47" i="89"/>
  <c r="AH44" i="89"/>
  <c r="AG44" i="89"/>
  <c r="AM41" i="89"/>
  <c r="AM23" i="89"/>
  <c r="AM25" i="89"/>
  <c r="AH11" i="89"/>
  <c r="AG11" i="89"/>
  <c r="AM15" i="89"/>
  <c r="AG42" i="89"/>
  <c r="AH42" i="89"/>
  <c r="AG37" i="89"/>
  <c r="AH37" i="89"/>
  <c r="AH19" i="89"/>
  <c r="AG19" i="89"/>
  <c r="AG21" i="89"/>
  <c r="AH21" i="89"/>
  <c r="AM10" i="89"/>
  <c r="AM61" i="89"/>
  <c r="AM39" i="89"/>
  <c r="AM46" i="89"/>
  <c r="AH28" i="89"/>
  <c r="AG28" i="89"/>
  <c r="AM17" i="89"/>
  <c r="AH48" i="89"/>
  <c r="AG48" i="89"/>
  <c r="AM32" i="89"/>
  <c r="AM27" i="89"/>
  <c r="AH31" i="89"/>
  <c r="AG31" i="89"/>
  <c r="AH7" i="89"/>
  <c r="AG7" i="89"/>
  <c r="AH9" i="89"/>
  <c r="AG9" i="89"/>
  <c r="AH47" i="89"/>
  <c r="AG47" i="89"/>
  <c r="AM44" i="89"/>
  <c r="AG41" i="89"/>
  <c r="AH41" i="89"/>
  <c r="AH23" i="89"/>
  <c r="AG23" i="89"/>
  <c r="AG25" i="89"/>
  <c r="AH25" i="89"/>
  <c r="AM11" i="89"/>
  <c r="AH15" i="89"/>
  <c r="AG15" i="89"/>
  <c r="AH40" i="89"/>
  <c r="AG40" i="89"/>
  <c r="AM30" i="89"/>
  <c r="AH16" i="89"/>
  <c r="AG16" i="89"/>
  <c r="AM18" i="89"/>
  <c r="AH61" i="89"/>
  <c r="AG61" i="89"/>
  <c r="AH39" i="89"/>
  <c r="AG39" i="89"/>
  <c r="AH46" i="89"/>
  <c r="AG46" i="89"/>
  <c r="AM28" i="89"/>
  <c r="AG17" i="89"/>
  <c r="AH17" i="89"/>
  <c r="AM48" i="89"/>
  <c r="AG32" i="89"/>
  <c r="AH32" i="89"/>
  <c r="AH27" i="89"/>
  <c r="AG27" i="89"/>
  <c r="AM31" i="89"/>
  <c r="AM7" i="89"/>
  <c r="AM9" i="89"/>
  <c r="BD10" i="89"/>
  <c r="BC11" i="89"/>
  <c r="BD7" i="89"/>
  <c r="BD8" i="89"/>
  <c r="BG9" i="89"/>
  <c r="BI9" i="89"/>
  <c r="BF9" i="89"/>
  <c r="BH9" i="89"/>
  <c r="C77" i="88"/>
  <c r="Y14" i="88"/>
  <c r="M8" i="88"/>
  <c r="AY62" i="88"/>
  <c r="AY39" i="88"/>
  <c r="AH11" i="88"/>
  <c r="AG11" i="88"/>
  <c r="AL52" i="88"/>
  <c r="AK52" i="88"/>
  <c r="AM52" i="88" s="1"/>
  <c r="AK64" i="88"/>
  <c r="AM64" i="88" s="1"/>
  <c r="AL64" i="88"/>
  <c r="AL67" i="88"/>
  <c r="AK67" i="88"/>
  <c r="AM67" i="88" s="1"/>
  <c r="AL59" i="88"/>
  <c r="AK59" i="88"/>
  <c r="AM59" i="88" s="1"/>
  <c r="AL54" i="88"/>
  <c r="AK54" i="88"/>
  <c r="AM54" i="88" s="1"/>
  <c r="AL65" i="88"/>
  <c r="AK65" i="88"/>
  <c r="AM65" i="88" s="1"/>
  <c r="AL55" i="88"/>
  <c r="AK55" i="88"/>
  <c r="AM55" i="88" s="1"/>
  <c r="AL63" i="88"/>
  <c r="AK63" i="88"/>
  <c r="AM63" i="88" s="1"/>
  <c r="AL53" i="88"/>
  <c r="AK53" i="88"/>
  <c r="AM53" i="88" s="1"/>
  <c r="AL51" i="88"/>
  <c r="AK51" i="88"/>
  <c r="AM51" i="88" s="1"/>
  <c r="AL62" i="88"/>
  <c r="AK62" i="88"/>
  <c r="AM62" i="88" s="1"/>
  <c r="AL56" i="88"/>
  <c r="AK56" i="88"/>
  <c r="AM56" i="88" s="1"/>
  <c r="AL57" i="88"/>
  <c r="AK57" i="88"/>
  <c r="AM57" i="88" s="1"/>
  <c r="AL66" i="88"/>
  <c r="AK66" i="88"/>
  <c r="AM66" i="88" s="1"/>
  <c r="AL58" i="88"/>
  <c r="AK58" i="88"/>
  <c r="AM58" i="88" s="1"/>
  <c r="AL50" i="88"/>
  <c r="AK50" i="88"/>
  <c r="AM50" i="88" s="1"/>
  <c r="AL60" i="88"/>
  <c r="AK60" i="88"/>
  <c r="AM60" i="88" s="1"/>
  <c r="AM11" i="88"/>
  <c r="AY27" i="88"/>
  <c r="AY13" i="88"/>
  <c r="AY35" i="88"/>
  <c r="AY14" i="88"/>
  <c r="AY63" i="88"/>
  <c r="AY28" i="88"/>
  <c r="AY11" i="88"/>
  <c r="AY32" i="88"/>
  <c r="AY59" i="88"/>
  <c r="AY45" i="88"/>
  <c r="AY46" i="88"/>
  <c r="AY26" i="88"/>
  <c r="AY10" i="88"/>
  <c r="AY12" i="88"/>
  <c r="AY9" i="88"/>
  <c r="AY37" i="88"/>
  <c r="AY57" i="88"/>
  <c r="AY43" i="88"/>
  <c r="AY15" i="88"/>
  <c r="AY22" i="88"/>
  <c r="AY8" i="88"/>
  <c r="AY7" i="88"/>
  <c r="AY33" i="88"/>
  <c r="AY49" i="88"/>
  <c r="AY38" i="88"/>
  <c r="AY52" i="88"/>
  <c r="AY48" i="88"/>
  <c r="AY17" i="88"/>
  <c r="AY41" i="88"/>
  <c r="AY19" i="88"/>
  <c r="AY61" i="88"/>
  <c r="AY54" i="88"/>
  <c r="AY18" i="88"/>
  <c r="AY24" i="88"/>
  <c r="AY47" i="88"/>
  <c r="AY56" i="88"/>
  <c r="AY51" i="88"/>
  <c r="AY34" i="88"/>
  <c r="AY20" i="88"/>
  <c r="AY16" i="88"/>
  <c r="AY36" i="88"/>
  <c r="BC10" i="88"/>
  <c r="M14" i="88"/>
  <c r="M13" i="88"/>
  <c r="M12" i="88"/>
  <c r="L5" i="88"/>
  <c r="AY23" i="88"/>
  <c r="M10" i="88"/>
  <c r="AY53" i="88"/>
  <c r="AY60" i="88"/>
  <c r="AY55" i="88"/>
  <c r="AY50" i="88"/>
  <c r="AY30" i="88"/>
  <c r="AY40" i="88"/>
  <c r="AY31" i="88"/>
  <c r="AY21" i="88"/>
  <c r="AY42" i="88"/>
  <c r="AY25" i="88"/>
  <c r="AY29" i="88"/>
  <c r="AY44" i="88"/>
  <c r="AY58" i="88"/>
  <c r="AL8" i="88"/>
  <c r="AL9" i="88"/>
  <c r="AL12" i="88"/>
  <c r="AL20" i="88"/>
  <c r="E32" i="88"/>
  <c r="AL34" i="88"/>
  <c r="AK30" i="88"/>
  <c r="AK46" i="88"/>
  <c r="E15" i="88"/>
  <c r="AL41" i="88"/>
  <c r="E14" i="88"/>
  <c r="E61" i="88"/>
  <c r="AK49" i="88"/>
  <c r="AL61" i="88"/>
  <c r="AL16" i="88"/>
  <c r="AL33" i="88"/>
  <c r="AL13" i="88"/>
  <c r="AK15" i="88"/>
  <c r="AL37" i="88"/>
  <c r="E16" i="88"/>
  <c r="AK41" i="88"/>
  <c r="E25" i="88"/>
  <c r="AL46" i="88"/>
  <c r="E35" i="88"/>
  <c r="E29" i="88"/>
  <c r="AK39" i="88"/>
  <c r="E33" i="88"/>
  <c r="E39" i="88"/>
  <c r="AK42" i="88"/>
  <c r="E37" i="88"/>
  <c r="AL47" i="88"/>
  <c r="AK22" i="88"/>
  <c r="AK29" i="88"/>
  <c r="AK40" i="88"/>
  <c r="AK13" i="88"/>
  <c r="AK24" i="88"/>
  <c r="AL49" i="88"/>
  <c r="AL25" i="88"/>
  <c r="AL36" i="88"/>
  <c r="AK27" i="88"/>
  <c r="AL35" i="88"/>
  <c r="E18" i="88"/>
  <c r="E22" i="88"/>
  <c r="AL24" i="88"/>
  <c r="E8" i="88"/>
  <c r="AK44" i="88"/>
  <c r="AL26" i="88"/>
  <c r="AK18" i="88"/>
  <c r="AK14" i="88"/>
  <c r="AK7" i="88"/>
  <c r="AL32" i="88"/>
  <c r="E30" i="88"/>
  <c r="E49" i="88"/>
  <c r="AK38" i="88"/>
  <c r="E38" i="88"/>
  <c r="E23" i="88"/>
  <c r="E45" i="88"/>
  <c r="E13" i="88"/>
  <c r="AK8" i="88"/>
  <c r="AK9" i="88"/>
  <c r="AK12" i="88"/>
  <c r="AK20" i="88"/>
  <c r="AL22" i="88"/>
  <c r="E10" i="88"/>
  <c r="E47" i="88"/>
  <c r="E40" i="88"/>
  <c r="AL38" i="88"/>
  <c r="AL28" i="88"/>
  <c r="E19" i="88"/>
  <c r="AL40" i="88"/>
  <c r="E11" i="88"/>
  <c r="E44" i="88"/>
  <c r="AL19" i="88"/>
  <c r="AL23" i="88"/>
  <c r="AL44" i="88"/>
  <c r="AK32" i="88"/>
  <c r="AK26" i="88"/>
  <c r="AL48" i="88"/>
  <c r="AK28" i="88"/>
  <c r="E26" i="88"/>
  <c r="AK43" i="88"/>
  <c r="E31" i="88"/>
  <c r="E48" i="88"/>
  <c r="AK16" i="88"/>
  <c r="AK33" i="88"/>
  <c r="E24" i="88"/>
  <c r="AL15" i="88"/>
  <c r="AK37" i="88"/>
  <c r="E12" i="88"/>
  <c r="AK61" i="88"/>
  <c r="AL29" i="88"/>
  <c r="AL14" i="88"/>
  <c r="AK10" i="88"/>
  <c r="AL7" i="88"/>
  <c r="E34" i="88"/>
  <c r="AL18" i="88"/>
  <c r="AL17" i="88"/>
  <c r="AL30" i="88"/>
  <c r="AL21" i="88"/>
  <c r="AK25" i="88"/>
  <c r="E46" i="88"/>
  <c r="AK19" i="88"/>
  <c r="AK23" i="88"/>
  <c r="AL27" i="88"/>
  <c r="AK48" i="88"/>
  <c r="E17" i="88"/>
  <c r="AL10" i="88"/>
  <c r="E21" i="88"/>
  <c r="AK36" i="88"/>
  <c r="E9" i="88"/>
  <c r="AK45" i="88"/>
  <c r="AK34" i="88"/>
  <c r="AK47" i="88"/>
  <c r="AL39" i="88"/>
  <c r="E42" i="88"/>
  <c r="AL42" i="88"/>
  <c r="AL45" i="88"/>
  <c r="E28" i="88"/>
  <c r="AK31" i="88"/>
  <c r="AK35" i="88"/>
  <c r="AK17" i="88"/>
  <c r="E36" i="88"/>
  <c r="AL43" i="88"/>
  <c r="AK21" i="88"/>
  <c r="E43" i="88"/>
  <c r="AL31" i="88"/>
  <c r="E41" i="88"/>
  <c r="BD12" i="91" l="1"/>
  <c r="BC13" i="91"/>
  <c r="BF11" i="91"/>
  <c r="BI11" i="91"/>
  <c r="BH11" i="91"/>
  <c r="BG11" i="91"/>
  <c r="P10" i="90"/>
  <c r="P13" i="90"/>
  <c r="P9" i="90"/>
  <c r="S11" i="90"/>
  <c r="BG13" i="90"/>
  <c r="BI13" i="90"/>
  <c r="BH13" i="90"/>
  <c r="BF13" i="90"/>
  <c r="S12" i="90"/>
  <c r="P14" i="90"/>
  <c r="O5" i="90"/>
  <c r="BD14" i="90"/>
  <c r="BC15" i="90"/>
  <c r="V14" i="90"/>
  <c r="U5" i="90"/>
  <c r="AA14" i="90"/>
  <c r="S14" i="90"/>
  <c r="R5" i="90"/>
  <c r="P8" i="90"/>
  <c r="S9" i="90"/>
  <c r="V8" i="89"/>
  <c r="U14" i="89"/>
  <c r="BG7" i="89"/>
  <c r="BI7" i="89"/>
  <c r="BF7" i="89"/>
  <c r="BH7" i="89"/>
  <c r="BD11" i="89"/>
  <c r="BC12" i="89"/>
  <c r="BG10" i="89"/>
  <c r="BI10" i="89"/>
  <c r="BH10" i="89"/>
  <c r="BF10" i="89"/>
  <c r="AA9" i="89"/>
  <c r="AA12" i="89"/>
  <c r="AA13" i="89"/>
  <c r="O14" i="89"/>
  <c r="P13" i="89" s="1"/>
  <c r="AA8" i="89"/>
  <c r="BG8" i="89"/>
  <c r="BI8" i="89"/>
  <c r="BH8" i="89"/>
  <c r="BF8" i="89"/>
  <c r="R14" i="89"/>
  <c r="S12" i="89" s="1"/>
  <c r="AA11" i="89"/>
  <c r="AA10" i="89"/>
  <c r="AH10" i="88"/>
  <c r="AG10" i="88"/>
  <c r="AH7" i="88"/>
  <c r="AG7" i="88"/>
  <c r="AM10" i="88"/>
  <c r="AH14" i="88"/>
  <c r="AG14" i="88"/>
  <c r="AM20" i="88"/>
  <c r="AM12" i="88"/>
  <c r="AM9" i="88"/>
  <c r="AM8" i="88"/>
  <c r="AM7" i="88"/>
  <c r="AM14" i="88"/>
  <c r="AG20" i="88"/>
  <c r="AH20" i="88"/>
  <c r="AG12" i="88"/>
  <c r="AH12" i="88"/>
  <c r="AH9" i="88"/>
  <c r="AG9" i="88"/>
  <c r="AG8" i="88"/>
  <c r="AH8" i="88"/>
  <c r="BD9" i="88"/>
  <c r="AH29" i="88"/>
  <c r="AG29" i="88"/>
  <c r="AM22" i="88"/>
  <c r="AM61" i="88"/>
  <c r="AH47" i="88"/>
  <c r="AG47" i="88"/>
  <c r="AG31" i="88"/>
  <c r="AH31" i="88"/>
  <c r="AM18" i="88"/>
  <c r="AM48" i="88"/>
  <c r="AM37" i="88"/>
  <c r="AM42" i="88"/>
  <c r="AM21" i="88"/>
  <c r="AG26" i="88"/>
  <c r="AH26" i="88"/>
  <c r="AH15" i="88"/>
  <c r="AG15" i="88"/>
  <c r="AH43" i="88"/>
  <c r="AG43" i="88"/>
  <c r="AG27" i="88"/>
  <c r="AH27" i="88"/>
  <c r="AM44" i="88"/>
  <c r="AM33" i="88"/>
  <c r="AM39" i="88"/>
  <c r="AM17" i="88"/>
  <c r="AM23" i="88"/>
  <c r="AM16" i="88"/>
  <c r="AM35" i="88"/>
  <c r="AM19" i="88"/>
  <c r="AM31" i="88"/>
  <c r="R13" i="88"/>
  <c r="S13" i="88" s="1"/>
  <c r="O13" i="88"/>
  <c r="U9" i="88"/>
  <c r="V9" i="88" s="1"/>
  <c r="O11" i="88"/>
  <c r="O16" i="88" a="1"/>
  <c r="O16" i="88" s="1"/>
  <c r="R16" i="88" a="1"/>
  <c r="R16" i="88" s="1"/>
  <c r="R12" i="88"/>
  <c r="U12" i="88"/>
  <c r="V12" i="88" s="1"/>
  <c r="O8" i="88"/>
  <c r="O10" i="88"/>
  <c r="R9" i="88"/>
  <c r="U16" i="88" a="1"/>
  <c r="U16" i="88" s="1"/>
  <c r="R11" i="88"/>
  <c r="U11" i="88"/>
  <c r="V11" i="88" s="1"/>
  <c r="U13" i="88"/>
  <c r="V13" i="88" s="1"/>
  <c r="O9" i="88"/>
  <c r="R8" i="88"/>
  <c r="R10" i="88"/>
  <c r="U10" i="88"/>
  <c r="V10" i="88" s="1"/>
  <c r="O12" i="88"/>
  <c r="U8" i="88"/>
  <c r="AG46" i="88"/>
  <c r="AH46" i="88"/>
  <c r="AH24" i="88"/>
  <c r="AG24" i="88"/>
  <c r="AM43" i="88"/>
  <c r="AM41" i="88"/>
  <c r="AG45" i="88"/>
  <c r="AH45" i="88"/>
  <c r="AM25" i="88"/>
  <c r="AM28" i="88"/>
  <c r="AH48" i="88"/>
  <c r="AG48" i="88"/>
  <c r="AH37" i="88"/>
  <c r="AG37" i="88"/>
  <c r="AG42" i="88"/>
  <c r="AH42" i="88"/>
  <c r="AH21" i="88"/>
  <c r="AG21" i="88"/>
  <c r="AM26" i="88"/>
  <c r="AM15" i="88"/>
  <c r="AH30" i="88"/>
  <c r="AG30" i="88"/>
  <c r="AM32" i="88"/>
  <c r="AH13" i="88"/>
  <c r="AG13" i="88"/>
  <c r="AH44" i="88"/>
  <c r="AG44" i="88"/>
  <c r="AH33" i="88"/>
  <c r="AG33" i="88"/>
  <c r="AG39" i="88"/>
  <c r="AH39" i="88"/>
  <c r="AH17" i="88"/>
  <c r="AG17" i="88"/>
  <c r="AG23" i="88"/>
  <c r="AH23" i="88"/>
  <c r="AH16" i="88"/>
  <c r="AG16" i="88"/>
  <c r="AG35" i="88"/>
  <c r="AH35" i="88"/>
  <c r="AG19" i="88"/>
  <c r="AH19" i="88"/>
  <c r="AH61" i="88"/>
  <c r="AG61" i="88"/>
  <c r="AM47" i="88"/>
  <c r="AH18" i="88"/>
  <c r="AG18" i="88"/>
  <c r="AM49" i="88"/>
  <c r="AM38" i="88"/>
  <c r="AM27" i="88"/>
  <c r="AM34" i="88"/>
  <c r="AH36" i="88"/>
  <c r="AG36" i="88"/>
  <c r="AH40" i="88"/>
  <c r="AG40" i="88"/>
  <c r="AH41" i="88"/>
  <c r="AG41" i="88"/>
  <c r="AM45" i="88"/>
  <c r="AH25" i="88"/>
  <c r="AG25" i="88"/>
  <c r="AH28" i="88"/>
  <c r="AG28" i="88"/>
  <c r="AH49" i="88"/>
  <c r="AG49" i="88"/>
  <c r="AH38" i="88"/>
  <c r="AG38" i="88"/>
  <c r="AM46" i="88"/>
  <c r="AM24" i="88"/>
  <c r="AM30" i="88"/>
  <c r="AH32" i="88"/>
  <c r="AG32" i="88"/>
  <c r="AM13" i="88"/>
  <c r="AH34" i="88"/>
  <c r="AG34" i="88"/>
  <c r="AM36" i="88"/>
  <c r="AM40" i="88"/>
  <c r="AM29" i="88"/>
  <c r="AH22" i="88"/>
  <c r="AG22" i="88"/>
  <c r="BG9" i="88"/>
  <c r="BF9" i="88"/>
  <c r="BI9" i="88"/>
  <c r="BH9" i="88"/>
  <c r="BC11" i="88"/>
  <c r="BD10" i="88"/>
  <c r="BD7" i="88"/>
  <c r="BD8" i="88"/>
  <c r="BC14" i="91" l="1"/>
  <c r="BD13" i="91"/>
  <c r="BF12" i="91"/>
  <c r="BI12" i="91"/>
  <c r="BH12" i="91"/>
  <c r="BG12" i="91"/>
  <c r="BF14" i="90"/>
  <c r="BI14" i="90"/>
  <c r="BH14" i="90"/>
  <c r="BG14" i="90"/>
  <c r="BC16" i="90"/>
  <c r="BD15" i="90"/>
  <c r="P11" i="89"/>
  <c r="P8" i="89"/>
  <c r="P10" i="89"/>
  <c r="S11" i="89"/>
  <c r="P12" i="89"/>
  <c r="BG11" i="89"/>
  <c r="BI11" i="89"/>
  <c r="BF11" i="89"/>
  <c r="BH11" i="89"/>
  <c r="S14" i="89"/>
  <c r="R5" i="89"/>
  <c r="AA14" i="89"/>
  <c r="S9" i="89"/>
  <c r="S8" i="89"/>
  <c r="P14" i="89"/>
  <c r="O5" i="89"/>
  <c r="S10" i="89"/>
  <c r="P9" i="89"/>
  <c r="V14" i="89"/>
  <c r="U5" i="89"/>
  <c r="BD12" i="89"/>
  <c r="BC13" i="89"/>
  <c r="AA13" i="88"/>
  <c r="BG7" i="88"/>
  <c r="BI7" i="88"/>
  <c r="BF7" i="88"/>
  <c r="BH7" i="88"/>
  <c r="BH10" i="88"/>
  <c r="BG10" i="88"/>
  <c r="BI10" i="88"/>
  <c r="BF10" i="88"/>
  <c r="R14" i="88"/>
  <c r="O14" i="88"/>
  <c r="P13" i="88" s="1"/>
  <c r="AA8" i="88"/>
  <c r="AA11" i="88"/>
  <c r="AA10" i="88"/>
  <c r="V8" i="88"/>
  <c r="U14" i="88"/>
  <c r="BC12" i="88"/>
  <c r="BD11" i="88"/>
  <c r="AA12" i="88"/>
  <c r="P9" i="88"/>
  <c r="AA9" i="88"/>
  <c r="BG8" i="88"/>
  <c r="BF8" i="88"/>
  <c r="BI8" i="88"/>
  <c r="BH8" i="88"/>
  <c r="W12" i="10"/>
  <c r="W11" i="10"/>
  <c r="V14" i="9"/>
  <c r="V13" i="9"/>
  <c r="V12" i="9"/>
  <c r="V11" i="9"/>
  <c r="BI13" i="91" l="1"/>
  <c r="BH13" i="91"/>
  <c r="BG13" i="91"/>
  <c r="BF13" i="91"/>
  <c r="BC15" i="91"/>
  <c r="BD14" i="91"/>
  <c r="W14" i="10"/>
  <c r="W13" i="10" s="1"/>
  <c r="BG15" i="90"/>
  <c r="BF15" i="90"/>
  <c r="BI15" i="90"/>
  <c r="BH15" i="90"/>
  <c r="BD16" i="90"/>
  <c r="BC17" i="90"/>
  <c r="BC14" i="89"/>
  <c r="BD13" i="89"/>
  <c r="BG12" i="89"/>
  <c r="BI12" i="89"/>
  <c r="BH12" i="89"/>
  <c r="BF12" i="89"/>
  <c r="S14" i="88"/>
  <c r="R5" i="88"/>
  <c r="V14" i="88"/>
  <c r="U5" i="88"/>
  <c r="P11" i="88"/>
  <c r="P8" i="88"/>
  <c r="S9" i="88"/>
  <c r="S11" i="88"/>
  <c r="BC13" i="88"/>
  <c r="BD12" i="88"/>
  <c r="P14" i="88"/>
  <c r="O5" i="88"/>
  <c r="S12" i="88"/>
  <c r="P12" i="88"/>
  <c r="S10" i="88"/>
  <c r="BH11" i="88"/>
  <c r="BG11" i="88"/>
  <c r="BF11" i="88"/>
  <c r="BI11" i="88"/>
  <c r="P10" i="88"/>
  <c r="AA14" i="88"/>
  <c r="S8" i="88"/>
  <c r="CF62" i="5"/>
  <c r="CE62" i="5"/>
  <c r="CD62" i="5"/>
  <c r="CF61" i="5"/>
  <c r="CF63" i="5" s="1"/>
  <c r="CE61" i="5"/>
  <c r="CE63" i="5" s="1"/>
  <c r="CD61" i="5"/>
  <c r="CD63" i="5" s="1"/>
  <c r="CG57" i="5"/>
  <c r="CF57" i="5"/>
  <c r="CE57" i="5"/>
  <c r="CD57" i="5"/>
  <c r="CG56" i="5"/>
  <c r="CG58" i="5" s="1"/>
  <c r="CF56" i="5"/>
  <c r="CF58" i="5" s="1"/>
  <c r="CE56" i="5"/>
  <c r="CE58" i="5" s="1"/>
  <c r="CD56" i="5"/>
  <c r="CG47" i="5"/>
  <c r="CF47" i="5"/>
  <c r="CE47" i="5"/>
  <c r="CD47" i="5"/>
  <c r="CG46" i="5"/>
  <c r="CG52" i="5" s="1"/>
  <c r="CF46" i="5"/>
  <c r="CF52" i="5" s="1"/>
  <c r="CE46" i="5"/>
  <c r="CE52" i="5" s="1"/>
  <c r="CD46" i="5"/>
  <c r="CD52" i="5" s="1"/>
  <c r="CG45" i="5"/>
  <c r="CF45" i="5"/>
  <c r="CE45" i="5"/>
  <c r="CD45" i="5"/>
  <c r="CG44" i="5"/>
  <c r="CG51" i="5" s="1"/>
  <c r="CF44" i="5"/>
  <c r="CF51" i="5" s="1"/>
  <c r="CF53" i="5" s="1"/>
  <c r="CE44" i="5"/>
  <c r="CE51" i="5" s="1"/>
  <c r="CE53" i="5" s="1"/>
  <c r="CD44" i="5"/>
  <c r="CD51" i="5" s="1"/>
  <c r="CD53" i="5" s="1"/>
  <c r="CG43" i="5"/>
  <c r="CF43" i="5"/>
  <c r="CE43" i="5"/>
  <c r="CD43" i="5"/>
  <c r="CG42" i="5"/>
  <c r="CG50" i="5" s="1"/>
  <c r="CF42" i="5"/>
  <c r="CF50" i="5" s="1"/>
  <c r="CE42" i="5"/>
  <c r="CE50" i="5" s="1"/>
  <c r="CD42" i="5"/>
  <c r="CD50" i="5" s="1"/>
  <c r="C68" i="87"/>
  <c r="B68" i="87" s="1"/>
  <c r="AH67" i="87"/>
  <c r="AG67" i="87"/>
  <c r="AF67" i="87"/>
  <c r="AH66" i="87"/>
  <c r="AG66" i="87"/>
  <c r="AF66" i="87"/>
  <c r="AH65" i="87"/>
  <c r="AG65" i="87"/>
  <c r="AF65" i="87"/>
  <c r="AH64" i="87"/>
  <c r="AG64" i="87"/>
  <c r="AF64" i="87"/>
  <c r="BI63" i="87"/>
  <c r="BH63" i="87"/>
  <c r="BG63" i="87"/>
  <c r="BF63" i="87"/>
  <c r="AV63" i="87"/>
  <c r="AH63" i="87"/>
  <c r="AG63" i="87"/>
  <c r="AF63" i="87"/>
  <c r="AV62" i="87"/>
  <c r="AH62" i="87"/>
  <c r="AG62" i="87"/>
  <c r="AF62" i="87"/>
  <c r="G62" i="87"/>
  <c r="AV61" i="87"/>
  <c r="AV60" i="87"/>
  <c r="AH60" i="87"/>
  <c r="AG60" i="87"/>
  <c r="AF60" i="87"/>
  <c r="AF61" i="87" s="1"/>
  <c r="G60" i="87"/>
  <c r="E60" i="87" s="1"/>
  <c r="AV59" i="87"/>
  <c r="AH59" i="87"/>
  <c r="AG59" i="87"/>
  <c r="AF59" i="87"/>
  <c r="G59" i="87"/>
  <c r="E59" i="87" s="1"/>
  <c r="AV58" i="87"/>
  <c r="AH58" i="87"/>
  <c r="AG58" i="87"/>
  <c r="AF58" i="87"/>
  <c r="G58" i="87"/>
  <c r="AV57" i="87"/>
  <c r="AH57" i="87"/>
  <c r="AG57" i="87"/>
  <c r="AF57" i="87"/>
  <c r="G57" i="87"/>
  <c r="AV56" i="87"/>
  <c r="AH56" i="87"/>
  <c r="AG56" i="87"/>
  <c r="AF56" i="87"/>
  <c r="G56" i="87"/>
  <c r="AV55" i="87"/>
  <c r="AH55" i="87"/>
  <c r="AG55" i="87"/>
  <c r="AF55" i="87"/>
  <c r="G55" i="87"/>
  <c r="AV54" i="87"/>
  <c r="AH54" i="87"/>
  <c r="AG54" i="87"/>
  <c r="AF54" i="87"/>
  <c r="G54" i="87"/>
  <c r="AV53" i="87"/>
  <c r="AH53" i="87"/>
  <c r="AG53" i="87"/>
  <c r="AF53" i="87"/>
  <c r="G53" i="87"/>
  <c r="AV52" i="87"/>
  <c r="AH52" i="87"/>
  <c r="AG52" i="87"/>
  <c r="AF52" i="87"/>
  <c r="AV51" i="87"/>
  <c r="AH51" i="87"/>
  <c r="AG51" i="87"/>
  <c r="AF51" i="87"/>
  <c r="AV50" i="87"/>
  <c r="AH50" i="87"/>
  <c r="AG50" i="87"/>
  <c r="AF50" i="87"/>
  <c r="AV49" i="87"/>
  <c r="AV48" i="87"/>
  <c r="AV47" i="87"/>
  <c r="AV46" i="87"/>
  <c r="AV45" i="87"/>
  <c r="AV44" i="87"/>
  <c r="AV43" i="87"/>
  <c r="AV42" i="87"/>
  <c r="AV41" i="87"/>
  <c r="AV40" i="87"/>
  <c r="AV39" i="87"/>
  <c r="AV38" i="87"/>
  <c r="AV37" i="87"/>
  <c r="AV36" i="87"/>
  <c r="AV35" i="87"/>
  <c r="AV34" i="87"/>
  <c r="AV33" i="87"/>
  <c r="AV32" i="87"/>
  <c r="AV31" i="87"/>
  <c r="AV30" i="87"/>
  <c r="AV29" i="87"/>
  <c r="AV28" i="87"/>
  <c r="AV27" i="87"/>
  <c r="AV26" i="87"/>
  <c r="AV25" i="87"/>
  <c r="AV24" i="87"/>
  <c r="AV23" i="87"/>
  <c r="AV22" i="87"/>
  <c r="AV21" i="87"/>
  <c r="AV20" i="87"/>
  <c r="AV19" i="87"/>
  <c r="AV18" i="87"/>
  <c r="AV17" i="87"/>
  <c r="AV16" i="87"/>
  <c r="L16" i="87" a="1"/>
  <c r="L16" i="87" s="1"/>
  <c r="AV15" i="87"/>
  <c r="AV14" i="87"/>
  <c r="AV13" i="87"/>
  <c r="L13" i="87"/>
  <c r="AV12" i="87"/>
  <c r="L12" i="87"/>
  <c r="AV11" i="87"/>
  <c r="L11" i="87"/>
  <c r="AV10" i="87"/>
  <c r="L10" i="87"/>
  <c r="AV9" i="87"/>
  <c r="L9" i="87"/>
  <c r="AV8" i="87"/>
  <c r="L8" i="87"/>
  <c r="BC7" i="87"/>
  <c r="BC8" i="87" s="1"/>
  <c r="AV7" i="87"/>
  <c r="AF7" i="87"/>
  <c r="AF8" i="87" s="1"/>
  <c r="AF9" i="87" s="1"/>
  <c r="AF10" i="87" s="1"/>
  <c r="AF11" i="87" s="1"/>
  <c r="AF12" i="87" s="1"/>
  <c r="AF13" i="87" s="1"/>
  <c r="AF14" i="87" s="1"/>
  <c r="AF15" i="87" s="1"/>
  <c r="AF16" i="87" s="1"/>
  <c r="AF17" i="87" s="1"/>
  <c r="AF18" i="87" s="1"/>
  <c r="AF19" i="87" s="1"/>
  <c r="AF20" i="87" s="1"/>
  <c r="AF21" i="87" s="1"/>
  <c r="AF22" i="87" s="1"/>
  <c r="AF23" i="87" s="1"/>
  <c r="AF24" i="87" s="1"/>
  <c r="AF25" i="87" s="1"/>
  <c r="AF26" i="87" s="1"/>
  <c r="AF27" i="87" s="1"/>
  <c r="AF28" i="87" s="1"/>
  <c r="AF29" i="87" s="1"/>
  <c r="AF30" i="87" s="1"/>
  <c r="AF31" i="87" s="1"/>
  <c r="AF32" i="87" s="1"/>
  <c r="AF33" i="87" s="1"/>
  <c r="AF34" i="87" s="1"/>
  <c r="AF35" i="87" s="1"/>
  <c r="AF36" i="87" s="1"/>
  <c r="AF37" i="87" s="1"/>
  <c r="AF38" i="87" s="1"/>
  <c r="AF39" i="87" s="1"/>
  <c r="AF40" i="87" s="1"/>
  <c r="AF41" i="87" s="1"/>
  <c r="AF42" i="87" s="1"/>
  <c r="AF43" i="87" s="1"/>
  <c r="AF44" i="87" s="1"/>
  <c r="AF45" i="87" s="1"/>
  <c r="AF46" i="87" s="1"/>
  <c r="AF47" i="87" s="1"/>
  <c r="AF48" i="87" s="1"/>
  <c r="AF49" i="87" s="1"/>
  <c r="AL4" i="87"/>
  <c r="AK4" i="87"/>
  <c r="AK2" i="87" s="1"/>
  <c r="AJ4" i="87"/>
  <c r="AJ2" i="87" s="1"/>
  <c r="G3" i="87"/>
  <c r="AL2" i="87"/>
  <c r="E2" i="87"/>
  <c r="E3" i="87" s="1"/>
  <c r="A1" i="87"/>
  <c r="AJ8" i="87"/>
  <c r="E6" i="87"/>
  <c r="AJ11" i="87"/>
  <c r="AJ12" i="87"/>
  <c r="BH14" i="91" l="1"/>
  <c r="BG14" i="91"/>
  <c r="BF14" i="91"/>
  <c r="BI14" i="91"/>
  <c r="BD15" i="91"/>
  <c r="BC16" i="91"/>
  <c r="BD17" i="90"/>
  <c r="BC18" i="90"/>
  <c r="BI16" i="90"/>
  <c r="BH16" i="90"/>
  <c r="BG16" i="90"/>
  <c r="BF16" i="90"/>
  <c r="BG13" i="89"/>
  <c r="BI13" i="89"/>
  <c r="BF13" i="89"/>
  <c r="BH13" i="89"/>
  <c r="BC15" i="89"/>
  <c r="BD14" i="89"/>
  <c r="BH12" i="88"/>
  <c r="BG12" i="88"/>
  <c r="BI12" i="88"/>
  <c r="BF12" i="88"/>
  <c r="BC14" i="88"/>
  <c r="BD13" i="88"/>
  <c r="CG61" i="5"/>
  <c r="CG62" i="5"/>
  <c r="CG53" i="5"/>
  <c r="CD58" i="5"/>
  <c r="AW61" i="87"/>
  <c r="AX61" i="87" s="1"/>
  <c r="AW53" i="87"/>
  <c r="AX53" i="87" s="1"/>
  <c r="AW48" i="87"/>
  <c r="AX48" i="87" s="1"/>
  <c r="AW43" i="87"/>
  <c r="AX43" i="87" s="1"/>
  <c r="AW55" i="87"/>
  <c r="AX55" i="87" s="1"/>
  <c r="AW50" i="87"/>
  <c r="AX50" i="87" s="1"/>
  <c r="AW49" i="87"/>
  <c r="AX49" i="87" s="1"/>
  <c r="AW40" i="87"/>
  <c r="AX40" i="87" s="1"/>
  <c r="AW62" i="87"/>
  <c r="AW57" i="87"/>
  <c r="AX57" i="87" s="1"/>
  <c r="AW59" i="87"/>
  <c r="AX59" i="87" s="1"/>
  <c r="AW45" i="87"/>
  <c r="AX45" i="87" s="1"/>
  <c r="AW60" i="87"/>
  <c r="AX60" i="87" s="1"/>
  <c r="AW42" i="87"/>
  <c r="AX42" i="87" s="1"/>
  <c r="AW39" i="87"/>
  <c r="AX39" i="87" s="1"/>
  <c r="AW19" i="87"/>
  <c r="AX19" i="87" s="1"/>
  <c r="AW7" i="87"/>
  <c r="AW33" i="87"/>
  <c r="AX33" i="87" s="1"/>
  <c r="AW25" i="87"/>
  <c r="AX25" i="87" s="1"/>
  <c r="AW36" i="87"/>
  <c r="AX36" i="87" s="1"/>
  <c r="AW29" i="87"/>
  <c r="AW22" i="87"/>
  <c r="AX22" i="87" s="1"/>
  <c r="AW18" i="87"/>
  <c r="AX18" i="87" s="1"/>
  <c r="AW15" i="87"/>
  <c r="AX15" i="87" s="1"/>
  <c r="AX7" i="87"/>
  <c r="AW16" i="87"/>
  <c r="AX16" i="87" s="1"/>
  <c r="AW9" i="87"/>
  <c r="AX9" i="87" s="1"/>
  <c r="AW11" i="87"/>
  <c r="AX11" i="87" s="1"/>
  <c r="L14" i="87"/>
  <c r="M13" i="87" s="1"/>
  <c r="AW8" i="87"/>
  <c r="AX8" i="87" s="1"/>
  <c r="BC9" i="87"/>
  <c r="AW10" i="87"/>
  <c r="AX10" i="87" s="1"/>
  <c r="AW12" i="87"/>
  <c r="AW13" i="87"/>
  <c r="AX13" i="87" s="1"/>
  <c r="AX12" i="87"/>
  <c r="AW14" i="87"/>
  <c r="AX14" i="87" s="1"/>
  <c r="AW20" i="87"/>
  <c r="AX20" i="87" s="1"/>
  <c r="AW24" i="87"/>
  <c r="AX24" i="87" s="1"/>
  <c r="AW32" i="87"/>
  <c r="AX32" i="87" s="1"/>
  <c r="AW35" i="87"/>
  <c r="AX35" i="87" s="1"/>
  <c r="AW17" i="87"/>
  <c r="AX17" i="87" s="1"/>
  <c r="AW21" i="87"/>
  <c r="AX21" i="87" s="1"/>
  <c r="AW30" i="87"/>
  <c r="AX30" i="87" s="1"/>
  <c r="AW38" i="87"/>
  <c r="AX38" i="87" s="1"/>
  <c r="AW23" i="87"/>
  <c r="AX23" i="87" s="1"/>
  <c r="AW28" i="87"/>
  <c r="AX28" i="87" s="1"/>
  <c r="AW26" i="87"/>
  <c r="AX26" i="87" s="1"/>
  <c r="AX29" i="87"/>
  <c r="AW34" i="87"/>
  <c r="AX34" i="87" s="1"/>
  <c r="AW44" i="87"/>
  <c r="AX44" i="87" s="1"/>
  <c r="AW27" i="87"/>
  <c r="AX27" i="87" s="1"/>
  <c r="AW31" i="87"/>
  <c r="AX31" i="87" s="1"/>
  <c r="AW37" i="87"/>
  <c r="AX37" i="87" s="1"/>
  <c r="AW47" i="87"/>
  <c r="AX47" i="87" s="1"/>
  <c r="AW51" i="87"/>
  <c r="AX51" i="87" s="1"/>
  <c r="AX62" i="87"/>
  <c r="AW63" i="87"/>
  <c r="AX63" i="87" s="1"/>
  <c r="AW41" i="87"/>
  <c r="AX41" i="87" s="1"/>
  <c r="AW58" i="87"/>
  <c r="AX58" i="87" s="1"/>
  <c r="AW56" i="87"/>
  <c r="AX56" i="87" s="1"/>
  <c r="AW46" i="87"/>
  <c r="AX46" i="87" s="1"/>
  <c r="AW54" i="87"/>
  <c r="AX54" i="87" s="1"/>
  <c r="AW52" i="87"/>
  <c r="AX52" i="87" s="1"/>
  <c r="AJ10" i="87"/>
  <c r="G45" i="87"/>
  <c r="G35" i="87"/>
  <c r="G13" i="87"/>
  <c r="AJ57" i="87"/>
  <c r="AJ39" i="87"/>
  <c r="AJ38" i="87"/>
  <c r="AJ16" i="87"/>
  <c r="AJ58" i="87"/>
  <c r="AJ28" i="87"/>
  <c r="G40" i="87"/>
  <c r="G37" i="87"/>
  <c r="G8" i="87"/>
  <c r="AJ56" i="87"/>
  <c r="AJ33" i="87"/>
  <c r="AJ14" i="87"/>
  <c r="AK12" i="87"/>
  <c r="G25" i="87"/>
  <c r="G24" i="87"/>
  <c r="AL8" i="87"/>
  <c r="G43" i="87"/>
  <c r="G18" i="87"/>
  <c r="G21" i="87"/>
  <c r="AJ45" i="87"/>
  <c r="AJ36" i="87"/>
  <c r="AJ22" i="87"/>
  <c r="AJ53" i="87"/>
  <c r="AJ31" i="87"/>
  <c r="G15" i="87"/>
  <c r="AJ63" i="87"/>
  <c r="AJ37" i="87"/>
  <c r="AJ67" i="87"/>
  <c r="G20" i="87"/>
  <c r="AJ55" i="87"/>
  <c r="AJ35" i="87"/>
  <c r="G47" i="87"/>
  <c r="G11" i="87"/>
  <c r="G41" i="87"/>
  <c r="G14" i="87"/>
  <c r="AJ51" i="87"/>
  <c r="AJ20" i="87"/>
  <c r="AJ17" i="87"/>
  <c r="G34" i="87"/>
  <c r="G19" i="87"/>
  <c r="AJ43" i="87"/>
  <c r="AJ41" i="87"/>
  <c r="AJ49" i="87"/>
  <c r="AJ24" i="87"/>
  <c r="G31" i="87"/>
  <c r="G12" i="87"/>
  <c r="AJ44" i="87"/>
  <c r="AK8" i="87"/>
  <c r="G22" i="87"/>
  <c r="G44" i="87"/>
  <c r="G10" i="87"/>
  <c r="AJ50" i="87"/>
  <c r="AJ27" i="87"/>
  <c r="AJ29" i="87"/>
  <c r="G39" i="87"/>
  <c r="G46" i="87"/>
  <c r="G9" i="87"/>
  <c r="AJ64" i="87"/>
  <c r="AJ47" i="87"/>
  <c r="AJ54" i="87"/>
  <c r="AJ9" i="87"/>
  <c r="AJ40" i="87"/>
  <c r="AL11" i="87"/>
  <c r="G29" i="87"/>
  <c r="G32" i="87"/>
  <c r="AJ62" i="87"/>
  <c r="AJ42" i="87"/>
  <c r="AJ34" i="87"/>
  <c r="AJ19" i="87"/>
  <c r="G61" i="87"/>
  <c r="G26" i="87"/>
  <c r="G16" i="87"/>
  <c r="AL12" i="87"/>
  <c r="G38" i="87"/>
  <c r="G23" i="87"/>
  <c r="AJ7" i="87"/>
  <c r="AJ46" i="87"/>
  <c r="AJ25" i="87"/>
  <c r="AJ13" i="87"/>
  <c r="AJ48" i="87"/>
  <c r="AJ15" i="87"/>
  <c r="AK11" i="87"/>
  <c r="G33" i="87"/>
  <c r="G17" i="87"/>
  <c r="AJ18" i="87"/>
  <c r="AJ30" i="87"/>
  <c r="G30" i="87"/>
  <c r="AJ65" i="87"/>
  <c r="AJ21" i="87"/>
  <c r="G27" i="87"/>
  <c r="G49" i="87"/>
  <c r="AJ60" i="87"/>
  <c r="AJ26" i="87"/>
  <c r="AJ59" i="87"/>
  <c r="AJ66" i="87"/>
  <c r="AJ23" i="87"/>
  <c r="G42" i="87"/>
  <c r="AJ61" i="87"/>
  <c r="AJ32" i="87"/>
  <c r="G36" i="87"/>
  <c r="G28" i="87"/>
  <c r="G48" i="87"/>
  <c r="AJ52" i="87"/>
  <c r="G7" i="87"/>
  <c r="BC17" i="91" l="1"/>
  <c r="BD16" i="91"/>
  <c r="BI15" i="91"/>
  <c r="BH15" i="91"/>
  <c r="BG15" i="91"/>
  <c r="BF15" i="91"/>
  <c r="BC19" i="90"/>
  <c r="BD18" i="90"/>
  <c r="BF17" i="90"/>
  <c r="BI17" i="90"/>
  <c r="BH17" i="90"/>
  <c r="BG17" i="90"/>
  <c r="BF14" i="89"/>
  <c r="BI14" i="89"/>
  <c r="BH14" i="89"/>
  <c r="BG14" i="89"/>
  <c r="BC16" i="89"/>
  <c r="BD15" i="89"/>
  <c r="CG63" i="5"/>
  <c r="BH13" i="88"/>
  <c r="BG13" i="88"/>
  <c r="BI13" i="88"/>
  <c r="BF13" i="88"/>
  <c r="BC15" i="88"/>
  <c r="BD14" i="88"/>
  <c r="AY56" i="87"/>
  <c r="AY52" i="87"/>
  <c r="AL59" i="87"/>
  <c r="AK59" i="87"/>
  <c r="AM59" i="87" s="1"/>
  <c r="AL53" i="87"/>
  <c r="AK53" i="87"/>
  <c r="AM53" i="87" s="1"/>
  <c r="AL52" i="87"/>
  <c r="AK52" i="87"/>
  <c r="AM52" i="87" s="1"/>
  <c r="AL51" i="87"/>
  <c r="AK51" i="87"/>
  <c r="AM51" i="87" s="1"/>
  <c r="AK50" i="87"/>
  <c r="AM50" i="87" s="1"/>
  <c r="AL50" i="87"/>
  <c r="AL60" i="87"/>
  <c r="AK60" i="87"/>
  <c r="AM60" i="87" s="1"/>
  <c r="AH12" i="87"/>
  <c r="AG12" i="87"/>
  <c r="AH8" i="87"/>
  <c r="AG8" i="87"/>
  <c r="AM12" i="87"/>
  <c r="AM8" i="87"/>
  <c r="AL65" i="87"/>
  <c r="AK65" i="87"/>
  <c r="AM65" i="87" s="1"/>
  <c r="AL56" i="87"/>
  <c r="AK56" i="87"/>
  <c r="AM56" i="87" s="1"/>
  <c r="AK55" i="87"/>
  <c r="AM55" i="87" s="1"/>
  <c r="AL55" i="87"/>
  <c r="AL62" i="87"/>
  <c r="AK62" i="87"/>
  <c r="AM62" i="87" s="1"/>
  <c r="AH11" i="87"/>
  <c r="AG11" i="87"/>
  <c r="AL58" i="87"/>
  <c r="AK58" i="87"/>
  <c r="AM58" i="87" s="1"/>
  <c r="AK67" i="87"/>
  <c r="AM67" i="87" s="1"/>
  <c r="AL67" i="87"/>
  <c r="AL54" i="87"/>
  <c r="AK54" i="87"/>
  <c r="AM54" i="87" s="1"/>
  <c r="AL63" i="87"/>
  <c r="AK63" i="87"/>
  <c r="AM63" i="87" s="1"/>
  <c r="AL64" i="87"/>
  <c r="AK64" i="87"/>
  <c r="AM64" i="87" s="1"/>
  <c r="AL57" i="87"/>
  <c r="AK57" i="87"/>
  <c r="AM57" i="87" s="1"/>
  <c r="AL66" i="87"/>
  <c r="AK66" i="87"/>
  <c r="AM66" i="87" s="1"/>
  <c r="AM11" i="87"/>
  <c r="AY54" i="87"/>
  <c r="AY21" i="87"/>
  <c r="AY41" i="87"/>
  <c r="AY17" i="87"/>
  <c r="AY9" i="87"/>
  <c r="AY51" i="87"/>
  <c r="AY27" i="87"/>
  <c r="AY35" i="87"/>
  <c r="AY44" i="87"/>
  <c r="AY38" i="87"/>
  <c r="AY32" i="87"/>
  <c r="AY22" i="87"/>
  <c r="AY42" i="87"/>
  <c r="AY47" i="87"/>
  <c r="AY58" i="87"/>
  <c r="AY24" i="87"/>
  <c r="AY10" i="87"/>
  <c r="AY11" i="87"/>
  <c r="AY63" i="87"/>
  <c r="AY28" i="87"/>
  <c r="AY12" i="87"/>
  <c r="M9" i="87"/>
  <c r="AY16" i="87"/>
  <c r="AY50" i="87"/>
  <c r="AY43" i="87"/>
  <c r="AY34" i="87"/>
  <c r="AY25" i="87"/>
  <c r="M12" i="87"/>
  <c r="C77" i="87"/>
  <c r="AY18" i="87"/>
  <c r="AY39" i="87"/>
  <c r="AY49" i="87"/>
  <c r="AY48" i="87"/>
  <c r="AY53" i="87"/>
  <c r="AY29" i="87"/>
  <c r="AY30" i="87"/>
  <c r="AY13" i="87"/>
  <c r="BC10" i="87"/>
  <c r="Y14" i="87"/>
  <c r="M10" i="87"/>
  <c r="AY7" i="87"/>
  <c r="AY60" i="87"/>
  <c r="AY55" i="87"/>
  <c r="AY61" i="87"/>
  <c r="AY31" i="87"/>
  <c r="AY33" i="87"/>
  <c r="AY23" i="87"/>
  <c r="AY14" i="87"/>
  <c r="M14" i="87"/>
  <c r="L5" i="87"/>
  <c r="AY15" i="87"/>
  <c r="AY57" i="87"/>
  <c r="AY59" i="87"/>
  <c r="AY62" i="87"/>
  <c r="AY46" i="87"/>
  <c r="AY37" i="87"/>
  <c r="AY26" i="87"/>
  <c r="AY20" i="87"/>
  <c r="AY8" i="87"/>
  <c r="M8" i="87"/>
  <c r="M11" i="87"/>
  <c r="AY36" i="87"/>
  <c r="AY19" i="87"/>
  <c r="AY45" i="87"/>
  <c r="AY40" i="87"/>
  <c r="AL10" i="87"/>
  <c r="AL17" i="87"/>
  <c r="AL26" i="87"/>
  <c r="E48" i="87"/>
  <c r="E61" i="87"/>
  <c r="AK33" i="87"/>
  <c r="AK24" i="87"/>
  <c r="AK23" i="87"/>
  <c r="E19" i="87"/>
  <c r="AK26" i="87"/>
  <c r="E8" i="87"/>
  <c r="E13" i="87"/>
  <c r="AL27" i="87"/>
  <c r="E14" i="87"/>
  <c r="E25" i="87"/>
  <c r="AL44" i="87"/>
  <c r="E30" i="87"/>
  <c r="AL18" i="87"/>
  <c r="E17" i="87"/>
  <c r="AL45" i="87"/>
  <c r="AL35" i="87"/>
  <c r="AL23" i="87"/>
  <c r="AL29" i="87"/>
  <c r="AK27" i="87"/>
  <c r="E23" i="87"/>
  <c r="E36" i="87"/>
  <c r="AK44" i="87"/>
  <c r="E29" i="87"/>
  <c r="AK18" i="87"/>
  <c r="E9" i="87"/>
  <c r="AL22" i="87"/>
  <c r="AL33" i="87"/>
  <c r="AK22" i="87"/>
  <c r="E26" i="87"/>
  <c r="AL9" i="87"/>
  <c r="AL20" i="87"/>
  <c r="AK13" i="87"/>
  <c r="AK34" i="87"/>
  <c r="E20" i="87"/>
  <c r="AL21" i="87"/>
  <c r="AL13" i="87"/>
  <c r="AL34" i="87"/>
  <c r="AK16" i="87"/>
  <c r="AK29" i="87"/>
  <c r="AK10" i="87"/>
  <c r="AL31" i="87"/>
  <c r="AK36" i="87"/>
  <c r="E44" i="87"/>
  <c r="AK21" i="87"/>
  <c r="E12" i="87"/>
  <c r="AL40" i="87"/>
  <c r="AK41" i="87"/>
  <c r="E34" i="87"/>
  <c r="E43" i="87"/>
  <c r="AK9" i="87"/>
  <c r="AK17" i="87"/>
  <c r="AL25" i="87"/>
  <c r="E41" i="87"/>
  <c r="AK19" i="87"/>
  <c r="AL42" i="87"/>
  <c r="AL28" i="87"/>
  <c r="AL38" i="87"/>
  <c r="E15" i="87"/>
  <c r="E18" i="87"/>
  <c r="E37" i="87"/>
  <c r="AL47" i="87"/>
  <c r="AL48" i="87"/>
  <c r="AK25" i="87"/>
  <c r="E38" i="87"/>
  <c r="AL19" i="87"/>
  <c r="AK42" i="87"/>
  <c r="AK28" i="87"/>
  <c r="AK38" i="87"/>
  <c r="E46" i="87"/>
  <c r="AL36" i="87"/>
  <c r="E40" i="87"/>
  <c r="E10" i="87"/>
  <c r="E42" i="87"/>
  <c r="AL43" i="87"/>
  <c r="E24" i="87"/>
  <c r="AL39" i="87"/>
  <c r="AK40" i="87"/>
  <c r="AL7" i="87"/>
  <c r="E32" i="87"/>
  <c r="E47" i="87"/>
  <c r="AK20" i="87"/>
  <c r="AK45" i="87"/>
  <c r="E16" i="87"/>
  <c r="AK14" i="87"/>
  <c r="E31" i="87"/>
  <c r="AK49" i="87"/>
  <c r="AK47" i="87"/>
  <c r="AK48" i="87"/>
  <c r="E27" i="87"/>
  <c r="AL41" i="87"/>
  <c r="AK31" i="87"/>
  <c r="AK46" i="87"/>
  <c r="E49" i="87"/>
  <c r="AL32" i="87"/>
  <c r="AK61" i="87"/>
  <c r="AK30" i="87"/>
  <c r="AK37" i="87"/>
  <c r="E33" i="87"/>
  <c r="E11" i="87"/>
  <c r="AL24" i="87"/>
  <c r="E45" i="87"/>
  <c r="E7" i="87"/>
  <c r="AL46" i="87"/>
  <c r="E28" i="87"/>
  <c r="AK32" i="87"/>
  <c r="AL61" i="87"/>
  <c r="AL30" i="87"/>
  <c r="AL37" i="87"/>
  <c r="E39" i="87"/>
  <c r="E21" i="87"/>
  <c r="AL49" i="87"/>
  <c r="AK35" i="87"/>
  <c r="AK43" i="87"/>
  <c r="AL14" i="87"/>
  <c r="AK7" i="87"/>
  <c r="AL16" i="87"/>
  <c r="AL15" i="87"/>
  <c r="AK15" i="87"/>
  <c r="E22" i="87"/>
  <c r="AK39" i="87"/>
  <c r="E35" i="87"/>
  <c r="BG16" i="91" l="1"/>
  <c r="BF16" i="91"/>
  <c r="BI16" i="91"/>
  <c r="BH16" i="91"/>
  <c r="BC18" i="91"/>
  <c r="BD17" i="91"/>
  <c r="BG18" i="90"/>
  <c r="BF18" i="90"/>
  <c r="BI18" i="90"/>
  <c r="BH18" i="90"/>
  <c r="BC20" i="90"/>
  <c r="BD19" i="90"/>
  <c r="AM10" i="87"/>
  <c r="AG10" i="87"/>
  <c r="AH10" i="87"/>
  <c r="BH15" i="89"/>
  <c r="BG15" i="89"/>
  <c r="BF15" i="89"/>
  <c r="BI15" i="89"/>
  <c r="BD16" i="89"/>
  <c r="BC17" i="89"/>
  <c r="BG14" i="88"/>
  <c r="BF14" i="88"/>
  <c r="BH14" i="88"/>
  <c r="BI14" i="88"/>
  <c r="BD15" i="88"/>
  <c r="BC16" i="88"/>
  <c r="AH49" i="87"/>
  <c r="AG49" i="87"/>
  <c r="AH33" i="87"/>
  <c r="AG33" i="87"/>
  <c r="AH36" i="87"/>
  <c r="AG36" i="87"/>
  <c r="AH22" i="87"/>
  <c r="AG22" i="87"/>
  <c r="AM29" i="87"/>
  <c r="AM39" i="87"/>
  <c r="AH37" i="87"/>
  <c r="AG37" i="87"/>
  <c r="AM38" i="87"/>
  <c r="AM18" i="87"/>
  <c r="AM16" i="87"/>
  <c r="AH30" i="87"/>
  <c r="AG30" i="87"/>
  <c r="AM28" i="87"/>
  <c r="AH61" i="87"/>
  <c r="AG61" i="87"/>
  <c r="AM42" i="87"/>
  <c r="AM44" i="87"/>
  <c r="AH34" i="87"/>
  <c r="AG34" i="87"/>
  <c r="AM32" i="87"/>
  <c r="AH19" i="87"/>
  <c r="AG19" i="87"/>
  <c r="AH7" i="87"/>
  <c r="AG7" i="87"/>
  <c r="AH46" i="87"/>
  <c r="AG46" i="87"/>
  <c r="AM25" i="87"/>
  <c r="AM27" i="87"/>
  <c r="AH13" i="87"/>
  <c r="AG13" i="87"/>
  <c r="R16" i="87" a="1"/>
  <c r="R16" i="87" s="1"/>
  <c r="U13" i="87"/>
  <c r="V13" i="87" s="1"/>
  <c r="O12" i="87"/>
  <c r="U11" i="87"/>
  <c r="V11" i="87" s="1"/>
  <c r="O10" i="87"/>
  <c r="U9" i="87"/>
  <c r="V9" i="87" s="1"/>
  <c r="O8" i="87"/>
  <c r="R13" i="87"/>
  <c r="S13" i="87" s="1"/>
  <c r="R9" i="87"/>
  <c r="R10" i="87"/>
  <c r="U16" i="87" a="1"/>
  <c r="U16" i="87" s="1"/>
  <c r="R11" i="87"/>
  <c r="R8" i="87"/>
  <c r="O16" i="87" a="1"/>
  <c r="O16" i="87" s="1"/>
  <c r="O13" i="87"/>
  <c r="U12" i="87"/>
  <c r="V12" i="87" s="1"/>
  <c r="O11" i="87"/>
  <c r="U10" i="87"/>
  <c r="V10" i="87" s="1"/>
  <c r="O9" i="87"/>
  <c r="U8" i="87"/>
  <c r="R12" i="87"/>
  <c r="AH48" i="87"/>
  <c r="AG48" i="87"/>
  <c r="AH29" i="87"/>
  <c r="AG29" i="87"/>
  <c r="AM15" i="87"/>
  <c r="AG47" i="87"/>
  <c r="AH47" i="87"/>
  <c r="AH23" i="87"/>
  <c r="AG23" i="87"/>
  <c r="AM40" i="87"/>
  <c r="AH24" i="87"/>
  <c r="AG24" i="87"/>
  <c r="AG35" i="87"/>
  <c r="AH35" i="87"/>
  <c r="AH21" i="87"/>
  <c r="AG21" i="87"/>
  <c r="AH45" i="87"/>
  <c r="AG45" i="87"/>
  <c r="AH15" i="87"/>
  <c r="AG15" i="87"/>
  <c r="AH39" i="87"/>
  <c r="AG39" i="87"/>
  <c r="AM37" i="87"/>
  <c r="AG38" i="87"/>
  <c r="AH38" i="87"/>
  <c r="AH18" i="87"/>
  <c r="AG18" i="87"/>
  <c r="AG16" i="87"/>
  <c r="AH16" i="87"/>
  <c r="AM30" i="87"/>
  <c r="AH28" i="87"/>
  <c r="AG28" i="87"/>
  <c r="AM61" i="87"/>
  <c r="AH42" i="87"/>
  <c r="AG42" i="87"/>
  <c r="AH44" i="87"/>
  <c r="AG44" i="87"/>
  <c r="AM34" i="87"/>
  <c r="AH32" i="87"/>
  <c r="AG32" i="87"/>
  <c r="AM19" i="87"/>
  <c r="AM7" i="87"/>
  <c r="AM46" i="87"/>
  <c r="AH25" i="87"/>
  <c r="AG25" i="87"/>
  <c r="AG27" i="87"/>
  <c r="AH27" i="87"/>
  <c r="AM13" i="87"/>
  <c r="AM31" i="87"/>
  <c r="AM17" i="87"/>
  <c r="AG43" i="87"/>
  <c r="AH43" i="87"/>
  <c r="AH41" i="87"/>
  <c r="AG41" i="87"/>
  <c r="AM9" i="87"/>
  <c r="AH14" i="87"/>
  <c r="AG14" i="87"/>
  <c r="AM26" i="87"/>
  <c r="AG20" i="87"/>
  <c r="AH20" i="87"/>
  <c r="AM48" i="87"/>
  <c r="AM43" i="87"/>
  <c r="AM47" i="87"/>
  <c r="AM41" i="87"/>
  <c r="AM23" i="87"/>
  <c r="AH9" i="87"/>
  <c r="AG9" i="87"/>
  <c r="AM49" i="87"/>
  <c r="AG40" i="87"/>
  <c r="AH40" i="87"/>
  <c r="AM24" i="87"/>
  <c r="AM33" i="87"/>
  <c r="AM35" i="87"/>
  <c r="AM14" i="87"/>
  <c r="AM21" i="87"/>
  <c r="AM45" i="87"/>
  <c r="AM36" i="87"/>
  <c r="AH26" i="87"/>
  <c r="AG26" i="87"/>
  <c r="AM22" i="87"/>
  <c r="AM20" i="87"/>
  <c r="AG31" i="87"/>
  <c r="AH31" i="87"/>
  <c r="AH17" i="87"/>
  <c r="AG17" i="87"/>
  <c r="BD7" i="87"/>
  <c r="BD8" i="87"/>
  <c r="BD9" i="87"/>
  <c r="BD10" i="87"/>
  <c r="BC11" i="87"/>
  <c r="BF17" i="91" l="1"/>
  <c r="BG17" i="91"/>
  <c r="BI17" i="91"/>
  <c r="BH17" i="91"/>
  <c r="BC19" i="91"/>
  <c r="BD18" i="91"/>
  <c r="BH19" i="90"/>
  <c r="BG19" i="90"/>
  <c r="BF19" i="90"/>
  <c r="BI19" i="90"/>
  <c r="BD20" i="90"/>
  <c r="BC21" i="90"/>
  <c r="BD17" i="89"/>
  <c r="BC18" i="89"/>
  <c r="BI16" i="89"/>
  <c r="BH16" i="89"/>
  <c r="BG16" i="89"/>
  <c r="BF16" i="89"/>
  <c r="BC17" i="88"/>
  <c r="BD16" i="88"/>
  <c r="BI15" i="88"/>
  <c r="BG15" i="88"/>
  <c r="BF15" i="88"/>
  <c r="BH15" i="88"/>
  <c r="AA11" i="87"/>
  <c r="AA10" i="87"/>
  <c r="BI8" i="87"/>
  <c r="BG8" i="87"/>
  <c r="BH8" i="87"/>
  <c r="BF8" i="87"/>
  <c r="V8" i="87"/>
  <c r="U14" i="87"/>
  <c r="BI9" i="87"/>
  <c r="BG9" i="87"/>
  <c r="BF9" i="87"/>
  <c r="BH9" i="87"/>
  <c r="R14" i="87"/>
  <c r="S11" i="87" s="1"/>
  <c r="BI7" i="87"/>
  <c r="BG7" i="87"/>
  <c r="BF7" i="87"/>
  <c r="BH7" i="87"/>
  <c r="AA9" i="87"/>
  <c r="AA13" i="87"/>
  <c r="O14" i="87"/>
  <c r="AA8" i="87"/>
  <c r="AA12" i="87"/>
  <c r="S9" i="87"/>
  <c r="BD11" i="87"/>
  <c r="BC12" i="87"/>
  <c r="BI10" i="87"/>
  <c r="BG10" i="87"/>
  <c r="BH10" i="87"/>
  <c r="BF10" i="87"/>
  <c r="S10" i="87"/>
  <c r="BG18" i="91" l="1"/>
  <c r="BI18" i="91"/>
  <c r="BH18" i="91"/>
  <c r="BF18" i="91"/>
  <c r="BD19" i="91"/>
  <c r="BC20" i="91"/>
  <c r="BD21" i="90"/>
  <c r="BC22" i="90"/>
  <c r="BI20" i="90"/>
  <c r="BH20" i="90"/>
  <c r="BG20" i="90"/>
  <c r="BF20" i="90"/>
  <c r="BC19" i="89"/>
  <c r="BD18" i="89"/>
  <c r="BF17" i="89"/>
  <c r="BI17" i="89"/>
  <c r="BH17" i="89"/>
  <c r="BG17" i="89"/>
  <c r="BG16" i="88"/>
  <c r="BF16" i="88"/>
  <c r="BI16" i="88"/>
  <c r="BH16" i="88"/>
  <c r="BC18" i="88"/>
  <c r="BD17" i="88"/>
  <c r="S12" i="87"/>
  <c r="P14" i="87"/>
  <c r="O5" i="87"/>
  <c r="P8" i="87"/>
  <c r="P9" i="87"/>
  <c r="P10" i="87"/>
  <c r="BD12" i="87"/>
  <c r="BC13" i="87"/>
  <c r="P12" i="87"/>
  <c r="P13" i="87"/>
  <c r="S14" i="87"/>
  <c r="R5" i="87"/>
  <c r="U5" i="87"/>
  <c r="V14" i="87"/>
  <c r="BI11" i="87"/>
  <c r="BG11" i="87"/>
  <c r="BF11" i="87"/>
  <c r="BH11" i="87"/>
  <c r="AA14" i="87"/>
  <c r="S8" i="87"/>
  <c r="P11" i="87"/>
  <c r="BH19" i="91" l="1"/>
  <c r="BI19" i="91"/>
  <c r="BG19" i="91"/>
  <c r="BF19" i="91"/>
  <c r="BD20" i="91"/>
  <c r="BC21" i="91"/>
  <c r="BC23" i="90"/>
  <c r="BD22" i="90"/>
  <c r="BF21" i="90"/>
  <c r="BI21" i="90"/>
  <c r="BH21" i="90"/>
  <c r="BG21" i="90"/>
  <c r="BG18" i="89"/>
  <c r="BF18" i="89"/>
  <c r="BI18" i="89"/>
  <c r="BH18" i="89"/>
  <c r="BC20" i="89"/>
  <c r="BD19" i="89"/>
  <c r="BH17" i="88"/>
  <c r="BG17" i="88"/>
  <c r="BF17" i="88"/>
  <c r="BI17" i="88"/>
  <c r="BD18" i="88"/>
  <c r="BC19" i="88"/>
  <c r="BC14" i="87"/>
  <c r="BD13" i="87"/>
  <c r="BI12" i="87"/>
  <c r="BG12" i="87"/>
  <c r="BH12" i="87"/>
  <c r="BF12" i="87"/>
  <c r="BC22" i="91" l="1"/>
  <c r="BD21" i="91"/>
  <c r="BI20" i="91"/>
  <c r="BG20" i="91"/>
  <c r="BF20" i="91"/>
  <c r="BH20" i="91"/>
  <c r="BH22" i="90"/>
  <c r="BG22" i="90"/>
  <c r="BF22" i="90"/>
  <c r="BI22" i="90"/>
  <c r="BD23" i="90"/>
  <c r="BC24" i="90"/>
  <c r="BH19" i="89"/>
  <c r="BG19" i="89"/>
  <c r="BF19" i="89"/>
  <c r="BI19" i="89"/>
  <c r="BD20" i="89"/>
  <c r="BC21" i="89"/>
  <c r="BD19" i="88"/>
  <c r="BC20" i="88"/>
  <c r="BI18" i="88"/>
  <c r="BH18" i="88"/>
  <c r="BG18" i="88"/>
  <c r="BF18" i="88"/>
  <c r="BI13" i="87"/>
  <c r="BH13" i="87"/>
  <c r="BG13" i="87"/>
  <c r="BF13" i="87"/>
  <c r="BC15" i="87"/>
  <c r="BD14" i="87"/>
  <c r="BF21" i="91" l="1"/>
  <c r="BI21" i="91"/>
  <c r="BH21" i="91"/>
  <c r="BG21" i="91"/>
  <c r="BC23" i="91"/>
  <c r="BD22" i="91"/>
  <c r="BD24" i="90"/>
  <c r="BC25" i="90"/>
  <c r="BI23" i="90"/>
  <c r="BH23" i="90"/>
  <c r="BG23" i="90"/>
  <c r="BF23" i="90"/>
  <c r="BD21" i="89"/>
  <c r="BC22" i="89"/>
  <c r="BI20" i="89"/>
  <c r="BH20" i="89"/>
  <c r="BG20" i="89"/>
  <c r="BF20" i="89"/>
  <c r="BC21" i="88"/>
  <c r="BD20" i="88"/>
  <c r="BF19" i="88"/>
  <c r="BI19" i="88"/>
  <c r="BH19" i="88"/>
  <c r="BG19" i="88"/>
  <c r="BH14" i="87"/>
  <c r="BG14" i="87"/>
  <c r="BF14" i="87"/>
  <c r="BI14" i="87"/>
  <c r="BD15" i="87"/>
  <c r="BC16" i="87"/>
  <c r="BG22" i="91" l="1"/>
  <c r="BF22" i="91"/>
  <c r="BI22" i="91"/>
  <c r="BH22" i="91"/>
  <c r="BC24" i="91"/>
  <c r="BD23" i="91"/>
  <c r="BC26" i="90"/>
  <c r="BD25" i="90"/>
  <c r="BF24" i="90"/>
  <c r="BI24" i="90"/>
  <c r="BG24" i="90"/>
  <c r="BH24" i="90"/>
  <c r="BC23" i="89"/>
  <c r="BD22" i="89"/>
  <c r="BF21" i="89"/>
  <c r="BI21" i="89"/>
  <c r="BH21" i="89"/>
  <c r="BG21" i="89"/>
  <c r="BG20" i="88"/>
  <c r="BF20" i="88"/>
  <c r="BI20" i="88"/>
  <c r="BH20" i="88"/>
  <c r="BC22" i="88"/>
  <c r="BD21" i="88"/>
  <c r="BD16" i="87"/>
  <c r="BC17" i="87"/>
  <c r="BI15" i="87"/>
  <c r="BH15" i="87"/>
  <c r="BG15" i="87"/>
  <c r="BF15" i="87"/>
  <c r="BH23" i="91" l="1"/>
  <c r="BG23" i="91"/>
  <c r="BF23" i="91"/>
  <c r="BI23" i="91"/>
  <c r="BD24" i="91"/>
  <c r="BC25" i="91"/>
  <c r="BG25" i="90"/>
  <c r="BF25" i="90"/>
  <c r="BI25" i="90"/>
  <c r="BH25" i="90"/>
  <c r="BC27" i="90"/>
  <c r="BD26" i="90"/>
  <c r="BG22" i="89"/>
  <c r="BF22" i="89"/>
  <c r="BI22" i="89"/>
  <c r="BH22" i="89"/>
  <c r="BC24" i="89"/>
  <c r="BD23" i="89"/>
  <c r="BH21" i="88"/>
  <c r="BG21" i="88"/>
  <c r="BF21" i="88"/>
  <c r="BI21" i="88"/>
  <c r="BD22" i="88"/>
  <c r="BC23" i="88"/>
  <c r="BC18" i="87"/>
  <c r="BD17" i="87"/>
  <c r="BF16" i="87"/>
  <c r="BI16" i="87"/>
  <c r="BH16" i="87"/>
  <c r="BG16" i="87"/>
  <c r="BD25" i="91" l="1"/>
  <c r="BC26" i="91"/>
  <c r="BI24" i="91"/>
  <c r="BH24" i="91"/>
  <c r="BG24" i="91"/>
  <c r="BF24" i="91"/>
  <c r="BH26" i="90"/>
  <c r="BG26" i="90"/>
  <c r="BF26" i="90"/>
  <c r="BI26" i="90"/>
  <c r="BD27" i="90"/>
  <c r="BC28" i="90"/>
  <c r="BD24" i="89"/>
  <c r="BC25" i="89"/>
  <c r="BH23" i="89"/>
  <c r="BG23" i="89"/>
  <c r="BF23" i="89"/>
  <c r="BI23" i="89"/>
  <c r="BD23" i="88"/>
  <c r="BC24" i="88"/>
  <c r="BI22" i="88"/>
  <c r="BH22" i="88"/>
  <c r="BG22" i="88"/>
  <c r="BF22" i="88"/>
  <c r="BG17" i="87"/>
  <c r="BF17" i="87"/>
  <c r="BI17" i="87"/>
  <c r="BH17" i="87"/>
  <c r="BC19" i="87"/>
  <c r="BD18" i="87"/>
  <c r="BC27" i="91" l="1"/>
  <c r="BD26" i="91"/>
  <c r="BI25" i="91"/>
  <c r="BH25" i="91"/>
  <c r="BG25" i="91"/>
  <c r="BF25" i="91"/>
  <c r="BD28" i="90"/>
  <c r="BC29" i="90"/>
  <c r="BI27" i="90"/>
  <c r="BH27" i="90"/>
  <c r="BG27" i="90"/>
  <c r="BF27" i="90"/>
  <c r="BD25" i="89"/>
  <c r="BC26" i="89"/>
  <c r="BI24" i="89"/>
  <c r="BH24" i="89"/>
  <c r="BG24" i="89"/>
  <c r="BF24" i="89"/>
  <c r="BC25" i="88"/>
  <c r="BD24" i="88"/>
  <c r="BF23" i="88"/>
  <c r="BI23" i="88"/>
  <c r="BH23" i="88"/>
  <c r="BG23" i="88"/>
  <c r="BH18" i="87"/>
  <c r="BG18" i="87"/>
  <c r="BF18" i="87"/>
  <c r="BI18" i="87"/>
  <c r="BD19" i="87"/>
  <c r="BC20" i="87"/>
  <c r="BF26" i="91" l="1"/>
  <c r="BI26" i="91"/>
  <c r="BH26" i="91"/>
  <c r="BG26" i="91"/>
  <c r="BC28" i="91"/>
  <c r="BD27" i="91"/>
  <c r="BC30" i="90"/>
  <c r="BD29" i="90"/>
  <c r="BF28" i="90"/>
  <c r="BI28" i="90"/>
  <c r="BH28" i="90"/>
  <c r="BG28" i="90"/>
  <c r="BC27" i="89"/>
  <c r="BD26" i="89"/>
  <c r="BF25" i="89"/>
  <c r="BI25" i="89"/>
  <c r="BH25" i="89"/>
  <c r="BG25" i="89"/>
  <c r="BG24" i="88"/>
  <c r="BF24" i="88"/>
  <c r="BI24" i="88"/>
  <c r="BH24" i="88"/>
  <c r="BC26" i="88"/>
  <c r="BD25" i="88"/>
  <c r="BD20" i="87"/>
  <c r="BC21" i="87"/>
  <c r="BI19" i="87"/>
  <c r="BH19" i="87"/>
  <c r="BG19" i="87"/>
  <c r="BF19" i="87"/>
  <c r="BD28" i="91" l="1"/>
  <c r="BC29" i="91"/>
  <c r="BH27" i="91"/>
  <c r="BG27" i="91"/>
  <c r="BI27" i="91"/>
  <c r="BF27" i="91"/>
  <c r="BG29" i="90"/>
  <c r="BF29" i="90"/>
  <c r="BI29" i="90"/>
  <c r="BH29" i="90"/>
  <c r="BC31" i="90"/>
  <c r="BD30" i="90"/>
  <c r="BG26" i="89"/>
  <c r="BF26" i="89"/>
  <c r="BI26" i="89"/>
  <c r="BH26" i="89"/>
  <c r="BC28" i="89"/>
  <c r="BD27" i="89"/>
  <c r="BH25" i="88"/>
  <c r="BG25" i="88"/>
  <c r="BF25" i="88"/>
  <c r="BI25" i="88"/>
  <c r="BD26" i="88"/>
  <c r="BC27" i="88"/>
  <c r="BC22" i="87"/>
  <c r="BD21" i="87"/>
  <c r="BF20" i="87"/>
  <c r="BI20" i="87"/>
  <c r="BH20" i="87"/>
  <c r="BG20" i="87"/>
  <c r="BD29" i="91" l="1"/>
  <c r="BC30" i="91"/>
  <c r="BI28" i="91"/>
  <c r="BH28" i="91"/>
  <c r="BF28" i="91"/>
  <c r="BG28" i="91"/>
  <c r="BH30" i="90"/>
  <c r="BG30" i="90"/>
  <c r="BF30" i="90"/>
  <c r="BI30" i="90"/>
  <c r="BD31" i="90"/>
  <c r="BC32" i="90"/>
  <c r="BH27" i="89"/>
  <c r="BG27" i="89"/>
  <c r="BF27" i="89"/>
  <c r="BI27" i="89"/>
  <c r="BD28" i="89"/>
  <c r="BC29" i="89"/>
  <c r="BC28" i="88"/>
  <c r="BD27" i="88"/>
  <c r="BI26" i="88"/>
  <c r="BH26" i="88"/>
  <c r="BG26" i="88"/>
  <c r="BF26" i="88"/>
  <c r="BG21" i="87"/>
  <c r="BF21" i="87"/>
  <c r="BI21" i="87"/>
  <c r="BH21" i="87"/>
  <c r="BC23" i="87"/>
  <c r="BD22" i="87"/>
  <c r="BC31" i="91" l="1"/>
  <c r="BD30" i="91"/>
  <c r="BF29" i="91"/>
  <c r="BI29" i="91"/>
  <c r="BH29" i="91"/>
  <c r="BG29" i="91"/>
  <c r="BD32" i="90"/>
  <c r="BC33" i="90"/>
  <c r="BI31" i="90"/>
  <c r="BH31" i="90"/>
  <c r="BG31" i="90"/>
  <c r="BF31" i="90"/>
  <c r="BD29" i="89"/>
  <c r="BC30" i="89"/>
  <c r="BH28" i="89"/>
  <c r="BI28" i="89"/>
  <c r="BG28" i="89"/>
  <c r="BF28" i="89"/>
  <c r="BF27" i="88"/>
  <c r="BG27" i="88"/>
  <c r="BI27" i="88"/>
  <c r="BH27" i="88"/>
  <c r="BC29" i="88"/>
  <c r="BD28" i="88"/>
  <c r="BH22" i="87"/>
  <c r="BG22" i="87"/>
  <c r="BF22" i="87"/>
  <c r="BI22" i="87"/>
  <c r="BC24" i="87"/>
  <c r="BD23" i="87"/>
  <c r="BG30" i="91" l="1"/>
  <c r="BF30" i="91"/>
  <c r="BH30" i="91"/>
  <c r="BI30" i="91"/>
  <c r="BC32" i="91"/>
  <c r="BD31" i="91"/>
  <c r="BC34" i="90"/>
  <c r="BD33" i="90"/>
  <c r="BF32" i="90"/>
  <c r="BI32" i="90"/>
  <c r="BH32" i="90"/>
  <c r="BG32" i="90"/>
  <c r="BC31" i="89"/>
  <c r="BD30" i="89"/>
  <c r="BI29" i="89"/>
  <c r="BG29" i="89"/>
  <c r="BH29" i="89"/>
  <c r="BF29" i="89"/>
  <c r="BG28" i="88"/>
  <c r="BI28" i="88"/>
  <c r="BH28" i="88"/>
  <c r="BF28" i="88"/>
  <c r="BC30" i="88"/>
  <c r="BD29" i="88"/>
  <c r="BF23" i="87"/>
  <c r="BI23" i="87"/>
  <c r="BH23" i="87"/>
  <c r="BG23" i="87"/>
  <c r="BC25" i="87"/>
  <c r="BD24" i="87"/>
  <c r="BH31" i="91" l="1"/>
  <c r="BG31" i="91"/>
  <c r="BI31" i="91"/>
  <c r="BF31" i="91"/>
  <c r="BD32" i="91"/>
  <c r="BC33" i="91"/>
  <c r="BG33" i="90"/>
  <c r="BF33" i="90"/>
  <c r="BI33" i="90"/>
  <c r="BH33" i="90"/>
  <c r="BD34" i="90"/>
  <c r="BC35" i="90"/>
  <c r="BF30" i="89"/>
  <c r="BH30" i="89"/>
  <c r="BI30" i="89"/>
  <c r="BG30" i="89"/>
  <c r="BC32" i="89"/>
  <c r="BD31" i="89"/>
  <c r="BH29" i="88"/>
  <c r="BG29" i="88"/>
  <c r="BF29" i="88"/>
  <c r="BI29" i="88"/>
  <c r="BD30" i="88"/>
  <c r="BC31" i="88"/>
  <c r="BG24" i="87"/>
  <c r="BF24" i="87"/>
  <c r="BI24" i="87"/>
  <c r="BH24" i="87"/>
  <c r="BC26" i="87"/>
  <c r="BD25" i="87"/>
  <c r="BD33" i="91" l="1"/>
  <c r="BC34" i="91"/>
  <c r="BI32" i="91"/>
  <c r="BH32" i="91"/>
  <c r="BF32" i="91"/>
  <c r="BG32" i="91"/>
  <c r="BH34" i="90"/>
  <c r="BI34" i="90"/>
  <c r="BG34" i="90"/>
  <c r="BF34" i="90"/>
  <c r="BD35" i="90"/>
  <c r="BC36" i="90"/>
  <c r="BC33" i="89"/>
  <c r="BD32" i="89"/>
  <c r="BG31" i="89"/>
  <c r="BI31" i="89"/>
  <c r="BH31" i="89"/>
  <c r="BF31" i="89"/>
  <c r="BD31" i="88"/>
  <c r="BC32" i="88"/>
  <c r="BI30" i="88"/>
  <c r="BH30" i="88"/>
  <c r="BG30" i="88"/>
  <c r="BF30" i="88"/>
  <c r="BH25" i="87"/>
  <c r="BG25" i="87"/>
  <c r="BF25" i="87"/>
  <c r="BI25" i="87"/>
  <c r="BD26" i="87"/>
  <c r="BC27" i="87"/>
  <c r="BC35" i="91" l="1"/>
  <c r="BD34" i="91"/>
  <c r="BF33" i="91"/>
  <c r="BI33" i="91"/>
  <c r="BH33" i="91"/>
  <c r="BG33" i="91"/>
  <c r="BC37" i="90"/>
  <c r="BD36" i="90"/>
  <c r="BI35" i="90"/>
  <c r="BG35" i="90"/>
  <c r="BF35" i="90"/>
  <c r="BH35" i="90"/>
  <c r="BH32" i="89"/>
  <c r="BF32" i="89"/>
  <c r="BI32" i="89"/>
  <c r="BG32" i="89"/>
  <c r="BD33" i="89"/>
  <c r="BC34" i="89"/>
  <c r="BC33" i="88"/>
  <c r="BD32" i="88"/>
  <c r="BF31" i="88"/>
  <c r="BI31" i="88"/>
  <c r="BH31" i="88"/>
  <c r="BG31" i="88"/>
  <c r="BD27" i="87"/>
  <c r="BC28" i="87"/>
  <c r="BI26" i="87"/>
  <c r="BH26" i="87"/>
  <c r="BG26" i="87"/>
  <c r="BF26" i="87"/>
  <c r="BG34" i="91" l="1"/>
  <c r="BF34" i="91"/>
  <c r="BH34" i="91"/>
  <c r="BI34" i="91"/>
  <c r="BC36" i="91"/>
  <c r="BD35" i="91"/>
  <c r="BG36" i="90"/>
  <c r="BF36" i="90"/>
  <c r="BI36" i="90"/>
  <c r="BH36" i="90"/>
  <c r="BC38" i="90"/>
  <c r="BD37" i="90"/>
  <c r="BC35" i="89"/>
  <c r="BD34" i="89"/>
  <c r="BI33" i="89"/>
  <c r="BG33" i="89"/>
  <c r="BH33" i="89"/>
  <c r="BF33" i="89"/>
  <c r="BG32" i="88"/>
  <c r="BF32" i="88"/>
  <c r="BI32" i="88"/>
  <c r="BH32" i="88"/>
  <c r="BC34" i="88"/>
  <c r="BD33" i="88"/>
  <c r="BC29" i="87"/>
  <c r="BD28" i="87"/>
  <c r="BF27" i="87"/>
  <c r="BI27" i="87"/>
  <c r="BH27" i="87"/>
  <c r="BG27" i="87"/>
  <c r="BH35" i="91" l="1"/>
  <c r="BG35" i="91"/>
  <c r="BI35" i="91"/>
  <c r="BF35" i="91"/>
  <c r="BD36" i="91"/>
  <c r="BC37" i="91"/>
  <c r="BH37" i="90"/>
  <c r="BG37" i="90"/>
  <c r="BI37" i="90"/>
  <c r="BF37" i="90"/>
  <c r="BD38" i="90"/>
  <c r="BC39" i="90"/>
  <c r="BG34" i="89"/>
  <c r="BF34" i="89"/>
  <c r="BI34" i="89"/>
  <c r="BH34" i="89"/>
  <c r="BC36" i="89"/>
  <c r="BD35" i="89"/>
  <c r="BH33" i="88"/>
  <c r="BG33" i="88"/>
  <c r="BF33" i="88"/>
  <c r="BI33" i="88"/>
  <c r="BD34" i="88"/>
  <c r="BC35" i="88"/>
  <c r="BG28" i="87"/>
  <c r="BF28" i="87"/>
  <c r="BI28" i="87"/>
  <c r="BH28" i="87"/>
  <c r="BC30" i="87"/>
  <c r="BD29" i="87"/>
  <c r="BD37" i="91" l="1"/>
  <c r="BC38" i="91"/>
  <c r="BI36" i="91"/>
  <c r="BH36" i="91"/>
  <c r="BF36" i="91"/>
  <c r="BG36" i="91"/>
  <c r="BD39" i="90"/>
  <c r="BC40" i="90"/>
  <c r="BI38" i="90"/>
  <c r="BH38" i="90"/>
  <c r="BG38" i="90"/>
  <c r="BF38" i="90"/>
  <c r="BD36" i="89"/>
  <c r="BC37" i="89"/>
  <c r="BH35" i="89"/>
  <c r="BG35" i="89"/>
  <c r="BF35" i="89"/>
  <c r="BI35" i="89"/>
  <c r="BI34" i="88"/>
  <c r="BH34" i="88"/>
  <c r="BG34" i="88"/>
  <c r="BF34" i="88"/>
  <c r="BD35" i="88"/>
  <c r="BC36" i="88"/>
  <c r="BH29" i="87"/>
  <c r="BG29" i="87"/>
  <c r="BF29" i="87"/>
  <c r="BI29" i="87"/>
  <c r="BD30" i="87"/>
  <c r="BC31" i="87"/>
  <c r="BC39" i="91" l="1"/>
  <c r="BD38" i="91"/>
  <c r="BF37" i="91"/>
  <c r="BI37" i="91"/>
  <c r="BH37" i="91"/>
  <c r="BG37" i="91"/>
  <c r="BC41" i="90"/>
  <c r="BD40" i="90"/>
  <c r="BF39" i="90"/>
  <c r="BI39" i="90"/>
  <c r="BH39" i="90"/>
  <c r="BG39" i="90"/>
  <c r="BD37" i="89"/>
  <c r="BC38" i="89"/>
  <c r="BI36" i="89"/>
  <c r="BH36" i="89"/>
  <c r="BG36" i="89"/>
  <c r="BF36" i="89"/>
  <c r="BC37" i="88"/>
  <c r="BD36" i="88"/>
  <c r="BF35" i="88"/>
  <c r="BI35" i="88"/>
  <c r="BH35" i="88"/>
  <c r="BG35" i="88"/>
  <c r="BD31" i="87"/>
  <c r="BC32" i="87"/>
  <c r="BI30" i="87"/>
  <c r="BH30" i="87"/>
  <c r="BG30" i="87"/>
  <c r="BF30" i="87"/>
  <c r="BG38" i="91" l="1"/>
  <c r="BF38" i="91"/>
  <c r="BH38" i="91"/>
  <c r="BI38" i="91"/>
  <c r="BC40" i="91"/>
  <c r="BD39" i="91"/>
  <c r="BG40" i="90"/>
  <c r="BF40" i="90"/>
  <c r="BI40" i="90"/>
  <c r="BH40" i="90"/>
  <c r="BC42" i="90"/>
  <c r="BD41" i="90"/>
  <c r="BC39" i="89"/>
  <c r="BD38" i="89"/>
  <c r="BF37" i="89"/>
  <c r="BI37" i="89"/>
  <c r="BH37" i="89"/>
  <c r="BG37" i="89"/>
  <c r="BG36" i="88"/>
  <c r="BF36" i="88"/>
  <c r="BI36" i="88"/>
  <c r="BH36" i="88"/>
  <c r="BC38" i="88"/>
  <c r="BD37" i="88"/>
  <c r="BC33" i="87"/>
  <c r="BD32" i="87"/>
  <c r="BF31" i="87"/>
  <c r="BI31" i="87"/>
  <c r="BH31" i="87"/>
  <c r="BG31" i="87"/>
  <c r="BH39" i="91" l="1"/>
  <c r="BG39" i="91"/>
  <c r="BI39" i="91"/>
  <c r="BF39" i="91"/>
  <c r="BD40" i="91"/>
  <c r="BC41" i="91"/>
  <c r="BH41" i="90"/>
  <c r="BG41" i="90"/>
  <c r="BI41" i="90"/>
  <c r="BF41" i="90"/>
  <c r="BD42" i="90"/>
  <c r="BC43" i="90"/>
  <c r="BG38" i="89"/>
  <c r="BF38" i="89"/>
  <c r="BI38" i="89"/>
  <c r="BH38" i="89"/>
  <c r="BC40" i="89"/>
  <c r="BD39" i="89"/>
  <c r="BH37" i="88"/>
  <c r="BG37" i="88"/>
  <c r="BF37" i="88"/>
  <c r="BI37" i="88"/>
  <c r="BD38" i="88"/>
  <c r="BC39" i="88"/>
  <c r="BG32" i="87"/>
  <c r="BF32" i="87"/>
  <c r="BI32" i="87"/>
  <c r="BH32" i="87"/>
  <c r="BC34" i="87"/>
  <c r="BD33" i="87"/>
  <c r="BC42" i="91" l="1"/>
  <c r="BD41" i="91"/>
  <c r="BI40" i="91"/>
  <c r="BH40" i="91"/>
  <c r="BF40" i="91"/>
  <c r="BG40" i="91"/>
  <c r="BC44" i="90"/>
  <c r="BD43" i="90"/>
  <c r="BF42" i="90"/>
  <c r="BI42" i="90"/>
  <c r="BH42" i="90"/>
  <c r="BG42" i="90"/>
  <c r="BH39" i="89"/>
  <c r="BG39" i="89"/>
  <c r="BF39" i="89"/>
  <c r="BI39" i="89"/>
  <c r="BD40" i="89"/>
  <c r="BC41" i="89"/>
  <c r="BI38" i="88"/>
  <c r="BH38" i="88"/>
  <c r="BG38" i="88"/>
  <c r="BF38" i="88"/>
  <c r="BD39" i="88"/>
  <c r="BC40" i="88"/>
  <c r="BH33" i="87"/>
  <c r="BG33" i="87"/>
  <c r="BF33" i="87"/>
  <c r="BI33" i="87"/>
  <c r="BC35" i="87"/>
  <c r="BD34" i="87"/>
  <c r="BF41" i="91" l="1"/>
  <c r="BI41" i="91"/>
  <c r="BH41" i="91"/>
  <c r="BG41" i="91"/>
  <c r="BC43" i="91"/>
  <c r="BD42" i="91"/>
  <c r="BG43" i="90"/>
  <c r="BH43" i="90"/>
  <c r="BF43" i="90"/>
  <c r="BI43" i="90"/>
  <c r="BC45" i="90"/>
  <c r="BD44" i="90"/>
  <c r="BD41" i="89"/>
  <c r="BC42" i="89"/>
  <c r="BI40" i="89"/>
  <c r="BH40" i="89"/>
  <c r="BG40" i="89"/>
  <c r="BF40" i="89"/>
  <c r="BC41" i="88"/>
  <c r="BD40" i="88"/>
  <c r="BF39" i="88"/>
  <c r="BI39" i="88"/>
  <c r="BH39" i="88"/>
  <c r="BG39" i="88"/>
  <c r="BI34" i="87"/>
  <c r="BH34" i="87"/>
  <c r="BG34" i="87"/>
  <c r="BF34" i="87"/>
  <c r="BC36" i="87"/>
  <c r="BD35" i="87"/>
  <c r="BG42" i="91" l="1"/>
  <c r="BI42" i="91"/>
  <c r="BH42" i="91"/>
  <c r="BF42" i="91"/>
  <c r="BC44" i="91"/>
  <c r="BD43" i="91"/>
  <c r="BH44" i="90"/>
  <c r="BI44" i="90"/>
  <c r="BG44" i="90"/>
  <c r="BF44" i="90"/>
  <c r="BD45" i="90"/>
  <c r="BC46" i="90"/>
  <c r="BC43" i="89"/>
  <c r="BD42" i="89"/>
  <c r="BF41" i="89"/>
  <c r="BI41" i="89"/>
  <c r="BH41" i="89"/>
  <c r="BG41" i="89"/>
  <c r="BG40" i="88"/>
  <c r="BF40" i="88"/>
  <c r="BI40" i="88"/>
  <c r="BH40" i="88"/>
  <c r="BC42" i="88"/>
  <c r="BD41" i="88"/>
  <c r="BG35" i="87"/>
  <c r="BI35" i="87"/>
  <c r="BH35" i="87"/>
  <c r="BF35" i="87"/>
  <c r="BD36" i="87"/>
  <c r="BC37" i="87"/>
  <c r="BG43" i="91" l="1"/>
  <c r="BH43" i="91"/>
  <c r="BI43" i="91"/>
  <c r="BF43" i="91"/>
  <c r="BC45" i="91"/>
  <c r="BD44" i="91"/>
  <c r="BC47" i="90"/>
  <c r="BD46" i="90"/>
  <c r="BI45" i="90"/>
  <c r="BF45" i="90"/>
  <c r="BH45" i="90"/>
  <c r="BG45" i="90"/>
  <c r="BF42" i="89"/>
  <c r="BI42" i="89"/>
  <c r="BH42" i="89"/>
  <c r="BG42" i="89"/>
  <c r="BC44" i="89"/>
  <c r="BD43" i="89"/>
  <c r="BH41" i="88"/>
  <c r="BG41" i="88"/>
  <c r="BF41" i="88"/>
  <c r="BI41" i="88"/>
  <c r="BC43" i="88"/>
  <c r="BD42" i="88"/>
  <c r="BH36" i="87"/>
  <c r="BI36" i="87"/>
  <c r="BG36" i="87"/>
  <c r="BF36" i="87"/>
  <c r="BD37" i="87"/>
  <c r="BC38" i="87"/>
  <c r="BH44" i="91" l="1"/>
  <c r="BG44" i="91"/>
  <c r="BI44" i="91"/>
  <c r="BF44" i="91"/>
  <c r="BD45" i="91"/>
  <c r="BC46" i="91"/>
  <c r="BF46" i="90"/>
  <c r="BH46" i="90"/>
  <c r="BG46" i="90"/>
  <c r="BI46" i="90"/>
  <c r="BC48" i="90"/>
  <c r="BD47" i="90"/>
  <c r="BH43" i="89"/>
  <c r="BG43" i="89"/>
  <c r="BF43" i="89"/>
  <c r="BI43" i="89"/>
  <c r="BD44" i="89"/>
  <c r="BC45" i="89"/>
  <c r="BF42" i="88"/>
  <c r="BI42" i="88"/>
  <c r="BH42" i="88"/>
  <c r="BG42" i="88"/>
  <c r="BC44" i="88"/>
  <c r="BD43" i="88"/>
  <c r="BC39" i="87"/>
  <c r="BD38" i="87"/>
  <c r="BI37" i="87"/>
  <c r="BG37" i="87"/>
  <c r="BF37" i="87"/>
  <c r="BH37" i="87"/>
  <c r="BD46" i="91" l="1"/>
  <c r="BC47" i="91"/>
  <c r="BI45" i="91"/>
  <c r="BH45" i="91"/>
  <c r="BF45" i="91"/>
  <c r="BG45" i="91"/>
  <c r="BG47" i="90"/>
  <c r="BI47" i="90"/>
  <c r="BH47" i="90"/>
  <c r="BF47" i="90"/>
  <c r="BD48" i="90"/>
  <c r="BC49" i="90"/>
  <c r="BI44" i="89"/>
  <c r="BH44" i="89"/>
  <c r="BG44" i="89"/>
  <c r="BF44" i="89"/>
  <c r="BD45" i="89"/>
  <c r="BC46" i="89"/>
  <c r="BG43" i="88"/>
  <c r="BF43" i="88"/>
  <c r="BI43" i="88"/>
  <c r="BH43" i="88"/>
  <c r="BC45" i="88"/>
  <c r="BD44" i="88"/>
  <c r="BF38" i="87"/>
  <c r="BI38" i="87"/>
  <c r="BH38" i="87"/>
  <c r="BG38" i="87"/>
  <c r="BC40" i="87"/>
  <c r="BD39" i="87"/>
  <c r="BC48" i="91" l="1"/>
  <c r="BD47" i="91"/>
  <c r="BF46" i="91"/>
  <c r="BI46" i="91"/>
  <c r="BH46" i="91"/>
  <c r="BG46" i="91"/>
  <c r="BC50" i="90"/>
  <c r="BD49" i="90"/>
  <c r="BH48" i="90"/>
  <c r="BF48" i="90"/>
  <c r="BI48" i="90"/>
  <c r="BG48" i="90"/>
  <c r="BF45" i="89"/>
  <c r="BI45" i="89"/>
  <c r="BH45" i="89"/>
  <c r="BG45" i="89"/>
  <c r="BC47" i="89"/>
  <c r="BD46" i="89"/>
  <c r="BH44" i="88"/>
  <c r="BG44" i="88"/>
  <c r="BF44" i="88"/>
  <c r="BI44" i="88"/>
  <c r="BD45" i="88"/>
  <c r="BC46" i="88"/>
  <c r="BH39" i="87"/>
  <c r="BG39" i="87"/>
  <c r="BI39" i="87"/>
  <c r="BF39" i="87"/>
  <c r="BD40" i="87"/>
  <c r="BC41" i="87"/>
  <c r="BG47" i="91" l="1"/>
  <c r="BF47" i="91"/>
  <c r="BI47" i="91"/>
  <c r="BH47" i="91"/>
  <c r="BC49" i="91"/>
  <c r="BD48" i="91"/>
  <c r="BI49" i="90"/>
  <c r="BH49" i="90"/>
  <c r="BG49" i="90"/>
  <c r="BF49" i="90"/>
  <c r="BC51" i="90"/>
  <c r="BD50" i="90"/>
  <c r="BC48" i="89"/>
  <c r="BD47" i="89"/>
  <c r="BG46" i="89"/>
  <c r="BF46" i="89"/>
  <c r="BI46" i="89"/>
  <c r="BH46" i="89"/>
  <c r="BI45" i="88"/>
  <c r="BH45" i="88"/>
  <c r="BF45" i="88"/>
  <c r="BG45" i="88"/>
  <c r="BD46" i="88"/>
  <c r="BC47" i="88"/>
  <c r="BC42" i="87"/>
  <c r="BD41" i="87"/>
  <c r="BI40" i="87"/>
  <c r="BH40" i="87"/>
  <c r="BG40" i="87"/>
  <c r="BF40" i="87"/>
  <c r="BH48" i="91" l="1"/>
  <c r="BG48" i="91"/>
  <c r="BF48" i="91"/>
  <c r="BI48" i="91"/>
  <c r="BC50" i="91"/>
  <c r="BD49" i="91"/>
  <c r="BH50" i="90"/>
  <c r="BF50" i="90"/>
  <c r="BI50" i="90"/>
  <c r="BG50" i="90"/>
  <c r="BC52" i="90"/>
  <c r="BD51" i="90"/>
  <c r="BH47" i="89"/>
  <c r="BG47" i="89"/>
  <c r="BF47" i="89"/>
  <c r="BI47" i="89"/>
  <c r="BD48" i="89"/>
  <c r="BC49" i="89"/>
  <c r="BC48" i="88"/>
  <c r="BD47" i="88"/>
  <c r="BF46" i="88"/>
  <c r="BI46" i="88"/>
  <c r="BH46" i="88"/>
  <c r="BG46" i="88"/>
  <c r="BG41" i="87"/>
  <c r="BF41" i="87"/>
  <c r="BI41" i="87"/>
  <c r="BH41" i="87"/>
  <c r="BD42" i="87"/>
  <c r="BC43" i="87"/>
  <c r="BI49" i="91" l="1"/>
  <c r="BH49" i="91"/>
  <c r="BG49" i="91"/>
  <c r="BF49" i="91"/>
  <c r="BC51" i="91"/>
  <c r="BD50" i="91"/>
  <c r="BC53" i="90"/>
  <c r="BD52" i="90"/>
  <c r="BC50" i="89"/>
  <c r="BD49" i="89"/>
  <c r="BI48" i="89"/>
  <c r="BH48" i="89"/>
  <c r="BG48" i="89"/>
  <c r="BF48" i="89"/>
  <c r="BG47" i="88"/>
  <c r="BF47" i="88"/>
  <c r="BI47" i="88"/>
  <c r="BH47" i="88"/>
  <c r="BC49" i="88"/>
  <c r="BD48" i="88"/>
  <c r="BI42" i="87"/>
  <c r="BH42" i="87"/>
  <c r="BG42" i="87"/>
  <c r="BF42" i="87"/>
  <c r="BC44" i="87"/>
  <c r="BD43" i="87"/>
  <c r="BH50" i="91" l="1"/>
  <c r="BG50" i="91"/>
  <c r="BF50" i="91"/>
  <c r="BI50" i="91"/>
  <c r="BC52" i="91"/>
  <c r="BD51" i="91"/>
  <c r="BG51" i="90"/>
  <c r="BI51" i="90"/>
  <c r="BH51" i="90"/>
  <c r="BF51" i="90"/>
  <c r="BC54" i="90"/>
  <c r="BD53" i="90"/>
  <c r="BF49" i="89"/>
  <c r="BI49" i="89"/>
  <c r="BH49" i="89"/>
  <c r="BG49" i="89"/>
  <c r="BC51" i="89"/>
  <c r="BD50" i="89"/>
  <c r="BC50" i="88"/>
  <c r="BD49" i="88"/>
  <c r="BH48" i="88"/>
  <c r="BG48" i="88"/>
  <c r="BF48" i="88"/>
  <c r="BI48" i="88"/>
  <c r="BF43" i="87"/>
  <c r="BG43" i="87"/>
  <c r="BI43" i="87"/>
  <c r="BH43" i="87"/>
  <c r="BC45" i="87"/>
  <c r="BD44" i="87"/>
  <c r="BC53" i="91" l="1"/>
  <c r="BD52" i="91"/>
  <c r="BF52" i="90"/>
  <c r="BG52" i="90"/>
  <c r="BI52" i="90"/>
  <c r="BH52" i="90"/>
  <c r="BC55" i="90"/>
  <c r="BD54" i="90"/>
  <c r="BI50" i="89"/>
  <c r="BH50" i="89"/>
  <c r="BG50" i="89"/>
  <c r="BF50" i="89"/>
  <c r="BD51" i="89"/>
  <c r="BC52" i="89"/>
  <c r="BI49" i="88"/>
  <c r="BH49" i="88"/>
  <c r="BG49" i="88"/>
  <c r="BF49" i="88"/>
  <c r="BD50" i="88"/>
  <c r="BC51" i="88"/>
  <c r="BG44" i="87"/>
  <c r="BI44" i="87"/>
  <c r="BH44" i="87"/>
  <c r="BF44" i="87"/>
  <c r="BD45" i="87"/>
  <c r="BC46" i="87"/>
  <c r="BG51" i="91" l="1"/>
  <c r="BF51" i="91"/>
  <c r="BI51" i="91"/>
  <c r="BH51" i="91"/>
  <c r="BC54" i="91"/>
  <c r="BD53" i="91"/>
  <c r="BH53" i="90"/>
  <c r="BG53" i="90"/>
  <c r="BI53" i="90"/>
  <c r="BF53" i="90"/>
  <c r="BD55" i="90"/>
  <c r="BC56" i="90"/>
  <c r="BC53" i="89"/>
  <c r="BD52" i="89"/>
  <c r="BC52" i="88"/>
  <c r="BD51" i="88"/>
  <c r="BH50" i="88"/>
  <c r="BG50" i="88"/>
  <c r="BF50" i="88"/>
  <c r="BI50" i="88"/>
  <c r="BD46" i="87"/>
  <c r="BC47" i="87"/>
  <c r="BH45" i="87"/>
  <c r="BI45" i="87"/>
  <c r="BG45" i="87"/>
  <c r="BF45" i="87"/>
  <c r="BF52" i="91" l="1"/>
  <c r="BI52" i="91"/>
  <c r="BH52" i="91"/>
  <c r="BG52" i="91"/>
  <c r="BC55" i="91"/>
  <c r="BD54" i="91"/>
  <c r="BC57" i="90"/>
  <c r="BD56" i="90"/>
  <c r="BF54" i="90"/>
  <c r="BI54" i="90"/>
  <c r="BH54" i="90"/>
  <c r="BG54" i="90"/>
  <c r="BH51" i="89"/>
  <c r="BG51" i="89"/>
  <c r="BF51" i="89"/>
  <c r="BI51" i="89"/>
  <c r="BD53" i="89"/>
  <c r="BC54" i="89"/>
  <c r="BC53" i="88"/>
  <c r="BD52" i="88"/>
  <c r="BC48" i="87"/>
  <c r="BD47" i="87"/>
  <c r="BI46" i="87"/>
  <c r="BG46" i="87"/>
  <c r="BF46" i="87"/>
  <c r="BH46" i="87"/>
  <c r="BH53" i="91" l="1"/>
  <c r="BG53" i="91"/>
  <c r="BF53" i="91"/>
  <c r="BI53" i="91"/>
  <c r="BC56" i="91"/>
  <c r="BD55" i="91"/>
  <c r="BH55" i="90"/>
  <c r="BG55" i="90"/>
  <c r="BI55" i="90"/>
  <c r="BF55" i="90"/>
  <c r="BD57" i="90"/>
  <c r="BC58" i="90"/>
  <c r="BC55" i="89"/>
  <c r="BD54" i="89"/>
  <c r="BG52" i="89"/>
  <c r="BF52" i="89"/>
  <c r="BI52" i="89"/>
  <c r="BH52" i="89"/>
  <c r="BC54" i="88"/>
  <c r="BD53" i="88"/>
  <c r="BG51" i="88"/>
  <c r="BF51" i="88"/>
  <c r="BI51" i="88"/>
  <c r="BH51" i="88"/>
  <c r="BF47" i="87"/>
  <c r="BI47" i="87"/>
  <c r="BH47" i="87"/>
  <c r="BG47" i="87"/>
  <c r="BC49" i="87"/>
  <c r="BD48" i="87"/>
  <c r="BF54" i="91" l="1"/>
  <c r="BI54" i="91"/>
  <c r="BH54" i="91"/>
  <c r="BG54" i="91"/>
  <c r="BC57" i="91"/>
  <c r="BD56" i="91"/>
  <c r="BD58" i="90"/>
  <c r="BC59" i="90"/>
  <c r="BF56" i="90"/>
  <c r="BI56" i="90"/>
  <c r="BG56" i="90"/>
  <c r="BH56" i="90"/>
  <c r="BI53" i="89"/>
  <c r="BH53" i="89"/>
  <c r="BG53" i="89"/>
  <c r="BF53" i="89"/>
  <c r="BD55" i="89"/>
  <c r="BC56" i="89"/>
  <c r="BC55" i="88"/>
  <c r="BD54" i="88"/>
  <c r="BF52" i="88"/>
  <c r="BI52" i="88"/>
  <c r="BH52" i="88"/>
  <c r="BG52" i="88"/>
  <c r="BG48" i="87"/>
  <c r="BF48" i="87"/>
  <c r="BI48" i="87"/>
  <c r="BH48" i="87"/>
  <c r="BC50" i="87"/>
  <c r="BD49" i="87"/>
  <c r="BH55" i="91" l="1"/>
  <c r="BG55" i="91"/>
  <c r="BF55" i="91"/>
  <c r="BI55" i="91"/>
  <c r="BC58" i="91"/>
  <c r="BD57" i="91"/>
  <c r="BC60" i="90"/>
  <c r="BD59" i="90"/>
  <c r="BH57" i="90"/>
  <c r="BG57" i="90"/>
  <c r="BF57" i="90"/>
  <c r="BI57" i="90"/>
  <c r="BC57" i="89"/>
  <c r="BD56" i="89"/>
  <c r="BG54" i="89"/>
  <c r="BF54" i="89"/>
  <c r="BI54" i="89"/>
  <c r="BH54" i="89"/>
  <c r="BC56" i="88"/>
  <c r="BD55" i="88"/>
  <c r="BH53" i="88"/>
  <c r="BG53" i="88"/>
  <c r="BF53" i="88"/>
  <c r="BI53" i="88"/>
  <c r="BI49" i="87"/>
  <c r="BH49" i="87"/>
  <c r="BG49" i="87"/>
  <c r="BF49" i="87"/>
  <c r="BC51" i="87"/>
  <c r="BD50" i="87"/>
  <c r="BF56" i="91" l="1"/>
  <c r="BI56" i="91"/>
  <c r="BH56" i="91"/>
  <c r="BG56" i="91"/>
  <c r="BD58" i="91"/>
  <c r="BC59" i="91"/>
  <c r="BF58" i="90"/>
  <c r="BI58" i="90"/>
  <c r="BH58" i="90"/>
  <c r="BG58" i="90"/>
  <c r="BC61" i="90"/>
  <c r="BD60" i="90"/>
  <c r="BI55" i="89"/>
  <c r="BH55" i="89"/>
  <c r="BG55" i="89"/>
  <c r="BF55" i="89"/>
  <c r="BD57" i="89"/>
  <c r="BC58" i="89"/>
  <c r="BC57" i="88"/>
  <c r="BD56" i="88"/>
  <c r="BF54" i="88"/>
  <c r="BI54" i="88"/>
  <c r="BH54" i="88"/>
  <c r="BG54" i="88"/>
  <c r="BH50" i="87"/>
  <c r="BG50" i="87"/>
  <c r="BI50" i="87"/>
  <c r="BF50" i="87"/>
  <c r="BD51" i="87"/>
  <c r="BC52" i="87"/>
  <c r="BH57" i="91" l="1"/>
  <c r="BG57" i="91"/>
  <c r="BF57" i="91"/>
  <c r="BI57" i="91"/>
  <c r="BC60" i="91"/>
  <c r="BD59" i="91"/>
  <c r="BG59" i="90"/>
  <c r="BF59" i="90"/>
  <c r="BI59" i="90"/>
  <c r="BH59" i="90"/>
  <c r="BD61" i="90"/>
  <c r="BC62" i="90"/>
  <c r="BC59" i="89"/>
  <c r="BD58" i="89"/>
  <c r="BG56" i="89"/>
  <c r="BF56" i="89"/>
  <c r="BI56" i="89"/>
  <c r="BH56" i="89"/>
  <c r="BC58" i="88"/>
  <c r="BD57" i="88"/>
  <c r="BH55" i="88"/>
  <c r="BG55" i="88"/>
  <c r="BF55" i="88"/>
  <c r="BI55" i="88"/>
  <c r="BC53" i="87"/>
  <c r="BD52" i="87"/>
  <c r="BF58" i="91" l="1"/>
  <c r="BI58" i="91"/>
  <c r="BH58" i="91"/>
  <c r="BG58" i="91"/>
  <c r="BC61" i="91"/>
  <c r="BD60" i="91"/>
  <c r="BC63" i="90"/>
  <c r="BD63" i="90" s="1"/>
  <c r="BD62" i="90"/>
  <c r="BH60" i="90"/>
  <c r="BG60" i="90"/>
  <c r="BF60" i="90"/>
  <c r="BI60" i="90"/>
  <c r="BI57" i="89"/>
  <c r="BH57" i="89"/>
  <c r="BG57" i="89"/>
  <c r="BF57" i="89"/>
  <c r="BC60" i="89"/>
  <c r="BD59" i="89"/>
  <c r="BF56" i="88"/>
  <c r="BI56" i="88"/>
  <c r="BH56" i="88"/>
  <c r="BG56" i="88"/>
  <c r="BD58" i="88"/>
  <c r="BC59" i="88"/>
  <c r="BG51" i="87"/>
  <c r="BF51" i="87"/>
  <c r="BI51" i="87"/>
  <c r="BH51" i="87"/>
  <c r="BD53" i="87"/>
  <c r="BC54" i="87"/>
  <c r="BG59" i="91" l="1"/>
  <c r="BF59" i="91"/>
  <c r="BI59" i="91"/>
  <c r="BH59" i="91"/>
  <c r="BD61" i="91"/>
  <c r="BC62" i="91"/>
  <c r="BI61" i="90"/>
  <c r="BH61" i="90"/>
  <c r="BG61" i="90"/>
  <c r="BF61" i="90"/>
  <c r="BG62" i="90"/>
  <c r="BF62" i="90"/>
  <c r="BI62" i="90"/>
  <c r="BH62" i="90"/>
  <c r="BG58" i="89"/>
  <c r="BF58" i="89"/>
  <c r="BI58" i="89"/>
  <c r="BH58" i="89"/>
  <c r="BD60" i="89"/>
  <c r="BC61" i="89"/>
  <c r="BC60" i="88"/>
  <c r="BD59" i="88"/>
  <c r="BH57" i="88"/>
  <c r="BG57" i="88"/>
  <c r="BF57" i="88"/>
  <c r="BI57" i="88"/>
  <c r="BC55" i="87"/>
  <c r="BD54" i="87"/>
  <c r="BF52" i="87"/>
  <c r="BI52" i="87"/>
  <c r="BH52" i="87"/>
  <c r="BG52" i="87"/>
  <c r="BC63" i="91" l="1"/>
  <c r="BD63" i="91" s="1"/>
  <c r="BD62" i="91"/>
  <c r="BH60" i="91"/>
  <c r="BG60" i="91"/>
  <c r="BF60" i="91"/>
  <c r="BI60" i="91"/>
  <c r="BH59" i="89"/>
  <c r="BG59" i="89"/>
  <c r="BF59" i="89"/>
  <c r="BI59" i="89"/>
  <c r="BC62" i="89"/>
  <c r="BD61" i="89"/>
  <c r="BF58" i="88"/>
  <c r="BI58" i="88"/>
  <c r="BH58" i="88"/>
  <c r="BG58" i="88"/>
  <c r="BC61" i="88"/>
  <c r="BD60" i="88"/>
  <c r="BH53" i="87"/>
  <c r="BG53" i="87"/>
  <c r="BI53" i="87"/>
  <c r="BF53" i="87"/>
  <c r="BC56" i="87"/>
  <c r="BD55" i="87"/>
  <c r="BI61" i="91" l="1"/>
  <c r="BH61" i="91"/>
  <c r="BG61" i="91"/>
  <c r="BF61" i="91"/>
  <c r="BG62" i="91"/>
  <c r="BF62" i="91"/>
  <c r="BI62" i="91"/>
  <c r="BH62" i="91"/>
  <c r="BF60" i="89"/>
  <c r="BI60" i="89"/>
  <c r="BH60" i="89"/>
  <c r="BG60" i="89"/>
  <c r="BC63" i="89"/>
  <c r="BD63" i="89" s="1"/>
  <c r="BD62" i="89"/>
  <c r="BG59" i="88"/>
  <c r="BF59" i="88"/>
  <c r="BI59" i="88"/>
  <c r="BH59" i="88"/>
  <c r="BD61" i="88"/>
  <c r="BC62" i="88"/>
  <c r="BF54" i="87"/>
  <c r="BI54" i="87"/>
  <c r="BH54" i="87"/>
  <c r="BG54" i="87"/>
  <c r="BC57" i="87"/>
  <c r="BD56" i="87"/>
  <c r="BG61" i="89" l="1"/>
  <c r="BF61" i="89"/>
  <c r="BI61" i="89"/>
  <c r="BH61" i="89"/>
  <c r="BI62" i="89"/>
  <c r="BH62" i="89"/>
  <c r="BG62" i="89"/>
  <c r="BF62" i="89"/>
  <c r="BC63" i="88"/>
  <c r="BD63" i="88" s="1"/>
  <c r="BD62" i="88"/>
  <c r="BH60" i="88"/>
  <c r="BG60" i="88"/>
  <c r="BF60" i="88"/>
  <c r="BI60" i="88"/>
  <c r="BH55" i="87"/>
  <c r="BG55" i="87"/>
  <c r="BI55" i="87"/>
  <c r="BF55" i="87"/>
  <c r="BD57" i="87"/>
  <c r="BC58" i="87"/>
  <c r="BI61" i="88" l="1"/>
  <c r="BH61" i="88"/>
  <c r="BG61" i="88"/>
  <c r="BF61" i="88"/>
  <c r="BG62" i="88"/>
  <c r="BF62" i="88"/>
  <c r="BI62" i="88"/>
  <c r="BH62" i="88"/>
  <c r="BD58" i="87"/>
  <c r="BC59" i="87"/>
  <c r="BF56" i="87"/>
  <c r="BI56" i="87"/>
  <c r="BH56" i="87"/>
  <c r="BG56" i="87"/>
  <c r="BC60" i="87" l="1"/>
  <c r="BD59" i="87"/>
  <c r="BH57" i="87"/>
  <c r="BG57" i="87"/>
  <c r="BI57" i="87"/>
  <c r="BF57" i="87"/>
  <c r="BF58" i="87" l="1"/>
  <c r="BI58" i="87"/>
  <c r="BG58" i="87"/>
  <c r="BH58" i="87"/>
  <c r="BC61" i="87"/>
  <c r="BD60" i="87"/>
  <c r="BG59" i="87" l="1"/>
  <c r="BF59" i="87"/>
  <c r="BH59" i="87"/>
  <c r="BI59" i="87"/>
  <c r="BC62" i="87"/>
  <c r="BD61" i="87"/>
  <c r="BH60" i="87" l="1"/>
  <c r="BG60" i="87"/>
  <c r="BF60" i="87"/>
  <c r="BI60" i="87"/>
  <c r="BD62" i="87"/>
  <c r="BC63" i="87"/>
  <c r="BD63" i="87" s="1"/>
  <c r="BH62" i="87" l="1"/>
  <c r="BG62" i="87"/>
  <c r="BF62" i="87"/>
  <c r="BI62" i="87"/>
  <c r="BI61" i="87"/>
  <c r="BH61" i="87"/>
  <c r="BG61" i="87"/>
  <c r="BF61" i="87"/>
  <c r="C68" i="85" l="1"/>
  <c r="B68" i="85" s="1"/>
  <c r="AH67" i="85"/>
  <c r="AG67" i="85"/>
  <c r="AF67" i="85"/>
  <c r="AH66" i="85"/>
  <c r="AG66" i="85"/>
  <c r="AF66" i="85"/>
  <c r="AH65" i="85"/>
  <c r="AG65" i="85"/>
  <c r="AF65" i="85"/>
  <c r="AH64" i="85"/>
  <c r="AG64" i="85"/>
  <c r="AF64" i="85"/>
  <c r="BI63" i="85"/>
  <c r="BH63" i="85"/>
  <c r="BG63" i="85"/>
  <c r="BF63" i="85"/>
  <c r="AV63" i="85"/>
  <c r="AH63" i="85"/>
  <c r="AG63" i="85"/>
  <c r="AF63" i="85"/>
  <c r="AV62" i="85"/>
  <c r="AH62" i="85"/>
  <c r="AG62" i="85"/>
  <c r="AF62" i="85"/>
  <c r="G62" i="85"/>
  <c r="AV61" i="85"/>
  <c r="AV60" i="85"/>
  <c r="AH60" i="85"/>
  <c r="AG60" i="85"/>
  <c r="AF60" i="85"/>
  <c r="AF61" i="85" s="1"/>
  <c r="G60" i="85"/>
  <c r="E60" i="85" s="1"/>
  <c r="AV59" i="85"/>
  <c r="AH59" i="85"/>
  <c r="AG59" i="85"/>
  <c r="AF59" i="85"/>
  <c r="G59" i="85"/>
  <c r="E59" i="85" s="1"/>
  <c r="AV58" i="85"/>
  <c r="AH58" i="85"/>
  <c r="AG58" i="85"/>
  <c r="AF58" i="85"/>
  <c r="G58" i="85"/>
  <c r="AV57" i="85"/>
  <c r="AH57" i="85"/>
  <c r="AG57" i="85"/>
  <c r="AF57" i="85"/>
  <c r="G57" i="85"/>
  <c r="AV56" i="85"/>
  <c r="AH56" i="85"/>
  <c r="AG56" i="85"/>
  <c r="AF56" i="85"/>
  <c r="G56" i="85"/>
  <c r="AV55" i="85"/>
  <c r="AH55" i="85"/>
  <c r="AG55" i="85"/>
  <c r="AF55" i="85"/>
  <c r="G55" i="85"/>
  <c r="AV54" i="85"/>
  <c r="AH54" i="85"/>
  <c r="AG54" i="85"/>
  <c r="AF54" i="85"/>
  <c r="G54" i="85"/>
  <c r="AV53" i="85"/>
  <c r="AH53" i="85"/>
  <c r="AG53" i="85"/>
  <c r="AF53" i="85"/>
  <c r="G53" i="85"/>
  <c r="AV52" i="85"/>
  <c r="AH52" i="85"/>
  <c r="AG52" i="85"/>
  <c r="AF52" i="85"/>
  <c r="AV51" i="85"/>
  <c r="AH51" i="85"/>
  <c r="AG51" i="85"/>
  <c r="AF51" i="85"/>
  <c r="AV50" i="85"/>
  <c r="AH50" i="85"/>
  <c r="AG50" i="85"/>
  <c r="AF50" i="85"/>
  <c r="AV49" i="85"/>
  <c r="AV48" i="85"/>
  <c r="AV47" i="85"/>
  <c r="AV46" i="85"/>
  <c r="AV45" i="85"/>
  <c r="AV44" i="85"/>
  <c r="AV43" i="85"/>
  <c r="AV42" i="85"/>
  <c r="AV41" i="85"/>
  <c r="AV40" i="85"/>
  <c r="AV39" i="85"/>
  <c r="AV38" i="85"/>
  <c r="AV37" i="85"/>
  <c r="AV36" i="85"/>
  <c r="AV35" i="85"/>
  <c r="AV34" i="85"/>
  <c r="AV33" i="85"/>
  <c r="AV32" i="85"/>
  <c r="AV31" i="85"/>
  <c r="AV30" i="85"/>
  <c r="AV29" i="85"/>
  <c r="AV28" i="85"/>
  <c r="AV27" i="85"/>
  <c r="AV26" i="85"/>
  <c r="AV25" i="85"/>
  <c r="AV24" i="85"/>
  <c r="AV23" i="85"/>
  <c r="AV22" i="85"/>
  <c r="AV21" i="85"/>
  <c r="AV20" i="85"/>
  <c r="AV19" i="85"/>
  <c r="AV18" i="85"/>
  <c r="AV17" i="85"/>
  <c r="AV16" i="85"/>
  <c r="L16" i="85" a="1"/>
  <c r="L16" i="85" s="1"/>
  <c r="AV15" i="85"/>
  <c r="AV14" i="85"/>
  <c r="AV13" i="85"/>
  <c r="L13" i="85"/>
  <c r="AV12" i="85"/>
  <c r="L12" i="85"/>
  <c r="AV11" i="85"/>
  <c r="L11" i="85"/>
  <c r="AV10" i="85"/>
  <c r="L10" i="85"/>
  <c r="AV9" i="85"/>
  <c r="L9" i="85"/>
  <c r="AV8" i="85"/>
  <c r="L8" i="85"/>
  <c r="BC7" i="85"/>
  <c r="AV7" i="85"/>
  <c r="AF7" i="85"/>
  <c r="AF8" i="85" s="1"/>
  <c r="AF9" i="85" s="1"/>
  <c r="AF10" i="85" s="1"/>
  <c r="AF11" i="85" s="1"/>
  <c r="AF12" i="85" s="1"/>
  <c r="AF13" i="85" s="1"/>
  <c r="AF14" i="85" s="1"/>
  <c r="AF15" i="85" s="1"/>
  <c r="AF16" i="85" s="1"/>
  <c r="AF17" i="85" s="1"/>
  <c r="AF18" i="85" s="1"/>
  <c r="AF19" i="85" s="1"/>
  <c r="AF20" i="85" s="1"/>
  <c r="AF21" i="85" s="1"/>
  <c r="AF22" i="85" s="1"/>
  <c r="AF23" i="85" s="1"/>
  <c r="AF24" i="85" s="1"/>
  <c r="AF25" i="85" s="1"/>
  <c r="AF26" i="85" s="1"/>
  <c r="AF27" i="85" s="1"/>
  <c r="AF28" i="85" s="1"/>
  <c r="AF29" i="85" s="1"/>
  <c r="AF30" i="85" s="1"/>
  <c r="AF31" i="85" s="1"/>
  <c r="AF32" i="85" s="1"/>
  <c r="AF33" i="85" s="1"/>
  <c r="AF34" i="85" s="1"/>
  <c r="AF35" i="85" s="1"/>
  <c r="AF36" i="85" s="1"/>
  <c r="AF37" i="85" s="1"/>
  <c r="AF38" i="85" s="1"/>
  <c r="AF39" i="85" s="1"/>
  <c r="AF40" i="85" s="1"/>
  <c r="AF41" i="85" s="1"/>
  <c r="AF42" i="85" s="1"/>
  <c r="AF43" i="85" s="1"/>
  <c r="AF44" i="85" s="1"/>
  <c r="AF45" i="85" s="1"/>
  <c r="AF46" i="85" s="1"/>
  <c r="AF47" i="85" s="1"/>
  <c r="AF48" i="85" s="1"/>
  <c r="AF49" i="85" s="1"/>
  <c r="AL4" i="85"/>
  <c r="AK4" i="85"/>
  <c r="AK2" i="85" s="1"/>
  <c r="AJ4" i="85"/>
  <c r="AJ2" i="85" s="1"/>
  <c r="G3" i="85"/>
  <c r="AL2" i="85"/>
  <c r="E2" i="85"/>
  <c r="E3" i="85" s="1"/>
  <c r="A1" i="85"/>
  <c r="AJ8" i="85"/>
  <c r="AJ18" i="85"/>
  <c r="G26" i="85"/>
  <c r="AJ11" i="85"/>
  <c r="AJ22" i="85"/>
  <c r="AJ14" i="85"/>
  <c r="AJ23" i="85"/>
  <c r="G30" i="85"/>
  <c r="E6" i="85"/>
  <c r="L14" i="85" l="1"/>
  <c r="M13" i="85" s="1"/>
  <c r="AW12" i="85"/>
  <c r="AX12" i="85" s="1"/>
  <c r="AW18" i="85"/>
  <c r="AX18" i="85" s="1"/>
  <c r="AW23" i="85"/>
  <c r="AX23" i="85" s="1"/>
  <c r="AW63" i="85"/>
  <c r="AX63" i="85" s="1"/>
  <c r="AW50" i="85"/>
  <c r="AX50" i="85" s="1"/>
  <c r="AW48" i="85"/>
  <c r="AX48" i="85" s="1"/>
  <c r="AW46" i="85"/>
  <c r="AW43" i="85"/>
  <c r="AX43" i="85" s="1"/>
  <c r="AW38" i="85"/>
  <c r="AX38" i="85" s="1"/>
  <c r="AW44" i="85"/>
  <c r="AX44" i="85" s="1"/>
  <c r="AW60" i="85"/>
  <c r="AX60" i="85" s="1"/>
  <c r="AW56" i="85"/>
  <c r="AX56" i="85" s="1"/>
  <c r="AW52" i="85"/>
  <c r="AW55" i="85"/>
  <c r="AX55" i="85" s="1"/>
  <c r="AW57" i="85"/>
  <c r="AX57" i="85" s="1"/>
  <c r="AW53" i="85"/>
  <c r="AX53" i="85" s="1"/>
  <c r="AW25" i="85"/>
  <c r="AX25" i="85" s="1"/>
  <c r="AW58" i="85"/>
  <c r="AX58" i="85" s="1"/>
  <c r="AW54" i="85"/>
  <c r="AX54" i="85" s="1"/>
  <c r="AW41" i="85"/>
  <c r="AX41" i="85" s="1"/>
  <c r="AW32" i="85"/>
  <c r="AX32" i="85" s="1"/>
  <c r="AW28" i="85"/>
  <c r="AX28" i="85" s="1"/>
  <c r="AW36" i="85"/>
  <c r="AX36" i="85" s="1"/>
  <c r="BC8" i="85"/>
  <c r="AW47" i="85"/>
  <c r="AX47" i="85" s="1"/>
  <c r="AW8" i="85"/>
  <c r="AX8" i="85" s="1"/>
  <c r="AW10" i="85"/>
  <c r="AX10" i="85" s="1"/>
  <c r="AW14" i="85"/>
  <c r="AX14" i="85" s="1"/>
  <c r="AW16" i="85"/>
  <c r="AX16" i="85" s="1"/>
  <c r="AW20" i="85"/>
  <c r="AX20" i="85" s="1"/>
  <c r="AW7" i="85"/>
  <c r="AX7" i="85" s="1"/>
  <c r="AW9" i="85"/>
  <c r="AX9" i="85" s="1"/>
  <c r="AW11" i="85"/>
  <c r="AX11" i="85" s="1"/>
  <c r="AW13" i="85"/>
  <c r="AX13" i="85" s="1"/>
  <c r="AW15" i="85"/>
  <c r="AX15" i="85" s="1"/>
  <c r="AW17" i="85"/>
  <c r="AX17" i="85" s="1"/>
  <c r="AW19" i="85"/>
  <c r="AX19" i="85" s="1"/>
  <c r="AW21" i="85"/>
  <c r="AX21" i="85" s="1"/>
  <c r="AW24" i="85"/>
  <c r="AX24" i="85" s="1"/>
  <c r="AW37" i="85"/>
  <c r="AX37" i="85" s="1"/>
  <c r="AW34" i="85"/>
  <c r="AX34" i="85" s="1"/>
  <c r="AW35" i="85"/>
  <c r="AX35" i="85" s="1"/>
  <c r="AW45" i="85"/>
  <c r="AX45" i="85" s="1"/>
  <c r="AW26" i="85"/>
  <c r="AX26" i="85" s="1"/>
  <c r="AW30" i="85"/>
  <c r="AX30" i="85" s="1"/>
  <c r="AW22" i="85"/>
  <c r="AX22" i="85" s="1"/>
  <c r="AW42" i="85"/>
  <c r="AX42" i="85" s="1"/>
  <c r="AW49" i="85"/>
  <c r="AX49" i="85" s="1"/>
  <c r="AW61" i="85"/>
  <c r="AX61" i="85" s="1"/>
  <c r="AW27" i="85"/>
  <c r="AX27" i="85" s="1"/>
  <c r="AW29" i="85"/>
  <c r="AX29" i="85" s="1"/>
  <c r="AW31" i="85"/>
  <c r="AX31" i="85" s="1"/>
  <c r="AW33" i="85"/>
  <c r="AX33" i="85" s="1"/>
  <c r="AW39" i="85"/>
  <c r="AX39" i="85" s="1"/>
  <c r="AW40" i="85"/>
  <c r="AX40" i="85" s="1"/>
  <c r="AW51" i="85"/>
  <c r="AX51" i="85" s="1"/>
  <c r="AW62" i="85"/>
  <c r="AX62" i="85" s="1"/>
  <c r="AX46" i="85"/>
  <c r="AX52" i="85"/>
  <c r="AW59" i="85"/>
  <c r="AX59" i="85" s="1"/>
  <c r="A1" i="84"/>
  <c r="AJ51" i="85"/>
  <c r="G40" i="85"/>
  <c r="G36" i="85"/>
  <c r="AJ27" i="85"/>
  <c r="AJ42" i="85"/>
  <c r="AK22" i="85"/>
  <c r="AJ31" i="85"/>
  <c r="AK11" i="85"/>
  <c r="AJ50" i="85"/>
  <c r="AJ21" i="85"/>
  <c r="AL14" i="85"/>
  <c r="AJ36" i="85"/>
  <c r="E30" i="85"/>
  <c r="AJ59" i="85"/>
  <c r="AJ55" i="85"/>
  <c r="AJ57" i="85"/>
  <c r="AJ17" i="85"/>
  <c r="G33" i="85"/>
  <c r="G7" i="85"/>
  <c r="AJ67" i="85"/>
  <c r="G48" i="85"/>
  <c r="AJ53" i="85"/>
  <c r="AJ29" i="85"/>
  <c r="AJ41" i="85"/>
  <c r="AL8" i="85"/>
  <c r="AK18" i="85"/>
  <c r="AJ45" i="85"/>
  <c r="G15" i="85"/>
  <c r="AJ52" i="85"/>
  <c r="G9" i="85"/>
  <c r="G18" i="85"/>
  <c r="G35" i="85"/>
  <c r="E26" i="85"/>
  <c r="AJ19" i="85"/>
  <c r="G22" i="85"/>
  <c r="AJ64" i="85"/>
  <c r="G44" i="85"/>
  <c r="G42" i="85"/>
  <c r="AJ35" i="85"/>
  <c r="AL11" i="85"/>
  <c r="AJ60" i="85"/>
  <c r="G24" i="85"/>
  <c r="AJ38" i="85"/>
  <c r="G31" i="85"/>
  <c r="AJ9" i="85"/>
  <c r="G11" i="85"/>
  <c r="G47" i="85"/>
  <c r="AJ43" i="85"/>
  <c r="G13" i="85"/>
  <c r="AJ32" i="85"/>
  <c r="G46" i="85"/>
  <c r="AJ46" i="85"/>
  <c r="AJ28" i="85"/>
  <c r="G20" i="85"/>
  <c r="AJ33" i="85"/>
  <c r="G61" i="85"/>
  <c r="AL23" i="85"/>
  <c r="G34" i="85"/>
  <c r="AJ66" i="85"/>
  <c r="G29" i="85"/>
  <c r="AJ40" i="85"/>
  <c r="AJ25" i="85"/>
  <c r="AL18" i="85"/>
  <c r="AJ56" i="85"/>
  <c r="AJ10" i="85"/>
  <c r="AJ13" i="85"/>
  <c r="G14" i="85"/>
  <c r="AJ37" i="85"/>
  <c r="AJ65" i="85"/>
  <c r="G8" i="85"/>
  <c r="AJ63" i="85"/>
  <c r="AJ48" i="85"/>
  <c r="G27" i="85"/>
  <c r="AJ20" i="85"/>
  <c r="G45" i="85"/>
  <c r="G10" i="85"/>
  <c r="G17" i="85"/>
  <c r="G32" i="85"/>
  <c r="AJ24" i="85"/>
  <c r="AJ61" i="85"/>
  <c r="AJ34" i="85"/>
  <c r="AJ26" i="85"/>
  <c r="G25" i="85"/>
  <c r="G16" i="85"/>
  <c r="AL22" i="85"/>
  <c r="AJ16" i="85"/>
  <c r="G19" i="85"/>
  <c r="AK14" i="85"/>
  <c r="AJ54" i="85"/>
  <c r="AJ47" i="85"/>
  <c r="AJ39" i="85"/>
  <c r="G39" i="85"/>
  <c r="AJ12" i="85"/>
  <c r="G21" i="85"/>
  <c r="G41" i="85"/>
  <c r="G23" i="85"/>
  <c r="G37" i="85"/>
  <c r="AK8" i="85"/>
  <c r="AJ7" i="85"/>
  <c r="AJ15" i="85"/>
  <c r="AJ62" i="85"/>
  <c r="G28" i="85"/>
  <c r="G43" i="85"/>
  <c r="G49" i="85"/>
  <c r="AJ44" i="85"/>
  <c r="AJ58" i="85"/>
  <c r="AK23" i="85"/>
  <c r="AJ49" i="85"/>
  <c r="G12" i="85"/>
  <c r="AJ30" i="85"/>
  <c r="G38" i="85"/>
  <c r="AK64" i="85" l="1"/>
  <c r="AM64" i="85" s="1"/>
  <c r="AL64" i="85"/>
  <c r="M10" i="85"/>
  <c r="AY22" i="85"/>
  <c r="M8" i="85"/>
  <c r="AG22" i="85"/>
  <c r="AH22" i="85"/>
  <c r="AM18" i="85"/>
  <c r="AM8" i="85"/>
  <c r="AM11" i="85"/>
  <c r="AK62" i="85"/>
  <c r="AM62" i="85" s="1"/>
  <c r="AL62" i="85"/>
  <c r="AH23" i="85"/>
  <c r="AG23" i="85"/>
  <c r="AL50" i="85"/>
  <c r="AK50" i="85"/>
  <c r="AM50" i="85" s="1"/>
  <c r="AL54" i="85"/>
  <c r="AK54" i="85"/>
  <c r="AM54" i="85" s="1"/>
  <c r="AL53" i="85"/>
  <c r="AK53" i="85"/>
  <c r="AM53" i="85" s="1"/>
  <c r="AL67" i="85"/>
  <c r="AK67" i="85"/>
  <c r="AM67" i="85" s="1"/>
  <c r="AL56" i="85"/>
  <c r="AK56" i="85"/>
  <c r="AM56" i="85" s="1"/>
  <c r="AG18" i="85"/>
  <c r="AH18" i="85"/>
  <c r="AH8" i="85"/>
  <c r="AG8" i="85"/>
  <c r="AH11" i="85"/>
  <c r="AG11" i="85"/>
  <c r="AL57" i="85"/>
  <c r="AK57" i="85"/>
  <c r="AM57" i="85" s="1"/>
  <c r="AL52" i="85"/>
  <c r="AK52" i="85"/>
  <c r="AM52" i="85" s="1"/>
  <c r="AL63" i="85"/>
  <c r="AK63" i="85"/>
  <c r="AM63" i="85" s="1"/>
  <c r="AM22" i="85"/>
  <c r="AG14" i="85"/>
  <c r="AH14" i="85"/>
  <c r="AK51" i="85"/>
  <c r="AM51" i="85" s="1"/>
  <c r="AL51" i="85"/>
  <c r="AL60" i="85"/>
  <c r="AK60" i="85"/>
  <c r="AM60" i="85" s="1"/>
  <c r="AL65" i="85"/>
  <c r="AK65" i="85"/>
  <c r="AM65" i="85" s="1"/>
  <c r="AK59" i="85"/>
  <c r="AM59" i="85" s="1"/>
  <c r="AL59" i="85"/>
  <c r="AL55" i="85"/>
  <c r="AK55" i="85"/>
  <c r="AM55" i="85" s="1"/>
  <c r="AK66" i="85"/>
  <c r="AM66" i="85" s="1"/>
  <c r="AL66" i="85"/>
  <c r="AL58" i="85"/>
  <c r="AK58" i="85"/>
  <c r="AM58" i="85" s="1"/>
  <c r="AM14" i="85"/>
  <c r="AM23" i="85"/>
  <c r="AY7" i="85"/>
  <c r="BD8" i="85" s="1"/>
  <c r="AY8" i="85"/>
  <c r="AY63" i="85"/>
  <c r="AY51" i="85"/>
  <c r="AY27" i="85"/>
  <c r="AY35" i="85"/>
  <c r="AY13" i="85"/>
  <c r="AY36" i="85"/>
  <c r="AY54" i="85"/>
  <c r="AY12" i="85"/>
  <c r="AY40" i="85"/>
  <c r="AY42" i="85"/>
  <c r="AY34" i="85"/>
  <c r="AY19" i="85"/>
  <c r="AY11" i="85"/>
  <c r="AY58" i="85"/>
  <c r="AY26" i="85"/>
  <c r="AY10" i="85"/>
  <c r="AY57" i="85"/>
  <c r="AY60" i="85"/>
  <c r="AY56" i="85"/>
  <c r="AY46" i="85"/>
  <c r="AY29" i="85"/>
  <c r="AY61" i="85"/>
  <c r="AY31" i="85"/>
  <c r="AY21" i="85"/>
  <c r="AY15" i="85"/>
  <c r="AY53" i="85"/>
  <c r="AY43" i="85"/>
  <c r="AY18" i="85"/>
  <c r="AY62" i="85"/>
  <c r="AY33" i="85"/>
  <c r="AY28" i="85"/>
  <c r="AY59" i="85"/>
  <c r="AY52" i="85"/>
  <c r="AY37" i="85"/>
  <c r="AY17" i="85"/>
  <c r="AY32" i="85"/>
  <c r="AY55" i="85"/>
  <c r="AY44" i="85"/>
  <c r="AY48" i="85"/>
  <c r="AY23" i="85"/>
  <c r="L5" i="85"/>
  <c r="M14" i="85"/>
  <c r="Y14" i="85"/>
  <c r="C77" i="85"/>
  <c r="M11" i="85"/>
  <c r="AY49" i="85"/>
  <c r="AY20" i="85"/>
  <c r="AY47" i="85"/>
  <c r="AY16" i="85"/>
  <c r="AY39" i="85"/>
  <c r="AY45" i="85"/>
  <c r="AY30" i="85"/>
  <c r="AY24" i="85"/>
  <c r="AY9" i="85"/>
  <c r="AY14" i="85"/>
  <c r="BC9" i="85"/>
  <c r="AY41" i="85"/>
  <c r="AY25" i="85"/>
  <c r="AY38" i="85"/>
  <c r="AY50" i="85"/>
  <c r="M12" i="85"/>
  <c r="M9" i="85"/>
  <c r="C68" i="84"/>
  <c r="B68" i="84" s="1"/>
  <c r="AH67" i="84"/>
  <c r="AG67" i="84"/>
  <c r="AF67" i="84"/>
  <c r="AH66" i="84"/>
  <c r="AG66" i="84"/>
  <c r="AF66" i="84"/>
  <c r="AH65" i="84"/>
  <c r="AG65" i="84"/>
  <c r="AF65" i="84"/>
  <c r="AH64" i="84"/>
  <c r="AG64" i="84"/>
  <c r="AF64" i="84"/>
  <c r="BI63" i="84"/>
  <c r="BH63" i="84"/>
  <c r="BG63" i="84"/>
  <c r="BF63" i="84"/>
  <c r="AV63" i="84"/>
  <c r="AH63" i="84"/>
  <c r="AG63" i="84"/>
  <c r="AF63" i="84"/>
  <c r="AV62" i="84"/>
  <c r="AH62" i="84"/>
  <c r="AG62" i="84"/>
  <c r="AF62" i="84"/>
  <c r="G62" i="84"/>
  <c r="AV61" i="84"/>
  <c r="AV60" i="84"/>
  <c r="AH60" i="84"/>
  <c r="AG60" i="84"/>
  <c r="AF60" i="84"/>
  <c r="AF61" i="84" s="1"/>
  <c r="G60" i="84"/>
  <c r="E60" i="84" s="1"/>
  <c r="AV59" i="84"/>
  <c r="AH59" i="84"/>
  <c r="AG59" i="84"/>
  <c r="AF59" i="84"/>
  <c r="G59" i="84"/>
  <c r="E59" i="84" s="1"/>
  <c r="AV58" i="84"/>
  <c r="AH58" i="84"/>
  <c r="AG58" i="84"/>
  <c r="AF58" i="84"/>
  <c r="G58" i="84"/>
  <c r="AV57" i="84"/>
  <c r="AH57" i="84"/>
  <c r="AG57" i="84"/>
  <c r="AF57" i="84"/>
  <c r="G57" i="84"/>
  <c r="AV56" i="84"/>
  <c r="AH56" i="84"/>
  <c r="AG56" i="84"/>
  <c r="AF56" i="84"/>
  <c r="G56" i="84"/>
  <c r="AV55" i="84"/>
  <c r="AH55" i="84"/>
  <c r="AG55" i="84"/>
  <c r="AF55" i="84"/>
  <c r="G55" i="84"/>
  <c r="AV54" i="84"/>
  <c r="AH54" i="84"/>
  <c r="AG54" i="84"/>
  <c r="AF54" i="84"/>
  <c r="G54" i="84"/>
  <c r="AV53" i="84"/>
  <c r="AH53" i="84"/>
  <c r="AG53" i="84"/>
  <c r="AF53" i="84"/>
  <c r="G53" i="84"/>
  <c r="AV52" i="84"/>
  <c r="AH52" i="84"/>
  <c r="AG52" i="84"/>
  <c r="AF52" i="84"/>
  <c r="AV51" i="84"/>
  <c r="AH51" i="84"/>
  <c r="AG51" i="84"/>
  <c r="AF51" i="84"/>
  <c r="AV50" i="84"/>
  <c r="AV49" i="84"/>
  <c r="AV48" i="84"/>
  <c r="AV47" i="84"/>
  <c r="AV46" i="84"/>
  <c r="AV45" i="84"/>
  <c r="AV44" i="84"/>
  <c r="AV43" i="84"/>
  <c r="AV42" i="84"/>
  <c r="AV41" i="84"/>
  <c r="AV40" i="84"/>
  <c r="AV39" i="84"/>
  <c r="AV38" i="84"/>
  <c r="AV37" i="84"/>
  <c r="AV36" i="84"/>
  <c r="AV35" i="84"/>
  <c r="AV34" i="84"/>
  <c r="AV33" i="84"/>
  <c r="AV32" i="84"/>
  <c r="AV31" i="84"/>
  <c r="AV30" i="84"/>
  <c r="AV29" i="84"/>
  <c r="AV28" i="84"/>
  <c r="AV27" i="84"/>
  <c r="AV26" i="84"/>
  <c r="AV25" i="84"/>
  <c r="AV24" i="84"/>
  <c r="AV23" i="84"/>
  <c r="AV22" i="84"/>
  <c r="AV21" i="84"/>
  <c r="AV20" i="84"/>
  <c r="AV19" i="84"/>
  <c r="AV18" i="84"/>
  <c r="AV17" i="84"/>
  <c r="AV16" i="84"/>
  <c r="L16" i="84" a="1"/>
  <c r="L16" i="84" s="1"/>
  <c r="AV15" i="84"/>
  <c r="AV14" i="84"/>
  <c r="AV13" i="84"/>
  <c r="L13" i="84"/>
  <c r="AV12" i="84"/>
  <c r="L12" i="84"/>
  <c r="AV11" i="84"/>
  <c r="L11" i="84"/>
  <c r="AV10" i="84"/>
  <c r="L10" i="84"/>
  <c r="AV9" i="84"/>
  <c r="L9" i="84"/>
  <c r="AV8" i="84"/>
  <c r="L8" i="84"/>
  <c r="BC7" i="84"/>
  <c r="BC8" i="84" s="1"/>
  <c r="AV7" i="84"/>
  <c r="AF7" i="84"/>
  <c r="AF8" i="84" s="1"/>
  <c r="AF9" i="84" s="1"/>
  <c r="AF10" i="84" s="1"/>
  <c r="AF11" i="84" s="1"/>
  <c r="AF12" i="84" s="1"/>
  <c r="AF13" i="84" s="1"/>
  <c r="AF14" i="84" s="1"/>
  <c r="AF15" i="84" s="1"/>
  <c r="AF16" i="84" s="1"/>
  <c r="AF17" i="84" s="1"/>
  <c r="AF18" i="84" s="1"/>
  <c r="AF19" i="84" s="1"/>
  <c r="AF20" i="84" s="1"/>
  <c r="AF21" i="84" s="1"/>
  <c r="AF22" i="84" s="1"/>
  <c r="AF23" i="84" s="1"/>
  <c r="AF24" i="84" s="1"/>
  <c r="AF25" i="84" s="1"/>
  <c r="AF26" i="84" s="1"/>
  <c r="AF27" i="84" s="1"/>
  <c r="AF28" i="84" s="1"/>
  <c r="AF29" i="84" s="1"/>
  <c r="AF30" i="84" s="1"/>
  <c r="AF31" i="84" s="1"/>
  <c r="AF32" i="84" s="1"/>
  <c r="AF33" i="84" s="1"/>
  <c r="AF34" i="84" s="1"/>
  <c r="AF35" i="84" s="1"/>
  <c r="AF36" i="84" s="1"/>
  <c r="AF37" i="84" s="1"/>
  <c r="AF38" i="84" s="1"/>
  <c r="AF39" i="84" s="1"/>
  <c r="AF40" i="84" s="1"/>
  <c r="AF41" i="84" s="1"/>
  <c r="AF42" i="84" s="1"/>
  <c r="AF43" i="84" s="1"/>
  <c r="AF44" i="84" s="1"/>
  <c r="AF45" i="84" s="1"/>
  <c r="AF46" i="84" s="1"/>
  <c r="AF47" i="84" s="1"/>
  <c r="AF48" i="84" s="1"/>
  <c r="AF49" i="84" s="1"/>
  <c r="AF50" i="84" s="1"/>
  <c r="AL4" i="84"/>
  <c r="AK4" i="84"/>
  <c r="AK2" i="84" s="1"/>
  <c r="AJ4" i="84"/>
  <c r="AJ2" i="84" s="1"/>
  <c r="G3" i="84"/>
  <c r="AL2" i="84"/>
  <c r="E2" i="84"/>
  <c r="E3" i="84" s="1"/>
  <c r="AK38" i="85"/>
  <c r="E61" i="85"/>
  <c r="AK36" i="85"/>
  <c r="AK40" i="85"/>
  <c r="AK13" i="85"/>
  <c r="E39" i="85"/>
  <c r="AK17" i="85"/>
  <c r="AK31" i="85"/>
  <c r="AK45" i="85"/>
  <c r="AL21" i="85"/>
  <c r="E16" i="85"/>
  <c r="E23" i="85"/>
  <c r="AK26" i="85"/>
  <c r="AK30" i="85"/>
  <c r="E42" i="85"/>
  <c r="AL34" i="85"/>
  <c r="AK46" i="85"/>
  <c r="E44" i="85"/>
  <c r="AK29" i="85"/>
  <c r="E14" i="85"/>
  <c r="AK9" i="85"/>
  <c r="AK20" i="85"/>
  <c r="AK61" i="85"/>
  <c r="E35" i="85"/>
  <c r="E13" i="85"/>
  <c r="E38" i="85"/>
  <c r="E48" i="85"/>
  <c r="AL12" i="85"/>
  <c r="E40" i="85"/>
  <c r="E17" i="85"/>
  <c r="AL15" i="85"/>
  <c r="AL36" i="85"/>
  <c r="E45" i="85"/>
  <c r="AK37" i="85"/>
  <c r="AL7" i="85"/>
  <c r="AL20" i="85"/>
  <c r="AL43" i="85"/>
  <c r="AL13" i="85"/>
  <c r="E8" i="85"/>
  <c r="AL29" i="85"/>
  <c r="E15" i="85"/>
  <c r="E41" i="85"/>
  <c r="E21" i="85"/>
  <c r="AK47" i="85"/>
  <c r="AL49" i="85"/>
  <c r="AL47" i="85"/>
  <c r="AK10" i="85"/>
  <c r="E20" i="85"/>
  <c r="AK16" i="85"/>
  <c r="AK34" i="85"/>
  <c r="AK41" i="85"/>
  <c r="E28" i="85"/>
  <c r="AL9" i="85"/>
  <c r="E43" i="85"/>
  <c r="E25" i="85"/>
  <c r="AK21" i="85"/>
  <c r="E9" i="85"/>
  <c r="AL26" i="85"/>
  <c r="E31" i="85"/>
  <c r="AK27" i="85"/>
  <c r="AL44" i="85"/>
  <c r="E10" i="85"/>
  <c r="E27" i="85"/>
  <c r="AL39" i="85"/>
  <c r="AL32" i="85"/>
  <c r="AL40" i="85"/>
  <c r="AK43" i="85"/>
  <c r="AL38" i="85"/>
  <c r="E37" i="85"/>
  <c r="AK49" i="85"/>
  <c r="AL10" i="85"/>
  <c r="E22" i="85"/>
  <c r="AK32" i="85"/>
  <c r="AK44" i="85"/>
  <c r="AK35" i="85"/>
  <c r="AL31" i="85"/>
  <c r="AL33" i="85"/>
  <c r="E32" i="85"/>
  <c r="AK12" i="85"/>
  <c r="AK19" i="85"/>
  <c r="AK24" i="85"/>
  <c r="AL41" i="85"/>
  <c r="E19" i="85"/>
  <c r="AK48" i="85"/>
  <c r="AK25" i="85"/>
  <c r="AK28" i="85"/>
  <c r="E46" i="85"/>
  <c r="E33" i="85"/>
  <c r="AK15" i="85"/>
  <c r="AL16" i="85"/>
  <c r="E47" i="85"/>
  <c r="E49" i="85"/>
  <c r="AL19" i="85"/>
  <c r="AL46" i="85"/>
  <c r="AK7" i="85"/>
  <c r="AL45" i="85"/>
  <c r="E6" i="84"/>
  <c r="AL61" i="85"/>
  <c r="E11" i="85"/>
  <c r="E36" i="85"/>
  <c r="AL37" i="85"/>
  <c r="AL24" i="85"/>
  <c r="E18" i="85"/>
  <c r="E24" i="85"/>
  <c r="AJ9" i="84"/>
  <c r="AK39" i="85"/>
  <c r="AL17" i="85"/>
  <c r="AK42" i="85"/>
  <c r="E12" i="85"/>
  <c r="AL25" i="85"/>
  <c r="E34" i="85"/>
  <c r="AL27" i="85"/>
  <c r="E7" i="85"/>
  <c r="AL42" i="85"/>
  <c r="AL28" i="85"/>
  <c r="AK33" i="85"/>
  <c r="AL35" i="85"/>
  <c r="AL30" i="85"/>
  <c r="AL48" i="85"/>
  <c r="E29" i="85"/>
  <c r="AG9" i="85" l="1"/>
  <c r="AH9" i="85"/>
  <c r="AM7" i="85"/>
  <c r="AM31" i="85"/>
  <c r="AH12" i="85"/>
  <c r="AG12" i="85"/>
  <c r="AM9" i="85"/>
  <c r="AG7" i="85"/>
  <c r="AH7" i="85"/>
  <c r="AM27" i="85"/>
  <c r="AM15" i="85"/>
  <c r="AH13" i="85"/>
  <c r="AG13" i="85"/>
  <c r="AG19" i="85"/>
  <c r="AH19" i="85"/>
  <c r="AH27" i="85"/>
  <c r="AG27" i="85"/>
  <c r="AM10" i="85"/>
  <c r="AG15" i="85"/>
  <c r="AH15" i="85"/>
  <c r="AM13" i="85"/>
  <c r="AM19" i="85"/>
  <c r="AG31" i="85"/>
  <c r="AH31" i="85"/>
  <c r="AM12" i="85"/>
  <c r="AH10" i="85"/>
  <c r="AG10" i="85"/>
  <c r="AG39" i="85"/>
  <c r="AH39" i="85"/>
  <c r="O10" i="85"/>
  <c r="U13" i="85"/>
  <c r="V13" i="85" s="1"/>
  <c r="O11" i="85"/>
  <c r="R12" i="85"/>
  <c r="R13" i="85"/>
  <c r="S13" i="85" s="1"/>
  <c r="O13" i="85"/>
  <c r="U11" i="85"/>
  <c r="V11" i="85" s="1"/>
  <c r="O8" i="85"/>
  <c r="R8" i="85"/>
  <c r="O9" i="85"/>
  <c r="U12" i="85"/>
  <c r="V12" i="85" s="1"/>
  <c r="U10" i="85"/>
  <c r="V10" i="85" s="1"/>
  <c r="R10" i="85"/>
  <c r="R11" i="85"/>
  <c r="O16" i="85" a="1"/>
  <c r="O16" i="85" s="1"/>
  <c r="U8" i="85"/>
  <c r="O12" i="85"/>
  <c r="U9" i="85"/>
  <c r="V9" i="85" s="1"/>
  <c r="R16" i="85" a="1"/>
  <c r="R16" i="85" s="1"/>
  <c r="R9" i="85"/>
  <c r="U16" i="85" a="1"/>
  <c r="U16" i="85" s="1"/>
  <c r="AG38" i="85"/>
  <c r="AH38" i="85"/>
  <c r="AG46" i="85"/>
  <c r="AH46" i="85"/>
  <c r="AM35" i="85"/>
  <c r="AM61" i="85"/>
  <c r="AM47" i="85"/>
  <c r="AM29" i="85"/>
  <c r="AM40" i="85"/>
  <c r="AM37" i="85"/>
  <c r="AH20" i="85"/>
  <c r="AG20" i="85"/>
  <c r="AM48" i="85"/>
  <c r="AG17" i="85"/>
  <c r="AH17" i="85"/>
  <c r="AH61" i="85"/>
  <c r="AG61" i="85"/>
  <c r="AG29" i="85"/>
  <c r="AH29" i="85"/>
  <c r="AM43" i="85"/>
  <c r="AH25" i="85"/>
  <c r="AG25" i="85"/>
  <c r="AM24" i="85"/>
  <c r="AM42" i="85"/>
  <c r="AM44" i="85"/>
  <c r="AH49" i="85"/>
  <c r="AG49" i="85"/>
  <c r="AG33" i="85"/>
  <c r="AH33" i="85"/>
  <c r="AM25" i="85"/>
  <c r="AH24" i="85"/>
  <c r="AG24" i="85"/>
  <c r="AM38" i="85"/>
  <c r="AG45" i="85"/>
  <c r="AH45" i="85"/>
  <c r="AM34" i="85"/>
  <c r="AM41" i="85"/>
  <c r="AM32" i="85"/>
  <c r="AG21" i="85"/>
  <c r="AH21" i="85"/>
  <c r="AH40" i="85"/>
  <c r="AG40" i="85"/>
  <c r="AM26" i="85"/>
  <c r="AH37" i="85"/>
  <c r="AG37" i="85"/>
  <c r="AG48" i="85"/>
  <c r="AH48" i="85"/>
  <c r="AM17" i="85"/>
  <c r="AH43" i="85"/>
  <c r="AG43" i="85"/>
  <c r="AM39" i="85"/>
  <c r="AG36" i="85"/>
  <c r="AH36" i="85"/>
  <c r="AH16" i="85"/>
  <c r="AG16" i="85"/>
  <c r="AG30" i="85"/>
  <c r="AH30" i="85"/>
  <c r="AH28" i="85"/>
  <c r="AG28" i="85"/>
  <c r="AM46" i="85"/>
  <c r="AH35" i="85"/>
  <c r="AG35" i="85"/>
  <c r="AH47" i="85"/>
  <c r="AG47" i="85"/>
  <c r="AM20" i="85"/>
  <c r="AG42" i="85"/>
  <c r="AH42" i="85"/>
  <c r="AH44" i="85"/>
  <c r="AG44" i="85"/>
  <c r="AM49" i="85"/>
  <c r="AM33" i="85"/>
  <c r="AM36" i="85"/>
  <c r="AM16" i="85"/>
  <c r="AM30" i="85"/>
  <c r="AM28" i="85"/>
  <c r="AM45" i="85"/>
  <c r="AG34" i="85"/>
  <c r="AH34" i="85"/>
  <c r="AH41" i="85"/>
  <c r="AG41" i="85"/>
  <c r="AH32" i="85"/>
  <c r="AG32" i="85"/>
  <c r="AM21" i="85"/>
  <c r="AG26" i="85"/>
  <c r="AH26" i="85"/>
  <c r="BG8" i="85"/>
  <c r="BF8" i="85"/>
  <c r="BI8" i="85"/>
  <c r="BH8" i="85"/>
  <c r="BD7" i="85"/>
  <c r="BC10" i="85"/>
  <c r="BD9" i="85"/>
  <c r="AW11" i="84"/>
  <c r="AW13" i="84"/>
  <c r="AX13" i="84" s="1"/>
  <c r="AW9" i="84"/>
  <c r="AX9" i="84" s="1"/>
  <c r="AW10" i="84"/>
  <c r="AX10" i="84" s="1"/>
  <c r="AW12" i="84"/>
  <c r="AW51" i="84"/>
  <c r="AX51" i="84" s="1"/>
  <c r="AW52" i="84"/>
  <c r="AX52" i="84" s="1"/>
  <c r="AW49" i="84"/>
  <c r="AW58" i="84"/>
  <c r="AX58" i="84" s="1"/>
  <c r="AW44" i="84"/>
  <c r="AX44" i="84" s="1"/>
  <c r="AW63" i="84"/>
  <c r="AW56" i="84"/>
  <c r="AX56" i="84" s="1"/>
  <c r="AW46" i="84"/>
  <c r="AX46" i="84" s="1"/>
  <c r="AW54" i="84"/>
  <c r="AX54" i="84" s="1"/>
  <c r="AW38" i="84"/>
  <c r="AX38" i="84" s="1"/>
  <c r="AW25" i="84"/>
  <c r="AX25" i="84" s="1"/>
  <c r="AW14" i="84"/>
  <c r="AX14" i="84" s="1"/>
  <c r="AW7" i="84"/>
  <c r="AX7" i="84" s="1"/>
  <c r="AW42" i="84"/>
  <c r="AX42" i="84" s="1"/>
  <c r="AW29" i="84"/>
  <c r="AX29" i="84" s="1"/>
  <c r="AW21" i="84"/>
  <c r="AX21" i="84" s="1"/>
  <c r="AW17" i="84"/>
  <c r="AX17" i="84" s="1"/>
  <c r="AW34" i="84"/>
  <c r="AX34" i="84" s="1"/>
  <c r="L14" i="84"/>
  <c r="C77" i="84" s="1"/>
  <c r="AW8" i="84"/>
  <c r="AX8" i="84" s="1"/>
  <c r="BC9" i="84"/>
  <c r="AX11" i="84"/>
  <c r="AX12" i="84"/>
  <c r="AW18" i="84"/>
  <c r="AX18" i="84" s="1"/>
  <c r="AW26" i="84"/>
  <c r="AX26" i="84" s="1"/>
  <c r="AW15" i="84"/>
  <c r="AX15" i="84" s="1"/>
  <c r="AW24" i="84"/>
  <c r="AX24" i="84" s="1"/>
  <c r="AW22" i="84"/>
  <c r="AX22" i="84" s="1"/>
  <c r="AW30" i="84"/>
  <c r="AX30" i="84" s="1"/>
  <c r="AW37" i="84"/>
  <c r="AX37" i="84" s="1"/>
  <c r="AW16" i="84"/>
  <c r="AX16" i="84" s="1"/>
  <c r="AW20" i="84"/>
  <c r="AX20" i="84" s="1"/>
  <c r="AW28" i="84"/>
  <c r="AX28" i="84" s="1"/>
  <c r="AW35" i="84"/>
  <c r="AX35" i="84" s="1"/>
  <c r="AW19" i="84"/>
  <c r="AX19" i="84" s="1"/>
  <c r="AW23" i="84"/>
  <c r="AX23" i="84" s="1"/>
  <c r="AW27" i="84"/>
  <c r="AX27" i="84" s="1"/>
  <c r="AW33" i="84"/>
  <c r="AX33" i="84" s="1"/>
  <c r="AW41" i="84"/>
  <c r="AX41" i="84" s="1"/>
  <c r="AW47" i="84"/>
  <c r="AX47" i="84" s="1"/>
  <c r="AX63" i="84"/>
  <c r="AW31" i="84"/>
  <c r="AX31" i="84" s="1"/>
  <c r="AW39" i="84"/>
  <c r="AX39" i="84" s="1"/>
  <c r="AW48" i="84"/>
  <c r="AX48" i="84" s="1"/>
  <c r="AW61" i="84"/>
  <c r="AX61" i="84" s="1"/>
  <c r="AW62" i="84"/>
  <c r="AX62" i="84" s="1"/>
  <c r="AW32" i="84"/>
  <c r="AX32" i="84" s="1"/>
  <c r="AW36" i="84"/>
  <c r="AX36" i="84" s="1"/>
  <c r="AW40" i="84"/>
  <c r="AX40" i="84" s="1"/>
  <c r="AX49" i="84"/>
  <c r="AW43" i="84"/>
  <c r="AX43" i="84" s="1"/>
  <c r="AW45" i="84"/>
  <c r="AX45" i="84" s="1"/>
  <c r="AW53" i="84"/>
  <c r="AX53" i="84" s="1"/>
  <c r="AW59" i="84"/>
  <c r="AX59" i="84" s="1"/>
  <c r="AW50" i="84"/>
  <c r="AX50" i="84" s="1"/>
  <c r="AW55" i="84"/>
  <c r="AX55" i="84" s="1"/>
  <c r="AW57" i="84"/>
  <c r="AX57" i="84" s="1"/>
  <c r="AW60" i="84"/>
  <c r="AX60" i="84" s="1"/>
  <c r="BI63" i="83"/>
  <c r="BH63" i="83"/>
  <c r="BG63" i="83"/>
  <c r="BF63" i="83"/>
  <c r="AV63" i="83"/>
  <c r="G7" i="84"/>
  <c r="G26" i="84"/>
  <c r="AJ11" i="84"/>
  <c r="G38" i="84"/>
  <c r="AJ32" i="84"/>
  <c r="AJ23" i="84"/>
  <c r="G46" i="84"/>
  <c r="G18" i="84"/>
  <c r="G36" i="84"/>
  <c r="G28" i="84"/>
  <c r="G22" i="84"/>
  <c r="AJ42" i="84"/>
  <c r="AJ10" i="84"/>
  <c r="G40" i="84"/>
  <c r="G29" i="84"/>
  <c r="G11" i="84"/>
  <c r="AJ55" i="84"/>
  <c r="G32" i="84"/>
  <c r="AJ44" i="84"/>
  <c r="G31" i="84"/>
  <c r="AJ63" i="84"/>
  <c r="G19" i="84"/>
  <c r="AJ15" i="84"/>
  <c r="AJ19" i="84"/>
  <c r="G13" i="84"/>
  <c r="AJ7" i="84"/>
  <c r="AJ61" i="84"/>
  <c r="AJ17" i="84"/>
  <c r="G17" i="84"/>
  <c r="AJ27" i="84"/>
  <c r="AJ58" i="84"/>
  <c r="AJ12" i="84"/>
  <c r="G14" i="84"/>
  <c r="AL9" i="84"/>
  <c r="G8" i="84"/>
  <c r="AJ64" i="84"/>
  <c r="G10" i="84"/>
  <c r="AJ25" i="84"/>
  <c r="AJ38" i="84"/>
  <c r="G34" i="84"/>
  <c r="G12" i="84"/>
  <c r="AJ57" i="84"/>
  <c r="G48" i="84"/>
  <c r="AJ52" i="84"/>
  <c r="G16" i="84"/>
  <c r="G61" i="84"/>
  <c r="AJ40" i="84"/>
  <c r="AK9" i="84"/>
  <c r="AJ30" i="84"/>
  <c r="G25" i="84"/>
  <c r="AJ50" i="84"/>
  <c r="AJ54" i="84"/>
  <c r="AJ62" i="84"/>
  <c r="AJ28" i="84"/>
  <c r="AJ65" i="84"/>
  <c r="AJ46" i="84"/>
  <c r="G23" i="84"/>
  <c r="AJ49" i="84"/>
  <c r="G35" i="84"/>
  <c r="AJ18" i="84"/>
  <c r="G27" i="84"/>
  <c r="AJ13" i="84"/>
  <c r="AJ33" i="84"/>
  <c r="G21" i="84"/>
  <c r="AJ48" i="84"/>
  <c r="AJ26" i="84"/>
  <c r="G20" i="84"/>
  <c r="AJ31" i="84"/>
  <c r="G47" i="84"/>
  <c r="G24" i="84"/>
  <c r="AJ43" i="84"/>
  <c r="AJ59" i="84"/>
  <c r="AJ37" i="84"/>
  <c r="G9" i="84"/>
  <c r="AJ14" i="84"/>
  <c r="AJ53" i="84"/>
  <c r="AJ66" i="84"/>
  <c r="AJ41" i="84"/>
  <c r="AJ16" i="84"/>
  <c r="AJ29" i="84"/>
  <c r="G45" i="84"/>
  <c r="G15" i="84"/>
  <c r="AJ39" i="84"/>
  <c r="AJ35" i="84"/>
  <c r="AJ36" i="84"/>
  <c r="G39" i="84"/>
  <c r="G42" i="84"/>
  <c r="AJ56" i="84"/>
  <c r="AJ47" i="84"/>
  <c r="AJ24" i="84"/>
  <c r="G33" i="84"/>
  <c r="G44" i="84"/>
  <c r="AJ8" i="84"/>
  <c r="AJ21" i="84"/>
  <c r="AJ20" i="84"/>
  <c r="G49" i="84"/>
  <c r="AJ51" i="84"/>
  <c r="AJ45" i="84"/>
  <c r="G41" i="84"/>
  <c r="G30" i="84"/>
  <c r="AJ34" i="84"/>
  <c r="AJ60" i="84"/>
  <c r="G43" i="84"/>
  <c r="G37" i="84"/>
  <c r="AJ67" i="84"/>
  <c r="AJ22" i="84"/>
  <c r="M13" i="84" l="1"/>
  <c r="M11" i="84"/>
  <c r="Y14" i="84"/>
  <c r="R14" i="85"/>
  <c r="S8" i="85" s="1"/>
  <c r="AA10" i="85"/>
  <c r="AA9" i="85"/>
  <c r="AA13" i="85"/>
  <c r="BG9" i="85"/>
  <c r="BF9" i="85"/>
  <c r="BI9" i="85"/>
  <c r="BH9" i="85"/>
  <c r="AA12" i="85"/>
  <c r="BD10" i="85"/>
  <c r="BC11" i="85"/>
  <c r="V8" i="85"/>
  <c r="U14" i="85"/>
  <c r="O14" i="85"/>
  <c r="P13" i="85" s="1"/>
  <c r="AA8" i="85"/>
  <c r="BG7" i="85"/>
  <c r="BF7" i="85"/>
  <c r="BI7" i="85"/>
  <c r="BH7" i="85"/>
  <c r="AA11" i="85"/>
  <c r="AY60" i="84"/>
  <c r="AY36" i="84"/>
  <c r="AY23" i="84"/>
  <c r="AL55" i="84"/>
  <c r="AK55" i="84"/>
  <c r="AM55" i="84" s="1"/>
  <c r="AK66" i="84"/>
  <c r="AM66" i="84" s="1"/>
  <c r="AL66" i="84"/>
  <c r="AL56" i="84"/>
  <c r="AK56" i="84"/>
  <c r="AM56" i="84" s="1"/>
  <c r="AL64" i="84"/>
  <c r="AK64" i="84"/>
  <c r="AM64" i="84" s="1"/>
  <c r="AL57" i="84"/>
  <c r="AK57" i="84"/>
  <c r="AM57" i="84" s="1"/>
  <c r="AK51" i="84"/>
  <c r="AM51" i="84" s="1"/>
  <c r="AL51" i="84"/>
  <c r="AL58" i="84"/>
  <c r="AK58" i="84"/>
  <c r="AM58" i="84" s="1"/>
  <c r="AL60" i="84"/>
  <c r="AK60" i="84"/>
  <c r="AM60" i="84" s="1"/>
  <c r="AK59" i="84"/>
  <c r="AM59" i="84" s="1"/>
  <c r="AL59" i="84"/>
  <c r="AL52" i="84"/>
  <c r="AK52" i="84"/>
  <c r="AM52" i="84" s="1"/>
  <c r="AL63" i="84"/>
  <c r="AK63" i="84"/>
  <c r="AM63" i="84" s="1"/>
  <c r="AH9" i="84"/>
  <c r="AG9" i="84"/>
  <c r="AL53" i="84"/>
  <c r="AK53" i="84"/>
  <c r="AM53" i="84" s="1"/>
  <c r="AL67" i="84"/>
  <c r="AK67" i="84"/>
  <c r="AM67" i="84" s="1"/>
  <c r="AK62" i="84"/>
  <c r="AM62" i="84" s="1"/>
  <c r="AL62" i="84"/>
  <c r="AL54" i="84"/>
  <c r="AK54" i="84"/>
  <c r="AM54" i="84" s="1"/>
  <c r="AL65" i="84"/>
  <c r="AK65" i="84"/>
  <c r="AM65" i="84" s="1"/>
  <c r="AM9" i="84"/>
  <c r="AY41" i="84"/>
  <c r="AY19" i="84"/>
  <c r="AY55" i="84"/>
  <c r="AY37" i="84"/>
  <c r="AY24" i="84"/>
  <c r="AY56" i="84"/>
  <c r="AY10" i="84"/>
  <c r="AY33" i="84"/>
  <c r="AY50" i="84"/>
  <c r="AY45" i="84"/>
  <c r="AY40" i="84"/>
  <c r="AY61" i="84"/>
  <c r="AY27" i="84"/>
  <c r="AY8" i="84"/>
  <c r="AY13" i="84"/>
  <c r="AY9" i="84"/>
  <c r="AY59" i="84"/>
  <c r="AY39" i="84"/>
  <c r="AY32" i="84"/>
  <c r="AY20" i="84"/>
  <c r="AY16" i="84"/>
  <c r="AY18" i="84"/>
  <c r="AY29" i="84"/>
  <c r="AY25" i="84"/>
  <c r="AY54" i="84"/>
  <c r="AY52" i="84"/>
  <c r="AY44" i="84"/>
  <c r="AY47" i="84"/>
  <c r="AY12" i="84"/>
  <c r="M14" i="84"/>
  <c r="L5" i="84"/>
  <c r="AY34" i="84"/>
  <c r="M12" i="84"/>
  <c r="AY17" i="84"/>
  <c r="AY7" i="84"/>
  <c r="AY51" i="84"/>
  <c r="M10" i="84"/>
  <c r="AY43" i="84"/>
  <c r="AY48" i="84"/>
  <c r="AY30" i="84"/>
  <c r="AY15" i="84"/>
  <c r="AY53" i="84"/>
  <c r="AY49" i="84"/>
  <c r="AY57" i="84"/>
  <c r="AY31" i="84"/>
  <c r="AY38" i="84"/>
  <c r="AY28" i="84"/>
  <c r="AY22" i="84"/>
  <c r="AY26" i="84"/>
  <c r="AY11" i="84"/>
  <c r="BC10" i="84"/>
  <c r="AY62" i="84"/>
  <c r="AY42" i="84"/>
  <c r="AY63" i="84"/>
  <c r="AY35" i="84"/>
  <c r="M8" i="84"/>
  <c r="AY21" i="84"/>
  <c r="AY14" i="84"/>
  <c r="AY46" i="84"/>
  <c r="AY58" i="84"/>
  <c r="M9" i="84"/>
  <c r="AV31" i="83"/>
  <c r="AV32" i="83"/>
  <c r="AV33" i="83"/>
  <c r="AV34" i="83"/>
  <c r="AV35" i="83"/>
  <c r="AV36" i="83"/>
  <c r="AV37" i="83"/>
  <c r="AV38" i="83"/>
  <c r="AV39" i="83"/>
  <c r="AV40" i="83"/>
  <c r="AV41" i="83"/>
  <c r="AV42" i="83"/>
  <c r="AV43" i="83"/>
  <c r="AV44" i="83"/>
  <c r="AV45" i="83"/>
  <c r="AV46" i="83"/>
  <c r="AV47" i="83"/>
  <c r="AV48" i="83"/>
  <c r="AV49" i="83"/>
  <c r="AV50" i="83"/>
  <c r="AV51" i="83"/>
  <c r="AV52" i="83"/>
  <c r="AV53" i="83"/>
  <c r="AV54" i="83"/>
  <c r="AV55" i="83"/>
  <c r="AV56" i="83"/>
  <c r="AV57" i="83"/>
  <c r="AV58" i="83"/>
  <c r="AV59" i="83"/>
  <c r="AV60" i="83"/>
  <c r="AV61" i="83"/>
  <c r="AV62" i="83"/>
  <c r="AV30" i="83"/>
  <c r="AK50" i="84"/>
  <c r="AL50" i="84"/>
  <c r="AL49" i="84"/>
  <c r="AK15" i="84"/>
  <c r="E15" i="84"/>
  <c r="AL28" i="84"/>
  <c r="AL29" i="84"/>
  <c r="E26" i="84"/>
  <c r="E37" i="84"/>
  <c r="E16" i="84"/>
  <c r="AL48" i="84"/>
  <c r="E7" i="84"/>
  <c r="E20" i="84"/>
  <c r="AK39" i="84"/>
  <c r="E31" i="84"/>
  <c r="E9" i="84"/>
  <c r="AL23" i="84"/>
  <c r="AL32" i="84"/>
  <c r="AL21" i="84"/>
  <c r="AK46" i="84"/>
  <c r="AK36" i="84"/>
  <c r="AK17" i="84"/>
  <c r="AK45" i="84"/>
  <c r="AK27" i="84"/>
  <c r="E46" i="84"/>
  <c r="AL37" i="84"/>
  <c r="AK29" i="84"/>
  <c r="AL8" i="84"/>
  <c r="AK35" i="84"/>
  <c r="E14" i="84"/>
  <c r="AL25" i="84"/>
  <c r="E27" i="84"/>
  <c r="E23" i="84"/>
  <c r="E39" i="84"/>
  <c r="AK7" i="84"/>
  <c r="AL36" i="84"/>
  <c r="E49" i="84"/>
  <c r="E40" i="84"/>
  <c r="AL20" i="84"/>
  <c r="E11" i="84"/>
  <c r="AK41" i="84"/>
  <c r="AL34" i="84"/>
  <c r="AK19" i="84"/>
  <c r="AK20" i="84"/>
  <c r="AL10" i="84"/>
  <c r="E17" i="84"/>
  <c r="AL15" i="84"/>
  <c r="AL12" i="84"/>
  <c r="AK21" i="84"/>
  <c r="E61" i="84"/>
  <c r="AL18" i="84"/>
  <c r="E13" i="84"/>
  <c r="AL39" i="84"/>
  <c r="E28" i="84"/>
  <c r="AK43" i="84"/>
  <c r="AK34" i="84"/>
  <c r="AK23" i="84"/>
  <c r="AL26" i="84"/>
  <c r="E33" i="84"/>
  <c r="AL61" i="84"/>
  <c r="E47" i="84"/>
  <c r="AL35" i="84"/>
  <c r="AK24" i="84"/>
  <c r="E34" i="84"/>
  <c r="AK47" i="84"/>
  <c r="AL30" i="84"/>
  <c r="E24" i="84"/>
  <c r="E21" i="84"/>
  <c r="E44" i="84"/>
  <c r="E12" i="84"/>
  <c r="AK61" i="84"/>
  <c r="AK8" i="84"/>
  <c r="AK32" i="84"/>
  <c r="AK42" i="84"/>
  <c r="AK37" i="84"/>
  <c r="E41" i="84"/>
  <c r="AK13" i="84"/>
  <c r="E48" i="84"/>
  <c r="AL45" i="84"/>
  <c r="E30" i="84"/>
  <c r="AK49" i="84"/>
  <c r="E8" i="84"/>
  <c r="AK38" i="84"/>
  <c r="AL38" i="84"/>
  <c r="AK11" i="84"/>
  <c r="AL33" i="84"/>
  <c r="AL43" i="84"/>
  <c r="AK28" i="84"/>
  <c r="AL41" i="84"/>
  <c r="E42" i="84"/>
  <c r="AL11" i="84"/>
  <c r="E36" i="84"/>
  <c r="AK30" i="84"/>
  <c r="AL31" i="84"/>
  <c r="AK16" i="84"/>
  <c r="AL47" i="84"/>
  <c r="AK14" i="84"/>
  <c r="AK48" i="84"/>
  <c r="E38" i="84"/>
  <c r="AL7" i="84"/>
  <c r="AL13" i="84"/>
  <c r="AK18" i="84"/>
  <c r="E32" i="84"/>
  <c r="AL24" i="84"/>
  <c r="AL22" i="84"/>
  <c r="AL16" i="84"/>
  <c r="AK10" i="84"/>
  <c r="E19" i="84"/>
  <c r="E25" i="84"/>
  <c r="AK33" i="84"/>
  <c r="AK44" i="84"/>
  <c r="E29" i="84"/>
  <c r="AK26" i="84"/>
  <c r="AK22" i="84"/>
  <c r="E45" i="84"/>
  <c r="AL19" i="84"/>
  <c r="E35" i="84"/>
  <c r="AL40" i="84"/>
  <c r="E10" i="84"/>
  <c r="AL17" i="84"/>
  <c r="AL14" i="84"/>
  <c r="AK12" i="84"/>
  <c r="E22" i="84"/>
  <c r="AL27" i="84"/>
  <c r="AK31" i="84"/>
  <c r="AK40" i="84"/>
  <c r="AL42" i="84"/>
  <c r="AL46" i="84"/>
  <c r="E43" i="84"/>
  <c r="AL44" i="84"/>
  <c r="E18" i="84"/>
  <c r="AK25" i="84"/>
  <c r="S9" i="85" l="1"/>
  <c r="BD9" i="84"/>
  <c r="S12" i="85"/>
  <c r="S10" i="85"/>
  <c r="S11" i="85"/>
  <c r="AA14" i="85"/>
  <c r="P14" i="85"/>
  <c r="O5" i="85"/>
  <c r="P10" i="85"/>
  <c r="P11" i="85"/>
  <c r="P8" i="85"/>
  <c r="BC12" i="85"/>
  <c r="BD11" i="85"/>
  <c r="P12" i="85"/>
  <c r="P9" i="85"/>
  <c r="S14" i="85"/>
  <c r="R5" i="85"/>
  <c r="V14" i="85"/>
  <c r="U5" i="85"/>
  <c r="BG10" i="85"/>
  <c r="BF10" i="85"/>
  <c r="BI10" i="85"/>
  <c r="BH10" i="85"/>
  <c r="AH39" i="84"/>
  <c r="AG39" i="84"/>
  <c r="AM32" i="84"/>
  <c r="AH18" i="84"/>
  <c r="AG18" i="84"/>
  <c r="AH13" i="84"/>
  <c r="AG13" i="84"/>
  <c r="AM24" i="84"/>
  <c r="AG50" i="84"/>
  <c r="AH50" i="84"/>
  <c r="AM35" i="84"/>
  <c r="AH29" i="84"/>
  <c r="AG29" i="84"/>
  <c r="AM14" i="84"/>
  <c r="AM12" i="84"/>
  <c r="AH16" i="84"/>
  <c r="AG16" i="84"/>
  <c r="AM47" i="84"/>
  <c r="AM40" i="84"/>
  <c r="AM25" i="84"/>
  <c r="AM41" i="84"/>
  <c r="AH10" i="84"/>
  <c r="AG10" i="84"/>
  <c r="U16" i="84" a="1"/>
  <c r="U16" i="84" s="1"/>
  <c r="O16" i="84" a="1"/>
  <c r="O16" i="84" s="1"/>
  <c r="R13" i="84"/>
  <c r="S13" i="84" s="1"/>
  <c r="R12" i="84"/>
  <c r="R11" i="84"/>
  <c r="R10" i="84"/>
  <c r="R16" i="84" a="1"/>
  <c r="R16" i="84" s="1"/>
  <c r="U13" i="84"/>
  <c r="V13" i="84" s="1"/>
  <c r="O13" i="84"/>
  <c r="U12" i="84"/>
  <c r="V12" i="84" s="1"/>
  <c r="O12" i="84"/>
  <c r="U11" i="84"/>
  <c r="V11" i="84" s="1"/>
  <c r="O11" i="84"/>
  <c r="U10" i="84"/>
  <c r="V10" i="84" s="1"/>
  <c r="O10" i="84"/>
  <c r="U9" i="84"/>
  <c r="V9" i="84" s="1"/>
  <c r="O9" i="84"/>
  <c r="U8" i="84"/>
  <c r="O8" i="84"/>
  <c r="R9" i="84"/>
  <c r="R8" i="84"/>
  <c r="AM44" i="84"/>
  <c r="AM37" i="84"/>
  <c r="AH22" i="84"/>
  <c r="AG22" i="84"/>
  <c r="AH15" i="84"/>
  <c r="AG15" i="84"/>
  <c r="AH11" i="84"/>
  <c r="AG11" i="84"/>
  <c r="AM39" i="84"/>
  <c r="AG32" i="84"/>
  <c r="AH32" i="84"/>
  <c r="AM18" i="84"/>
  <c r="AM13" i="84"/>
  <c r="AH24" i="84"/>
  <c r="AG24" i="84"/>
  <c r="AM34" i="84"/>
  <c r="AM48" i="84"/>
  <c r="AH30" i="84"/>
  <c r="AG30" i="84"/>
  <c r="AM23" i="84"/>
  <c r="AM28" i="84"/>
  <c r="AG47" i="84"/>
  <c r="AH47" i="84"/>
  <c r="AG40" i="84"/>
  <c r="AH40" i="84"/>
  <c r="AH25" i="84"/>
  <c r="AG25" i="84"/>
  <c r="AH41" i="84"/>
  <c r="AG41" i="84"/>
  <c r="AM10" i="84"/>
  <c r="AH7" i="84"/>
  <c r="AG7" i="84"/>
  <c r="AG44" i="84"/>
  <c r="AH44" i="84"/>
  <c r="AH37" i="84"/>
  <c r="AG37" i="84"/>
  <c r="AM22" i="84"/>
  <c r="AM15" i="84"/>
  <c r="AM11" i="84"/>
  <c r="AM38" i="84"/>
  <c r="AM61" i="84"/>
  <c r="AM17" i="84"/>
  <c r="AM27" i="84"/>
  <c r="AH31" i="84"/>
  <c r="AG31" i="84"/>
  <c r="AH34" i="84"/>
  <c r="AG34" i="84"/>
  <c r="AH48" i="84"/>
  <c r="AG48" i="84"/>
  <c r="AM30" i="84"/>
  <c r="AG23" i="84"/>
  <c r="AH23" i="84"/>
  <c r="AH28" i="84"/>
  <c r="AG28" i="84"/>
  <c r="AM49" i="84"/>
  <c r="AH43" i="84"/>
  <c r="AG43" i="84"/>
  <c r="AH26" i="84"/>
  <c r="AG26" i="84"/>
  <c r="AM19" i="84"/>
  <c r="AM20" i="84"/>
  <c r="AM7" i="84"/>
  <c r="AM46" i="84"/>
  <c r="AM42" i="84"/>
  <c r="AM36" i="84"/>
  <c r="AM21" i="84"/>
  <c r="AM33" i="84"/>
  <c r="AM45" i="84"/>
  <c r="AH8" i="84"/>
  <c r="AG8" i="84"/>
  <c r="AH38" i="84"/>
  <c r="AG38" i="84"/>
  <c r="AH61" i="84"/>
  <c r="AG61" i="84"/>
  <c r="AH17" i="84"/>
  <c r="AG17" i="84"/>
  <c r="AG27" i="84"/>
  <c r="AH27" i="84"/>
  <c r="AM31" i="84"/>
  <c r="AM50" i="84"/>
  <c r="AH35" i="84"/>
  <c r="AG35" i="84"/>
  <c r="AM29" i="84"/>
  <c r="AH14" i="84"/>
  <c r="AG14" i="84"/>
  <c r="AH12" i="84"/>
  <c r="AG12" i="84"/>
  <c r="AM16" i="84"/>
  <c r="AH49" i="84"/>
  <c r="AG49" i="84"/>
  <c r="AM43" i="84"/>
  <c r="AM26" i="84"/>
  <c r="AG19" i="84"/>
  <c r="AH19" i="84"/>
  <c r="AH20" i="84"/>
  <c r="AG20" i="84"/>
  <c r="AH46" i="84"/>
  <c r="AG46" i="84"/>
  <c r="AH42" i="84"/>
  <c r="AG42" i="84"/>
  <c r="AG36" i="84"/>
  <c r="AH36" i="84"/>
  <c r="AH21" i="84"/>
  <c r="AG21" i="84"/>
  <c r="AH33" i="84"/>
  <c r="AG33" i="84"/>
  <c r="AH45" i="84"/>
  <c r="AG45" i="84"/>
  <c r="AM8" i="84"/>
  <c r="BD10" i="84"/>
  <c r="BC11" i="84"/>
  <c r="BD7" i="84"/>
  <c r="BD8" i="84"/>
  <c r="BI9" i="84"/>
  <c r="BG9" i="84"/>
  <c r="BF9" i="84"/>
  <c r="BH9" i="84"/>
  <c r="C68" i="83"/>
  <c r="B68" i="83" s="1"/>
  <c r="AH67" i="83"/>
  <c r="AG67" i="83"/>
  <c r="AF67" i="83"/>
  <c r="AH66" i="83"/>
  <c r="AG66" i="83"/>
  <c r="AF66" i="83"/>
  <c r="AH65" i="83"/>
  <c r="AG65" i="83"/>
  <c r="AF65" i="83"/>
  <c r="AH64" i="83"/>
  <c r="AG64" i="83"/>
  <c r="AF64" i="83"/>
  <c r="AH63" i="83"/>
  <c r="AG63" i="83"/>
  <c r="AF63" i="83"/>
  <c r="AH62" i="83"/>
  <c r="AG62" i="83"/>
  <c r="AF62" i="83"/>
  <c r="G62" i="83"/>
  <c r="AH60" i="83"/>
  <c r="AG60" i="83"/>
  <c r="AF60" i="83"/>
  <c r="AF61" i="83" s="1"/>
  <c r="G60" i="83"/>
  <c r="E60" i="83" s="1"/>
  <c r="AH59" i="83"/>
  <c r="AG59" i="83"/>
  <c r="AF59" i="83"/>
  <c r="G59" i="83"/>
  <c r="E59" i="83" s="1"/>
  <c r="AH58" i="83"/>
  <c r="AG58" i="83"/>
  <c r="AF58" i="83"/>
  <c r="G58" i="83"/>
  <c r="AH57" i="83"/>
  <c r="AG57" i="83"/>
  <c r="AF57" i="83"/>
  <c r="G57" i="83"/>
  <c r="AH56" i="83"/>
  <c r="AG56" i="83"/>
  <c r="AF56" i="83"/>
  <c r="G56" i="83"/>
  <c r="AH55" i="83"/>
  <c r="AG55" i="83"/>
  <c r="AF55" i="83"/>
  <c r="G55" i="83"/>
  <c r="AH54" i="83"/>
  <c r="AG54" i="83"/>
  <c r="AF54" i="83"/>
  <c r="G54" i="83"/>
  <c r="AH53" i="83"/>
  <c r="AG53" i="83"/>
  <c r="AF53" i="83"/>
  <c r="G53" i="83"/>
  <c r="AH52" i="83"/>
  <c r="AG52" i="83"/>
  <c r="AF52" i="83"/>
  <c r="AH51" i="83"/>
  <c r="AG51" i="83"/>
  <c r="AF51" i="83"/>
  <c r="AV29" i="83"/>
  <c r="AV28" i="83"/>
  <c r="AV27" i="83"/>
  <c r="AV26" i="83"/>
  <c r="AV25" i="83"/>
  <c r="AV24" i="83"/>
  <c r="AV23" i="83"/>
  <c r="AV22" i="83"/>
  <c r="AV21" i="83"/>
  <c r="AV20" i="83"/>
  <c r="AV19" i="83"/>
  <c r="AV18" i="83"/>
  <c r="AV17" i="83"/>
  <c r="AV16" i="83"/>
  <c r="L16" i="83" a="1"/>
  <c r="L16" i="83" s="1"/>
  <c r="AV15" i="83"/>
  <c r="AV14" i="83"/>
  <c r="AV13" i="83"/>
  <c r="L13" i="83"/>
  <c r="AV12" i="83"/>
  <c r="L12" i="83"/>
  <c r="AV11" i="83"/>
  <c r="L11" i="83"/>
  <c r="AV10" i="83"/>
  <c r="L10" i="83"/>
  <c r="AV9" i="83"/>
  <c r="L9" i="83"/>
  <c r="AV8" i="83"/>
  <c r="L8" i="83"/>
  <c r="BC7" i="83"/>
  <c r="AV7" i="83"/>
  <c r="AF7" i="83"/>
  <c r="AF8" i="83" s="1"/>
  <c r="AF9" i="83" s="1"/>
  <c r="AF10" i="83" s="1"/>
  <c r="AF11" i="83" s="1"/>
  <c r="AF12" i="83" s="1"/>
  <c r="AF13" i="83" s="1"/>
  <c r="AF14" i="83" s="1"/>
  <c r="AF15" i="83" s="1"/>
  <c r="AF16" i="83" s="1"/>
  <c r="AF17" i="83" s="1"/>
  <c r="AF18" i="83" s="1"/>
  <c r="AF19" i="83" s="1"/>
  <c r="AF20" i="83" s="1"/>
  <c r="AF21" i="83" s="1"/>
  <c r="AF22" i="83" s="1"/>
  <c r="AF23" i="83" s="1"/>
  <c r="AF24" i="83" s="1"/>
  <c r="AF25" i="83" s="1"/>
  <c r="AF26" i="83" s="1"/>
  <c r="AF27" i="83" s="1"/>
  <c r="AF28" i="83" s="1"/>
  <c r="AF29" i="83" s="1"/>
  <c r="AF30" i="83" s="1"/>
  <c r="AF31" i="83" s="1"/>
  <c r="AF32" i="83" s="1"/>
  <c r="AF33" i="83" s="1"/>
  <c r="AF34" i="83" s="1"/>
  <c r="AF35" i="83" s="1"/>
  <c r="AF36" i="83" s="1"/>
  <c r="AF37" i="83" s="1"/>
  <c r="AF38" i="83" s="1"/>
  <c r="AF39" i="83" s="1"/>
  <c r="AF40" i="83" s="1"/>
  <c r="AF41" i="83" s="1"/>
  <c r="AF42" i="83" s="1"/>
  <c r="AF43" i="83" s="1"/>
  <c r="AF44" i="83" s="1"/>
  <c r="AF45" i="83" s="1"/>
  <c r="AF46" i="83" s="1"/>
  <c r="AF47" i="83" s="1"/>
  <c r="AF48" i="83" s="1"/>
  <c r="AF49" i="83" s="1"/>
  <c r="AF50" i="83" s="1"/>
  <c r="AL4" i="83"/>
  <c r="AL2" i="83" s="1"/>
  <c r="AK4" i="83"/>
  <c r="AK2" i="83" s="1"/>
  <c r="AJ4" i="83"/>
  <c r="AJ2" i="83" s="1"/>
  <c r="G3" i="83"/>
  <c r="E2" i="83"/>
  <c r="E3" i="83" s="1"/>
  <c r="A1" i="83"/>
  <c r="G12" i="83"/>
  <c r="G9" i="83"/>
  <c r="E6" i="83"/>
  <c r="G13" i="83"/>
  <c r="BG11" i="85" l="1"/>
  <c r="BF11" i="85"/>
  <c r="BI11" i="85"/>
  <c r="BH11" i="85"/>
  <c r="BD12" i="85"/>
  <c r="BC13" i="85"/>
  <c r="BI7" i="84"/>
  <c r="BG7" i="84"/>
  <c r="BF7" i="84"/>
  <c r="BH7" i="84"/>
  <c r="AA13" i="84"/>
  <c r="BI8" i="84"/>
  <c r="BG8" i="84"/>
  <c r="BF8" i="84"/>
  <c r="BH8" i="84"/>
  <c r="R14" i="84"/>
  <c r="S9" i="84" s="1"/>
  <c r="AA9" i="84"/>
  <c r="AA11" i="84"/>
  <c r="BD11" i="84"/>
  <c r="BC12" i="84"/>
  <c r="O14" i="84"/>
  <c r="P11" i="84" s="1"/>
  <c r="AA8" i="84"/>
  <c r="AA10" i="84"/>
  <c r="AA12" i="84"/>
  <c r="BI10" i="84"/>
  <c r="BH10" i="84"/>
  <c r="BG10" i="84"/>
  <c r="BF10" i="84"/>
  <c r="V8" i="84"/>
  <c r="U14" i="84"/>
  <c r="AW63" i="83"/>
  <c r="AX63" i="83" s="1"/>
  <c r="BC8" i="83"/>
  <c r="BC9" i="83" s="1"/>
  <c r="AW19" i="83"/>
  <c r="AX19" i="83" s="1"/>
  <c r="AW17" i="83"/>
  <c r="AX17" i="83" s="1"/>
  <c r="AW21" i="83"/>
  <c r="AX21" i="83" s="1"/>
  <c r="AW15" i="83"/>
  <c r="AX15" i="83" s="1"/>
  <c r="AW29" i="83"/>
  <c r="AX29" i="83" s="1"/>
  <c r="AW13" i="83"/>
  <c r="AX13" i="83" s="1"/>
  <c r="AW62" i="83"/>
  <c r="AX62" i="83" s="1"/>
  <c r="AW59" i="83"/>
  <c r="AX59" i="83" s="1"/>
  <c r="AW51" i="83"/>
  <c r="AX51" i="83" s="1"/>
  <c r="AW49" i="83"/>
  <c r="AX49" i="83" s="1"/>
  <c r="AW45" i="83"/>
  <c r="AX45" i="83" s="1"/>
  <c r="AW56" i="83"/>
  <c r="AX56" i="83" s="1"/>
  <c r="AW40" i="83"/>
  <c r="AX40" i="83" s="1"/>
  <c r="AW54" i="83"/>
  <c r="AX54" i="83" s="1"/>
  <c r="AW44" i="83"/>
  <c r="AX44" i="83" s="1"/>
  <c r="AW41" i="83"/>
  <c r="AX41" i="83" s="1"/>
  <c r="AW37" i="83"/>
  <c r="AX37" i="83" s="1"/>
  <c r="AW33" i="83"/>
  <c r="AX33" i="83" s="1"/>
  <c r="AW52" i="83"/>
  <c r="AX52" i="83" s="1"/>
  <c r="AW48" i="83"/>
  <c r="AX48" i="83" s="1"/>
  <c r="AW39" i="83"/>
  <c r="AX39" i="83" s="1"/>
  <c r="AW27" i="83"/>
  <c r="AX27" i="83" s="1"/>
  <c r="AW23" i="83"/>
  <c r="AX23" i="83" s="1"/>
  <c r="AW35" i="83"/>
  <c r="AX35" i="83" s="1"/>
  <c r="L14" i="83"/>
  <c r="M11" i="83" s="1"/>
  <c r="AW18" i="83"/>
  <c r="AX18" i="83" s="1"/>
  <c r="AW20" i="83"/>
  <c r="AX20" i="83" s="1"/>
  <c r="AW22" i="83"/>
  <c r="AX22" i="83" s="1"/>
  <c r="AW31" i="83"/>
  <c r="AX31" i="83" s="1"/>
  <c r="AW32" i="83"/>
  <c r="AX32" i="83" s="1"/>
  <c r="AW61" i="83"/>
  <c r="AX61" i="83" s="1"/>
  <c r="AW24" i="83"/>
  <c r="AX24" i="83" s="1"/>
  <c r="AW7" i="83"/>
  <c r="AX7" i="83" s="1"/>
  <c r="AW8" i="83"/>
  <c r="AX8" i="83" s="1"/>
  <c r="AW9" i="83"/>
  <c r="AX9" i="83" s="1"/>
  <c r="AW10" i="83"/>
  <c r="AX10" i="83" s="1"/>
  <c r="AW11" i="83"/>
  <c r="AX11" i="83" s="1"/>
  <c r="AW12" i="83"/>
  <c r="AX12" i="83" s="1"/>
  <c r="AW16" i="83"/>
  <c r="AX16" i="83" s="1"/>
  <c r="AW25" i="83"/>
  <c r="AX25" i="83" s="1"/>
  <c r="AW28" i="83"/>
  <c r="AX28" i="83" s="1"/>
  <c r="AW43" i="83"/>
  <c r="AX43" i="83" s="1"/>
  <c r="AW14" i="83"/>
  <c r="AX14" i="83" s="1"/>
  <c r="AW26" i="83"/>
  <c r="AX26" i="83" s="1"/>
  <c r="AW58" i="83"/>
  <c r="AX58" i="83" s="1"/>
  <c r="AW38" i="83"/>
  <c r="AX38" i="83" s="1"/>
  <c r="AW30" i="83"/>
  <c r="AX30" i="83" s="1"/>
  <c r="AW36" i="83"/>
  <c r="AX36" i="83" s="1"/>
  <c r="AW34" i="83"/>
  <c r="AX34" i="83" s="1"/>
  <c r="AW42" i="83"/>
  <c r="AX42" i="83" s="1"/>
  <c r="AW60" i="83"/>
  <c r="AX60" i="83" s="1"/>
  <c r="AW47" i="83"/>
  <c r="AX47" i="83" s="1"/>
  <c r="AW46" i="83"/>
  <c r="AX46" i="83" s="1"/>
  <c r="AW50" i="83"/>
  <c r="AX50" i="83" s="1"/>
  <c r="AW53" i="83"/>
  <c r="AX53" i="83" s="1"/>
  <c r="AW55" i="83"/>
  <c r="AX55" i="83" s="1"/>
  <c r="AW57" i="83"/>
  <c r="AX57" i="83" s="1"/>
  <c r="CG31" i="7"/>
  <c r="CG21" i="7"/>
  <c r="CG11" i="7"/>
  <c r="CG7" i="7"/>
  <c r="CK7" i="7"/>
  <c r="CK11" i="7"/>
  <c r="CK21" i="7"/>
  <c r="CK31" i="7"/>
  <c r="AJ49" i="83"/>
  <c r="G21" i="83"/>
  <c r="G20" i="83"/>
  <c r="G50" i="83"/>
  <c r="AJ35" i="83"/>
  <c r="AJ53" i="83"/>
  <c r="AJ43" i="83"/>
  <c r="AJ26" i="83"/>
  <c r="G23" i="83"/>
  <c r="G48" i="83"/>
  <c r="AJ21" i="83"/>
  <c r="AJ25" i="83"/>
  <c r="AJ23" i="83"/>
  <c r="AJ41" i="83"/>
  <c r="AJ51" i="83"/>
  <c r="AJ45" i="83"/>
  <c r="AJ15" i="83"/>
  <c r="AJ54" i="83"/>
  <c r="G14" i="83"/>
  <c r="E9" i="83"/>
  <c r="G26" i="83"/>
  <c r="G10" i="83"/>
  <c r="G11" i="83"/>
  <c r="AJ59" i="83"/>
  <c r="AJ8" i="83"/>
  <c r="AJ63" i="83"/>
  <c r="G24" i="83"/>
  <c r="G39" i="83"/>
  <c r="G34" i="83"/>
  <c r="G19" i="83"/>
  <c r="AJ18" i="83"/>
  <c r="G15" i="83"/>
  <c r="G32" i="83"/>
  <c r="G35" i="83"/>
  <c r="AJ16" i="83"/>
  <c r="G38" i="83"/>
  <c r="G37" i="83"/>
  <c r="AJ39" i="83"/>
  <c r="AJ52" i="83"/>
  <c r="AJ10" i="83"/>
  <c r="AJ44" i="83"/>
  <c r="E13" i="83"/>
  <c r="AJ32" i="83"/>
  <c r="AJ50" i="83"/>
  <c r="G17" i="83"/>
  <c r="AJ36" i="83"/>
  <c r="G31" i="83"/>
  <c r="AJ14" i="83"/>
  <c r="G7" i="83"/>
  <c r="G40" i="83"/>
  <c r="G27" i="83"/>
  <c r="G41" i="83"/>
  <c r="G33" i="83"/>
  <c r="AJ34" i="83"/>
  <c r="AJ13" i="83"/>
  <c r="AJ64" i="83"/>
  <c r="AJ20" i="83"/>
  <c r="AJ30" i="83"/>
  <c r="G28" i="83"/>
  <c r="AJ40" i="83"/>
  <c r="AJ17" i="83"/>
  <c r="AJ29" i="83"/>
  <c r="G18" i="83"/>
  <c r="AJ33" i="83"/>
  <c r="AJ22" i="83"/>
  <c r="AJ31" i="83"/>
  <c r="AJ38" i="83"/>
  <c r="AJ65" i="83"/>
  <c r="AJ62" i="83"/>
  <c r="G16" i="83"/>
  <c r="G36" i="83"/>
  <c r="G29" i="83"/>
  <c r="AJ58" i="83"/>
  <c r="G43" i="83"/>
  <c r="G30" i="83"/>
  <c r="G47" i="83"/>
  <c r="G22" i="83"/>
  <c r="AJ47" i="83"/>
  <c r="G42" i="83"/>
  <c r="AJ55" i="83"/>
  <c r="AJ60" i="83"/>
  <c r="AJ67" i="83"/>
  <c r="AJ37" i="83"/>
  <c r="G45" i="83"/>
  <c r="G49" i="83"/>
  <c r="AJ66" i="83"/>
  <c r="G8" i="83"/>
  <c r="AJ7" i="83"/>
  <c r="AJ9" i="83"/>
  <c r="G46" i="83"/>
  <c r="AJ24" i="83"/>
  <c r="AJ57" i="83"/>
  <c r="G25" i="83"/>
  <c r="E12" i="83"/>
  <c r="AJ48" i="83"/>
  <c r="G61" i="83"/>
  <c r="AJ27" i="83"/>
  <c r="AJ42" i="83"/>
  <c r="AJ46" i="83"/>
  <c r="AJ11" i="83"/>
  <c r="AJ56" i="83"/>
  <c r="AJ12" i="83"/>
  <c r="G44" i="83"/>
  <c r="AJ19" i="83"/>
  <c r="AJ28" i="83"/>
  <c r="AJ61" i="83"/>
  <c r="BD7" i="7"/>
  <c r="BJ7" i="7"/>
  <c r="BJ11" i="7"/>
  <c r="S10" i="84" l="1"/>
  <c r="BC14" i="85"/>
  <c r="BD13" i="85"/>
  <c r="BG12" i="85"/>
  <c r="BF12" i="85"/>
  <c r="BI12" i="85"/>
  <c r="BH12" i="85"/>
  <c r="P10" i="84"/>
  <c r="S12" i="84"/>
  <c r="S11" i="84"/>
  <c r="S8" i="84"/>
  <c r="P12" i="84"/>
  <c r="AA14" i="84"/>
  <c r="S14" i="84"/>
  <c r="R5" i="84"/>
  <c r="P14" i="84"/>
  <c r="O5" i="84"/>
  <c r="BD12" i="84"/>
  <c r="BC13" i="84"/>
  <c r="U5" i="84"/>
  <c r="V14" i="84"/>
  <c r="P8" i="84"/>
  <c r="BI11" i="84"/>
  <c r="BH11" i="84"/>
  <c r="BG11" i="84"/>
  <c r="BF11" i="84"/>
  <c r="P13" i="84"/>
  <c r="P9" i="84"/>
  <c r="AY63" i="83"/>
  <c r="AY57" i="83"/>
  <c r="AY46" i="83"/>
  <c r="C77" i="83"/>
  <c r="AL64" i="83"/>
  <c r="AK64" i="83"/>
  <c r="AM64" i="83" s="1"/>
  <c r="AL60" i="83"/>
  <c r="AK60" i="83"/>
  <c r="AM60" i="83" s="1"/>
  <c r="AK51" i="83"/>
  <c r="AM51" i="83" s="1"/>
  <c r="AL51" i="83"/>
  <c r="AL58" i="83"/>
  <c r="AK58" i="83"/>
  <c r="AM58" i="83" s="1"/>
  <c r="AL53" i="83"/>
  <c r="AK53" i="83"/>
  <c r="AM53" i="83" s="1"/>
  <c r="AL67" i="83"/>
  <c r="AK67" i="83"/>
  <c r="AM67" i="83" s="1"/>
  <c r="AK59" i="83"/>
  <c r="AM59" i="83" s="1"/>
  <c r="AL59" i="83"/>
  <c r="AL52" i="83"/>
  <c r="AK52" i="83"/>
  <c r="AM52" i="83" s="1"/>
  <c r="AL63" i="83"/>
  <c r="AK63" i="83"/>
  <c r="AM63" i="83" s="1"/>
  <c r="AL57" i="83"/>
  <c r="AK57" i="83"/>
  <c r="AM57" i="83" s="1"/>
  <c r="AK66" i="83"/>
  <c r="AM66" i="83" s="1"/>
  <c r="AL66" i="83"/>
  <c r="AL56" i="83"/>
  <c r="AK56" i="83"/>
  <c r="AM56" i="83" s="1"/>
  <c r="AL55" i="83"/>
  <c r="AK55" i="83"/>
  <c r="AM55" i="83" s="1"/>
  <c r="AK62" i="83"/>
  <c r="AM62" i="83" s="1"/>
  <c r="AL62" i="83"/>
  <c r="AL54" i="83"/>
  <c r="AK54" i="83"/>
  <c r="AM54" i="83" s="1"/>
  <c r="AL65" i="83"/>
  <c r="AK65" i="83"/>
  <c r="AM65" i="83" s="1"/>
  <c r="AY10" i="83"/>
  <c r="AY55" i="83"/>
  <c r="AY9" i="83"/>
  <c r="AY53" i="83"/>
  <c r="AY47" i="83"/>
  <c r="AY30" i="83"/>
  <c r="AY12" i="83"/>
  <c r="AY8" i="83"/>
  <c r="AY19" i="83"/>
  <c r="AY13" i="83"/>
  <c r="AY15" i="83"/>
  <c r="AY18" i="83"/>
  <c r="AY25" i="83"/>
  <c r="AY28" i="83"/>
  <c r="AY11" i="83"/>
  <c r="AY54" i="83"/>
  <c r="AY43" i="83"/>
  <c r="AY52" i="83"/>
  <c r="AY34" i="83"/>
  <c r="AY17" i="83"/>
  <c r="AY33" i="83"/>
  <c r="M13" i="83"/>
  <c r="AY60" i="83"/>
  <c r="AY29" i="83"/>
  <c r="AY16" i="83"/>
  <c r="AY37" i="83"/>
  <c r="AY40" i="83"/>
  <c r="AY51" i="83"/>
  <c r="M12" i="83"/>
  <c r="AY50" i="83"/>
  <c r="AY32" i="83"/>
  <c r="L5" i="83"/>
  <c r="M14" i="83"/>
  <c r="AY49" i="83"/>
  <c r="BC10" i="83"/>
  <c r="AY56" i="83"/>
  <c r="AY42" i="83"/>
  <c r="AY39" i="83"/>
  <c r="AY38" i="83"/>
  <c r="AY26" i="83"/>
  <c r="AY14" i="83"/>
  <c r="AY61" i="83"/>
  <c r="AY31" i="83"/>
  <c r="AY20" i="83"/>
  <c r="AY23" i="83"/>
  <c r="AY48" i="83"/>
  <c r="AY41" i="83"/>
  <c r="AY59" i="83"/>
  <c r="M10" i="83"/>
  <c r="M9" i="83"/>
  <c r="AY58" i="83"/>
  <c r="AY24" i="83"/>
  <c r="AY22" i="83"/>
  <c r="AY36" i="83"/>
  <c r="AY21" i="83"/>
  <c r="AY7" i="83"/>
  <c r="AY35" i="83"/>
  <c r="Y14" i="83"/>
  <c r="AY27" i="83"/>
  <c r="AY44" i="83"/>
  <c r="AY45" i="83"/>
  <c r="AY62" i="83"/>
  <c r="M8" i="83"/>
  <c r="BZ62" i="5"/>
  <c r="CA62" i="5"/>
  <c r="CB62" i="5"/>
  <c r="BZ61" i="5"/>
  <c r="BZ63" i="5" s="1"/>
  <c r="CA61" i="5"/>
  <c r="CA63" i="5" s="1"/>
  <c r="CB61" i="5"/>
  <c r="CB63" i="5" s="1"/>
  <c r="CA57" i="5"/>
  <c r="CB57" i="5"/>
  <c r="CC57" i="5"/>
  <c r="CA56" i="5"/>
  <c r="CB56" i="5"/>
  <c r="CC56" i="5"/>
  <c r="BZ47" i="5"/>
  <c r="CA47" i="5"/>
  <c r="CB47" i="5"/>
  <c r="CC47" i="5"/>
  <c r="BZ46" i="5"/>
  <c r="BZ52" i="5" s="1"/>
  <c r="CA46" i="5"/>
  <c r="CA52" i="5" s="1"/>
  <c r="CB46" i="5"/>
  <c r="CB52" i="5" s="1"/>
  <c r="CC46" i="5"/>
  <c r="CC52" i="5" s="1"/>
  <c r="BZ45" i="5"/>
  <c r="CA45" i="5"/>
  <c r="CB45" i="5"/>
  <c r="CC45" i="5"/>
  <c r="BZ44" i="5"/>
  <c r="BZ51" i="5" s="1"/>
  <c r="BZ53" i="5" s="1"/>
  <c r="CA44" i="5"/>
  <c r="CA51" i="5" s="1"/>
  <c r="CA53" i="5" s="1"/>
  <c r="CB44" i="5"/>
  <c r="CB51" i="5" s="1"/>
  <c r="CB53" i="5" s="1"/>
  <c r="CC44" i="5"/>
  <c r="CC51" i="5" s="1"/>
  <c r="BZ43" i="5"/>
  <c r="CA43" i="5"/>
  <c r="CB43" i="5"/>
  <c r="CC43" i="5"/>
  <c r="BZ42" i="5"/>
  <c r="BZ50" i="5" s="1"/>
  <c r="CA42" i="5"/>
  <c r="CA50" i="5" s="1"/>
  <c r="CB42" i="5"/>
  <c r="CB50" i="5" s="1"/>
  <c r="CC42" i="5"/>
  <c r="E25" i="83"/>
  <c r="E50" i="83"/>
  <c r="E27" i="83"/>
  <c r="AL40" i="83"/>
  <c r="AK10" i="83"/>
  <c r="AK24" i="83"/>
  <c r="E24" i="83"/>
  <c r="AK45" i="83"/>
  <c r="AL11" i="83"/>
  <c r="E18" i="83"/>
  <c r="AL32" i="83"/>
  <c r="E43" i="83"/>
  <c r="AK20" i="83"/>
  <c r="AK26" i="83"/>
  <c r="E47" i="83"/>
  <c r="AL15" i="83"/>
  <c r="AK12" i="83"/>
  <c r="E45" i="83"/>
  <c r="AL49" i="83"/>
  <c r="E36" i="83"/>
  <c r="AL36" i="83"/>
  <c r="AL29" i="83"/>
  <c r="AL41" i="83"/>
  <c r="AL35" i="83"/>
  <c r="E15" i="83"/>
  <c r="AK41" i="83"/>
  <c r="AL17" i="83"/>
  <c r="AK39" i="83"/>
  <c r="AL10" i="83"/>
  <c r="AK30" i="83"/>
  <c r="AK7" i="83"/>
  <c r="AK27" i="83"/>
  <c r="E7" i="83"/>
  <c r="AK37" i="83"/>
  <c r="AK33" i="83"/>
  <c r="AL31" i="83"/>
  <c r="E26" i="83"/>
  <c r="AK9" i="83"/>
  <c r="AL19" i="83"/>
  <c r="E32" i="83"/>
  <c r="AL48" i="83"/>
  <c r="AK25" i="83"/>
  <c r="E48" i="83"/>
  <c r="AL14" i="83"/>
  <c r="E11" i="83"/>
  <c r="AK19" i="83"/>
  <c r="AL45" i="83"/>
  <c r="E29" i="83"/>
  <c r="AL9" i="83"/>
  <c r="AK13" i="83"/>
  <c r="E41" i="83"/>
  <c r="E8" i="83"/>
  <c r="AL30" i="83"/>
  <c r="AL42" i="83"/>
  <c r="E61" i="83"/>
  <c r="AK8" i="83"/>
  <c r="AL12" i="83"/>
  <c r="AL8" i="83"/>
  <c r="E22" i="83"/>
  <c r="AK17" i="83"/>
  <c r="E35" i="83"/>
  <c r="E14" i="83"/>
  <c r="AL25" i="83"/>
  <c r="E19" i="83"/>
  <c r="AL46" i="83"/>
  <c r="E28" i="83"/>
  <c r="AK50" i="83"/>
  <c r="E20" i="83"/>
  <c r="AK21" i="83"/>
  <c r="AL21" i="83"/>
  <c r="AK44" i="83"/>
  <c r="AK23" i="83"/>
  <c r="AL26" i="83"/>
  <c r="E21" i="83"/>
  <c r="AK34" i="83"/>
  <c r="E46" i="83"/>
  <c r="AL39" i="83"/>
  <c r="AL23" i="83"/>
  <c r="E10" i="83"/>
  <c r="AL47" i="83"/>
  <c r="AK31" i="83"/>
  <c r="AK11" i="83"/>
  <c r="E33" i="83"/>
  <c r="E37" i="83"/>
  <c r="AL33" i="83"/>
  <c r="AK61" i="83"/>
  <c r="AL27" i="83"/>
  <c r="AL44" i="83"/>
  <c r="AK36" i="83"/>
  <c r="AL28" i="83"/>
  <c r="AK22" i="83"/>
  <c r="E30" i="83"/>
  <c r="E49" i="83"/>
  <c r="AL61" i="83"/>
  <c r="AL7" i="83"/>
  <c r="AL38" i="83"/>
  <c r="E31" i="83"/>
  <c r="AK46" i="83"/>
  <c r="AL20" i="83"/>
  <c r="E16" i="83"/>
  <c r="AK15" i="83"/>
  <c r="AK40" i="83"/>
  <c r="AL22" i="83"/>
  <c r="AK35" i="83"/>
  <c r="E39" i="83"/>
  <c r="AL34" i="83"/>
  <c r="E40" i="83"/>
  <c r="AK32" i="83"/>
  <c r="AK38" i="83"/>
  <c r="AL37" i="83"/>
  <c r="E42" i="83"/>
  <c r="AK42" i="83"/>
  <c r="AL18" i="83"/>
  <c r="E17" i="83"/>
  <c r="AK47" i="83"/>
  <c r="AK29" i="83"/>
  <c r="E23" i="83"/>
  <c r="AL13" i="83"/>
  <c r="AK43" i="83"/>
  <c r="E34" i="83"/>
  <c r="E44" i="83"/>
  <c r="AL16" i="83"/>
  <c r="AK49" i="83"/>
  <c r="AL50" i="83"/>
  <c r="AL24" i="83"/>
  <c r="AK28" i="83"/>
  <c r="AK48" i="83"/>
  <c r="AK18" i="83"/>
  <c r="E38" i="83"/>
  <c r="AL43" i="83"/>
  <c r="AK16" i="83"/>
  <c r="AK14" i="83"/>
  <c r="CC50" i="5" l="1"/>
  <c r="CA58" i="5"/>
  <c r="BG13" i="85"/>
  <c r="BF13" i="85"/>
  <c r="BI13" i="85"/>
  <c r="BH13" i="85"/>
  <c r="BD14" i="85"/>
  <c r="BC15" i="85"/>
  <c r="BC14" i="84"/>
  <c r="BD13" i="84"/>
  <c r="BI12" i="84"/>
  <c r="BH12" i="84"/>
  <c r="BG12" i="84"/>
  <c r="BF12" i="84"/>
  <c r="CC58" i="5"/>
  <c r="BD7" i="83"/>
  <c r="BD9" i="83"/>
  <c r="AH50" i="83"/>
  <c r="AG50" i="83"/>
  <c r="AM44" i="83"/>
  <c r="AH25" i="83"/>
  <c r="AG25" i="83"/>
  <c r="AG46" i="83"/>
  <c r="AH46" i="83"/>
  <c r="AM18" i="83"/>
  <c r="AG13" i="83"/>
  <c r="AH13" i="83"/>
  <c r="AM26" i="83"/>
  <c r="AH40" i="83"/>
  <c r="AG40" i="83"/>
  <c r="AM21" i="83"/>
  <c r="AM31" i="83"/>
  <c r="AH16" i="83"/>
  <c r="AG16" i="83"/>
  <c r="AM12" i="83"/>
  <c r="AH61" i="83"/>
  <c r="AG61" i="83"/>
  <c r="AM20" i="83"/>
  <c r="AM50" i="83"/>
  <c r="AH36" i="83"/>
  <c r="AG36" i="83"/>
  <c r="AM17" i="83"/>
  <c r="AM27" i="83"/>
  <c r="AM38" i="83"/>
  <c r="AM11" i="83"/>
  <c r="AM49" i="83"/>
  <c r="AH29" i="83"/>
  <c r="AG29" i="83"/>
  <c r="AM14" i="83"/>
  <c r="AH45" i="83"/>
  <c r="AG45" i="83"/>
  <c r="AM39" i="83"/>
  <c r="AM37" i="83"/>
  <c r="AM42" i="83"/>
  <c r="AM19" i="83"/>
  <c r="AM8" i="83"/>
  <c r="AM9" i="83"/>
  <c r="AM41" i="83"/>
  <c r="AM15" i="83"/>
  <c r="AM40" i="83"/>
  <c r="AG21" i="83"/>
  <c r="AH21" i="83"/>
  <c r="AG31" i="83"/>
  <c r="AH31" i="83"/>
  <c r="AM16" i="83"/>
  <c r="AG12" i="83"/>
  <c r="AH12" i="83"/>
  <c r="AM43" i="83"/>
  <c r="AM10" i="83"/>
  <c r="AM36" i="83"/>
  <c r="AG17" i="83"/>
  <c r="AH17" i="83"/>
  <c r="AG27" i="83"/>
  <c r="AH27" i="83"/>
  <c r="AH38" i="83"/>
  <c r="AG38" i="83"/>
  <c r="AG11" i="83"/>
  <c r="AH11" i="83"/>
  <c r="AM47" i="83"/>
  <c r="AM23" i="83"/>
  <c r="AM45" i="83"/>
  <c r="AH39" i="83"/>
  <c r="AG39" i="83"/>
  <c r="AG37" i="83"/>
  <c r="AH37" i="83"/>
  <c r="AH42" i="83"/>
  <c r="AG42" i="83"/>
  <c r="AG19" i="83"/>
  <c r="AH19" i="83"/>
  <c r="AG8" i="83"/>
  <c r="AH8" i="83"/>
  <c r="AG9" i="83"/>
  <c r="AH9" i="83"/>
  <c r="AG41" i="83"/>
  <c r="AH41" i="83"/>
  <c r="AG15" i="83"/>
  <c r="AH15" i="83"/>
  <c r="AM35" i="83"/>
  <c r="AM33" i="83"/>
  <c r="AM34" i="83"/>
  <c r="AM24" i="83"/>
  <c r="AM7" i="83"/>
  <c r="U16" i="83" a="1"/>
  <c r="U16" i="83" s="1"/>
  <c r="U12" i="83"/>
  <c r="V12" i="83" s="1"/>
  <c r="U10" i="83"/>
  <c r="V10" i="83" s="1"/>
  <c r="U8" i="83"/>
  <c r="R16" i="83" a="1"/>
  <c r="R16" i="83" s="1"/>
  <c r="R9" i="83"/>
  <c r="O16" i="83" a="1"/>
  <c r="O16" i="83" s="1"/>
  <c r="O12" i="83"/>
  <c r="O10" i="83"/>
  <c r="O8" i="83"/>
  <c r="R13" i="83"/>
  <c r="S13" i="83" s="1"/>
  <c r="U13" i="83"/>
  <c r="V13" i="83" s="1"/>
  <c r="U11" i="83"/>
  <c r="V11" i="83" s="1"/>
  <c r="U9" i="83"/>
  <c r="V9" i="83" s="1"/>
  <c r="R12" i="83"/>
  <c r="R11" i="83"/>
  <c r="O13" i="83"/>
  <c r="O11" i="83"/>
  <c r="O9" i="83"/>
  <c r="R8" i="83"/>
  <c r="R10" i="83"/>
  <c r="AG43" i="83"/>
  <c r="AH43" i="83"/>
  <c r="AG10" i="83"/>
  <c r="AH10" i="83"/>
  <c r="AM48" i="83"/>
  <c r="AM32" i="83"/>
  <c r="AH30" i="83"/>
  <c r="AG30" i="83"/>
  <c r="AH22" i="83"/>
  <c r="AG22" i="83"/>
  <c r="AM28" i="83"/>
  <c r="AH47" i="83"/>
  <c r="AG47" i="83"/>
  <c r="AG23" i="83"/>
  <c r="AH23" i="83"/>
  <c r="AH44" i="83"/>
  <c r="AG44" i="83"/>
  <c r="AM25" i="83"/>
  <c r="AM46" i="83"/>
  <c r="AH18" i="83"/>
  <c r="AG18" i="83"/>
  <c r="AM13" i="83"/>
  <c r="AH26" i="83"/>
  <c r="AG26" i="83"/>
  <c r="AH35" i="83"/>
  <c r="AG35" i="83"/>
  <c r="AG33" i="83"/>
  <c r="AH33" i="83"/>
  <c r="AH34" i="83"/>
  <c r="AG34" i="83"/>
  <c r="AH24" i="83"/>
  <c r="AG24" i="83"/>
  <c r="AG7" i="83"/>
  <c r="AH7" i="83"/>
  <c r="AM61" i="83"/>
  <c r="AH20" i="83"/>
  <c r="AG20" i="83"/>
  <c r="AH48" i="83"/>
  <c r="AG48" i="83"/>
  <c r="AH32" i="83"/>
  <c r="AG32" i="83"/>
  <c r="AM30" i="83"/>
  <c r="AM22" i="83"/>
  <c r="AH28" i="83"/>
  <c r="AG28" i="83"/>
  <c r="AH49" i="83"/>
  <c r="AG49" i="83"/>
  <c r="AM29" i="83"/>
  <c r="AG14" i="83"/>
  <c r="AH14" i="83"/>
  <c r="BD8" i="83"/>
  <c r="BD10" i="83"/>
  <c r="BC11" i="83"/>
  <c r="CB58" i="5"/>
  <c r="CC53" i="5"/>
  <c r="BC16" i="85" l="1"/>
  <c r="BD15" i="85"/>
  <c r="BF14" i="85"/>
  <c r="BI14" i="85"/>
  <c r="BH14" i="85"/>
  <c r="BG14" i="85"/>
  <c r="BI13" i="84"/>
  <c r="BH13" i="84"/>
  <c r="BG13" i="84"/>
  <c r="BF13" i="84"/>
  <c r="BD14" i="84"/>
  <c r="BC15" i="84"/>
  <c r="BI8" i="83"/>
  <c r="BF8" i="83"/>
  <c r="BH8" i="83"/>
  <c r="BG8" i="83"/>
  <c r="BH9" i="83"/>
  <c r="BI9" i="83"/>
  <c r="BF9" i="83"/>
  <c r="BG9" i="83"/>
  <c r="BG10" i="83"/>
  <c r="BH10" i="83"/>
  <c r="BI10" i="83"/>
  <c r="BF10" i="83"/>
  <c r="BI7" i="83"/>
  <c r="BH7" i="83"/>
  <c r="BG7" i="83"/>
  <c r="BF7" i="83"/>
  <c r="AA10" i="83"/>
  <c r="R14" i="83"/>
  <c r="S11" i="83" s="1"/>
  <c r="AA12" i="83"/>
  <c r="U14" i="83"/>
  <c r="V8" i="83"/>
  <c r="AA13" i="83"/>
  <c r="BD11" i="83"/>
  <c r="BC12" i="83"/>
  <c r="AA9" i="83"/>
  <c r="S12" i="83"/>
  <c r="AA11" i="83"/>
  <c r="O14" i="83"/>
  <c r="P11" i="83" s="1"/>
  <c r="AA8" i="83"/>
  <c r="S9" i="83"/>
  <c r="BZ57" i="5"/>
  <c r="CC62" i="5" s="1"/>
  <c r="V12" i="10" s="1"/>
  <c r="BZ56" i="5"/>
  <c r="CC61" i="5" s="1"/>
  <c r="CC63" i="5" l="1"/>
  <c r="V11" i="10"/>
  <c r="V14" i="10" s="1"/>
  <c r="V13" i="10" s="1"/>
  <c r="BG15" i="85"/>
  <c r="BF15" i="85"/>
  <c r="BI15" i="85"/>
  <c r="BH15" i="85"/>
  <c r="BC17" i="85"/>
  <c r="BD16" i="85"/>
  <c r="BD15" i="84"/>
  <c r="BC16" i="84"/>
  <c r="BH14" i="84"/>
  <c r="BF14" i="84"/>
  <c r="BI14" i="84"/>
  <c r="BG14" i="84"/>
  <c r="BF11" i="83"/>
  <c r="BG11" i="83"/>
  <c r="BI11" i="83"/>
  <c r="BH11" i="83"/>
  <c r="S10" i="83"/>
  <c r="P13" i="83"/>
  <c r="P12" i="83"/>
  <c r="P8" i="83"/>
  <c r="BD12" i="83"/>
  <c r="BC13" i="83"/>
  <c r="S14" i="83"/>
  <c r="R5" i="83"/>
  <c r="AA14" i="83"/>
  <c r="P14" i="83"/>
  <c r="O5" i="83"/>
  <c r="P9" i="83"/>
  <c r="U5" i="83"/>
  <c r="V14" i="83"/>
  <c r="S8" i="83"/>
  <c r="P10" i="83"/>
  <c r="BZ58" i="5"/>
  <c r="C68" i="81"/>
  <c r="B68" i="81" s="1"/>
  <c r="AH67" i="81"/>
  <c r="AG67" i="81"/>
  <c r="AF67" i="81"/>
  <c r="AH66" i="81"/>
  <c r="AG66" i="81"/>
  <c r="AF66" i="81"/>
  <c r="AH65" i="81"/>
  <c r="AG65" i="81"/>
  <c r="AF65" i="81"/>
  <c r="AH64" i="81"/>
  <c r="AG64" i="81"/>
  <c r="AF64" i="81"/>
  <c r="AV63" i="81"/>
  <c r="AH63" i="81"/>
  <c r="AG63" i="81"/>
  <c r="AF63" i="81"/>
  <c r="AV62" i="81"/>
  <c r="AH62" i="81"/>
  <c r="AG62" i="81"/>
  <c r="AF62" i="81"/>
  <c r="G62" i="81"/>
  <c r="AV61" i="81"/>
  <c r="AV60" i="81"/>
  <c r="AH60" i="81"/>
  <c r="AG60" i="81"/>
  <c r="AF60" i="81"/>
  <c r="AF61" i="81" s="1"/>
  <c r="G60" i="81"/>
  <c r="E60" i="81" s="1"/>
  <c r="AV59" i="81"/>
  <c r="AH59" i="81"/>
  <c r="AG59" i="81"/>
  <c r="AF59" i="81"/>
  <c r="G59" i="81"/>
  <c r="E59" i="81" s="1"/>
  <c r="AV58" i="81"/>
  <c r="AH58" i="81"/>
  <c r="AG58" i="81"/>
  <c r="AF58" i="81"/>
  <c r="G58" i="81"/>
  <c r="AV57" i="81"/>
  <c r="AH57" i="81"/>
  <c r="AG57" i="81"/>
  <c r="AF57" i="81"/>
  <c r="G57" i="81"/>
  <c r="AV56" i="81"/>
  <c r="AH56" i="81"/>
  <c r="AG56" i="81"/>
  <c r="AF56" i="81"/>
  <c r="G56" i="81"/>
  <c r="AV55" i="81"/>
  <c r="AH55" i="81"/>
  <c r="AG55" i="81"/>
  <c r="AF55" i="81"/>
  <c r="G55" i="81"/>
  <c r="AV54" i="81"/>
  <c r="AH54" i="81"/>
  <c r="AG54" i="81"/>
  <c r="AF54" i="81"/>
  <c r="G54" i="81"/>
  <c r="AV53" i="81"/>
  <c r="AH53" i="81"/>
  <c r="AG53" i="81"/>
  <c r="AF53" i="81"/>
  <c r="G53" i="81"/>
  <c r="AV52" i="81"/>
  <c r="AH52" i="81"/>
  <c r="AG52" i="81"/>
  <c r="AF52" i="81"/>
  <c r="AV51" i="81"/>
  <c r="AH51" i="81"/>
  <c r="AG51" i="81"/>
  <c r="AF51" i="81"/>
  <c r="AV50" i="81"/>
  <c r="AV49" i="81"/>
  <c r="AV48" i="81"/>
  <c r="AV47" i="81"/>
  <c r="AV46" i="81"/>
  <c r="AV45" i="81"/>
  <c r="AV44" i="81"/>
  <c r="AV43" i="81"/>
  <c r="AV42" i="81"/>
  <c r="AV41" i="81"/>
  <c r="AV40" i="81"/>
  <c r="AV39" i="81"/>
  <c r="AV38" i="81"/>
  <c r="AV37" i="81"/>
  <c r="AV36" i="81"/>
  <c r="AV35" i="81"/>
  <c r="AV34" i="81"/>
  <c r="AV33" i="81"/>
  <c r="AV32" i="81"/>
  <c r="AV31" i="81"/>
  <c r="AV30" i="81"/>
  <c r="AV29" i="81"/>
  <c r="AV28" i="81"/>
  <c r="AV27" i="81"/>
  <c r="AV26" i="81"/>
  <c r="AV25" i="81"/>
  <c r="AV24" i="81"/>
  <c r="AV23" i="81"/>
  <c r="AV22" i="81"/>
  <c r="AV21" i="81"/>
  <c r="AV20" i="81"/>
  <c r="AV19" i="81"/>
  <c r="AV18" i="81"/>
  <c r="AV17" i="81"/>
  <c r="AV16" i="81"/>
  <c r="L16" i="81" a="1"/>
  <c r="L16" i="81" s="1"/>
  <c r="AV15" i="81"/>
  <c r="AV14" i="81"/>
  <c r="AV13" i="81"/>
  <c r="L13" i="81"/>
  <c r="AV12" i="81"/>
  <c r="L12" i="81"/>
  <c r="AV11" i="81"/>
  <c r="L11" i="81"/>
  <c r="AV10" i="81"/>
  <c r="L10" i="81"/>
  <c r="AV9" i="81"/>
  <c r="L9" i="81"/>
  <c r="AV8" i="81"/>
  <c r="L8" i="81"/>
  <c r="BC7" i="81"/>
  <c r="AV7" i="81"/>
  <c r="AF7" i="81"/>
  <c r="AF8" i="81" s="1"/>
  <c r="AF9" i="81" s="1"/>
  <c r="AF10" i="81" s="1"/>
  <c r="AF11" i="81" s="1"/>
  <c r="AF12" i="81" s="1"/>
  <c r="AF13" i="81" s="1"/>
  <c r="AF14" i="81" s="1"/>
  <c r="AF15" i="81" s="1"/>
  <c r="AF16" i="81" s="1"/>
  <c r="AF17" i="81" s="1"/>
  <c r="AF18" i="81" s="1"/>
  <c r="AF19" i="81" s="1"/>
  <c r="AF20" i="81" s="1"/>
  <c r="AF21" i="81" s="1"/>
  <c r="AF22" i="81" s="1"/>
  <c r="AF23" i="81" s="1"/>
  <c r="AF24" i="81" s="1"/>
  <c r="AF25" i="81" s="1"/>
  <c r="AF26" i="81" s="1"/>
  <c r="AF27" i="81" s="1"/>
  <c r="AF28" i="81" s="1"/>
  <c r="AF29" i="81" s="1"/>
  <c r="AF30" i="81" s="1"/>
  <c r="AF31" i="81" s="1"/>
  <c r="AF32" i="81" s="1"/>
  <c r="AF33" i="81" s="1"/>
  <c r="AF34" i="81" s="1"/>
  <c r="AF35" i="81" s="1"/>
  <c r="AF36" i="81" s="1"/>
  <c r="AF37" i="81" s="1"/>
  <c r="AF38" i="81" s="1"/>
  <c r="AF39" i="81" s="1"/>
  <c r="AF40" i="81" s="1"/>
  <c r="AF41" i="81" s="1"/>
  <c r="AF42" i="81" s="1"/>
  <c r="AF43" i="81" s="1"/>
  <c r="AF44" i="81" s="1"/>
  <c r="AF45" i="81" s="1"/>
  <c r="AF46" i="81" s="1"/>
  <c r="AF47" i="81" s="1"/>
  <c r="AF48" i="81" s="1"/>
  <c r="AF49" i="81" s="1"/>
  <c r="AF50" i="81" s="1"/>
  <c r="AL4" i="81"/>
  <c r="AL2" i="81" s="1"/>
  <c r="AK4" i="81"/>
  <c r="AK2" i="81" s="1"/>
  <c r="AJ4" i="81"/>
  <c r="AJ2" i="81" s="1"/>
  <c r="G3" i="81"/>
  <c r="E2" i="81"/>
  <c r="E3" i="81" s="1"/>
  <c r="A1" i="81"/>
  <c r="AJ30" i="81"/>
  <c r="E6" i="81"/>
  <c r="G7" i="81"/>
  <c r="AJ12" i="81"/>
  <c r="G39" i="81"/>
  <c r="AW11" i="81" l="1"/>
  <c r="AX11" i="81" s="1"/>
  <c r="AW8" i="81"/>
  <c r="AX8" i="81" s="1"/>
  <c r="AW20" i="81"/>
  <c r="AX20" i="81" s="1"/>
  <c r="BH16" i="85"/>
  <c r="BG16" i="85"/>
  <c r="BI16" i="85"/>
  <c r="BF16" i="85"/>
  <c r="BD17" i="85"/>
  <c r="BC18" i="85"/>
  <c r="BC17" i="84"/>
  <c r="BD16" i="84"/>
  <c r="BI15" i="84"/>
  <c r="BH15" i="84"/>
  <c r="BG15" i="84"/>
  <c r="BF15" i="84"/>
  <c r="BI12" i="83"/>
  <c r="BF12" i="83"/>
  <c r="BG12" i="83"/>
  <c r="BH12" i="83"/>
  <c r="BC14" i="83"/>
  <c r="BD13" i="83"/>
  <c r="L14" i="81"/>
  <c r="M11" i="81" s="1"/>
  <c r="M10" i="81"/>
  <c r="AW12" i="81"/>
  <c r="AX12" i="81" s="1"/>
  <c r="AW22" i="81"/>
  <c r="AX22" i="81" s="1"/>
  <c r="AW49" i="81"/>
  <c r="AW13" i="81"/>
  <c r="AX13" i="81" s="1"/>
  <c r="AW25" i="81"/>
  <c r="AX25" i="81" s="1"/>
  <c r="AW9" i="81"/>
  <c r="AX9" i="81" s="1"/>
  <c r="M13" i="81"/>
  <c r="AW23" i="81"/>
  <c r="AX23" i="81" s="1"/>
  <c r="AW24" i="81"/>
  <c r="AX24" i="81" s="1"/>
  <c r="L5" i="81"/>
  <c r="BC8" i="81"/>
  <c r="M8" i="81"/>
  <c r="M9" i="81"/>
  <c r="AW15" i="81"/>
  <c r="AX15" i="81" s="1"/>
  <c r="AW17" i="81"/>
  <c r="AX17" i="81" s="1"/>
  <c r="AW19" i="81"/>
  <c r="AX19" i="81" s="1"/>
  <c r="AW35" i="81"/>
  <c r="AX35" i="81" s="1"/>
  <c r="AW37" i="81"/>
  <c r="AX37" i="81" s="1"/>
  <c r="AW33" i="81"/>
  <c r="AX33" i="81" s="1"/>
  <c r="AW51" i="81"/>
  <c r="AX51" i="81" s="1"/>
  <c r="AW59" i="81"/>
  <c r="AX59" i="81" s="1"/>
  <c r="AW62" i="81"/>
  <c r="AX62" i="81" s="1"/>
  <c r="AW21" i="81"/>
  <c r="AW26" i="81"/>
  <c r="AX26" i="81" s="1"/>
  <c r="AW29" i="81"/>
  <c r="AX29" i="81" s="1"/>
  <c r="AW31" i="81"/>
  <c r="AX31" i="81" s="1"/>
  <c r="AW41" i="81"/>
  <c r="AX41" i="81" s="1"/>
  <c r="AW61" i="81"/>
  <c r="AX61" i="81" s="1"/>
  <c r="AW47" i="81"/>
  <c r="AX47" i="81" s="1"/>
  <c r="AW63" i="81"/>
  <c r="AX63" i="81" s="1"/>
  <c r="AW58" i="81"/>
  <c r="AX58" i="81" s="1"/>
  <c r="AW56" i="81"/>
  <c r="AX56" i="81" s="1"/>
  <c r="AW54" i="81"/>
  <c r="AX54" i="81" s="1"/>
  <c r="AW52" i="81"/>
  <c r="AX52" i="81" s="1"/>
  <c r="AW45" i="81"/>
  <c r="AW43" i="81"/>
  <c r="AX43" i="81" s="1"/>
  <c r="AW40" i="81"/>
  <c r="AX40" i="81" s="1"/>
  <c r="AW36" i="81"/>
  <c r="AX36" i="81" s="1"/>
  <c r="AW32" i="81"/>
  <c r="AX32" i="81" s="1"/>
  <c r="AW28" i="81"/>
  <c r="AX28" i="81" s="1"/>
  <c r="AW10" i="81"/>
  <c r="AX10" i="81" s="1"/>
  <c r="AW16" i="81"/>
  <c r="AX16" i="81" s="1"/>
  <c r="AW7" i="81"/>
  <c r="AX7" i="81" s="1"/>
  <c r="C77" i="81"/>
  <c r="Y14" i="81"/>
  <c r="AW14" i="81"/>
  <c r="AX14" i="81" s="1"/>
  <c r="AW18" i="81"/>
  <c r="AX18" i="81" s="1"/>
  <c r="AX21" i="81"/>
  <c r="AW27" i="81"/>
  <c r="AX27" i="81" s="1"/>
  <c r="AW39" i="81"/>
  <c r="AX39" i="81" s="1"/>
  <c r="AX45" i="81"/>
  <c r="AW30" i="81"/>
  <c r="AX30" i="81" s="1"/>
  <c r="AW34" i="81"/>
  <c r="AX34" i="81" s="1"/>
  <c r="AW38" i="81"/>
  <c r="AX38" i="81" s="1"/>
  <c r="AW42" i="81"/>
  <c r="AX42" i="81" s="1"/>
  <c r="AW44" i="81"/>
  <c r="AX44" i="81" s="1"/>
  <c r="AW46" i="81"/>
  <c r="AX46" i="81" s="1"/>
  <c r="AW48" i="81"/>
  <c r="AX48" i="81" s="1"/>
  <c r="AX49" i="81"/>
  <c r="AW50" i="81"/>
  <c r="AX50" i="81" s="1"/>
  <c r="AW53" i="81"/>
  <c r="AX53" i="81" s="1"/>
  <c r="AW55" i="81"/>
  <c r="AX55" i="81" s="1"/>
  <c r="AW57" i="81"/>
  <c r="AX57" i="81" s="1"/>
  <c r="AW60" i="81"/>
  <c r="AX60" i="81" s="1"/>
  <c r="C68" i="80"/>
  <c r="B68" i="80" s="1"/>
  <c r="AH67" i="80"/>
  <c r="AG67" i="80"/>
  <c r="AF67" i="80"/>
  <c r="AH66" i="80"/>
  <c r="AG66" i="80"/>
  <c r="AF66" i="80"/>
  <c r="AH65" i="80"/>
  <c r="AG65" i="80"/>
  <c r="AF65" i="80"/>
  <c r="AH64" i="80"/>
  <c r="AG64" i="80"/>
  <c r="AF64" i="80"/>
  <c r="AV63" i="80"/>
  <c r="AH63" i="80"/>
  <c r="AG63" i="80"/>
  <c r="AF63" i="80"/>
  <c r="AV62" i="80"/>
  <c r="AH62" i="80"/>
  <c r="AG62" i="80"/>
  <c r="AF62" i="80"/>
  <c r="G62" i="80"/>
  <c r="AV61" i="80"/>
  <c r="AV60" i="80"/>
  <c r="AH60" i="80"/>
  <c r="AG60" i="80"/>
  <c r="AF60" i="80"/>
  <c r="AF61" i="80" s="1"/>
  <c r="G60" i="80"/>
  <c r="E60" i="80" s="1"/>
  <c r="AV59" i="80"/>
  <c r="AH59" i="80"/>
  <c r="AG59" i="80"/>
  <c r="AF59" i="80"/>
  <c r="G59" i="80"/>
  <c r="E59" i="80" s="1"/>
  <c r="AV58" i="80"/>
  <c r="AH58" i="80"/>
  <c r="AG58" i="80"/>
  <c r="AF58" i="80"/>
  <c r="G58" i="80"/>
  <c r="AV57" i="80"/>
  <c r="AH57" i="80"/>
  <c r="AG57" i="80"/>
  <c r="AF57" i="80"/>
  <c r="G57" i="80"/>
  <c r="AV56" i="80"/>
  <c r="AH56" i="80"/>
  <c r="AG56" i="80"/>
  <c r="AF56" i="80"/>
  <c r="G56" i="80"/>
  <c r="AV55" i="80"/>
  <c r="AH55" i="80"/>
  <c r="AG55" i="80"/>
  <c r="AF55" i="80"/>
  <c r="G55" i="80"/>
  <c r="AV54" i="80"/>
  <c r="AH54" i="80"/>
  <c r="AG54" i="80"/>
  <c r="AF54" i="80"/>
  <c r="G54" i="80"/>
  <c r="AV53" i="80"/>
  <c r="AH53" i="80"/>
  <c r="AG53" i="80"/>
  <c r="AF53" i="80"/>
  <c r="G53" i="80"/>
  <c r="AV52" i="80"/>
  <c r="AH52" i="80"/>
  <c r="AG52" i="80"/>
  <c r="AF52" i="80"/>
  <c r="AV51" i="80"/>
  <c r="AH51" i="80"/>
  <c r="AG51" i="80"/>
  <c r="AF51" i="80"/>
  <c r="AV50" i="80"/>
  <c r="AV49" i="80"/>
  <c r="AV48" i="80"/>
  <c r="AV47" i="80"/>
  <c r="AV46" i="80"/>
  <c r="AV45" i="80"/>
  <c r="AV44" i="80"/>
  <c r="AV43" i="80"/>
  <c r="AV42" i="80"/>
  <c r="AV41" i="80"/>
  <c r="AV40" i="80"/>
  <c r="AV39" i="80"/>
  <c r="AV38" i="80"/>
  <c r="AV37" i="80"/>
  <c r="AV36" i="80"/>
  <c r="AV35" i="80"/>
  <c r="AV34" i="80"/>
  <c r="AV33" i="80"/>
  <c r="AV32" i="80"/>
  <c r="AV31" i="80"/>
  <c r="AV30" i="80"/>
  <c r="AV29" i="80"/>
  <c r="AV28" i="80"/>
  <c r="AV27" i="80"/>
  <c r="AV26" i="80"/>
  <c r="AV25" i="80"/>
  <c r="AV24" i="80"/>
  <c r="AV23" i="80"/>
  <c r="AV22" i="80"/>
  <c r="AV21" i="80"/>
  <c r="AV20" i="80"/>
  <c r="AV19" i="80"/>
  <c r="AV18" i="80"/>
  <c r="AV17" i="80"/>
  <c r="AV16" i="80"/>
  <c r="L16" i="80" a="1"/>
  <c r="L16" i="80" s="1"/>
  <c r="AV15" i="80"/>
  <c r="AV14" i="80"/>
  <c r="AV13" i="80"/>
  <c r="L13" i="80"/>
  <c r="AV12" i="80"/>
  <c r="L12" i="80"/>
  <c r="AV11" i="80"/>
  <c r="L11" i="80"/>
  <c r="AV10" i="80"/>
  <c r="L10" i="80"/>
  <c r="AV9" i="80"/>
  <c r="L9" i="80"/>
  <c r="AV8" i="80"/>
  <c r="L8" i="80"/>
  <c r="BC7" i="80"/>
  <c r="AV7" i="80"/>
  <c r="AF7" i="80"/>
  <c r="AF8" i="80" s="1"/>
  <c r="AF9" i="80" s="1"/>
  <c r="AF10" i="80" s="1"/>
  <c r="AF11" i="80" s="1"/>
  <c r="AF12" i="80" s="1"/>
  <c r="AF13" i="80" s="1"/>
  <c r="AF14" i="80" s="1"/>
  <c r="AF15" i="80" s="1"/>
  <c r="AF16" i="80" s="1"/>
  <c r="AF17" i="80" s="1"/>
  <c r="AF18" i="80" s="1"/>
  <c r="AF19" i="80" s="1"/>
  <c r="AF20" i="80" s="1"/>
  <c r="AF21" i="80" s="1"/>
  <c r="AF22" i="80" s="1"/>
  <c r="AF23" i="80" s="1"/>
  <c r="AF24" i="80" s="1"/>
  <c r="AF25" i="80" s="1"/>
  <c r="AF26" i="80" s="1"/>
  <c r="AF27" i="80" s="1"/>
  <c r="AF28" i="80" s="1"/>
  <c r="AF29" i="80" s="1"/>
  <c r="AF30" i="80" s="1"/>
  <c r="AF31" i="80" s="1"/>
  <c r="AF32" i="80" s="1"/>
  <c r="AF33" i="80" s="1"/>
  <c r="AF34" i="80" s="1"/>
  <c r="AF35" i="80" s="1"/>
  <c r="AF36" i="80" s="1"/>
  <c r="AF37" i="80" s="1"/>
  <c r="AF38" i="80" s="1"/>
  <c r="AF39" i="80" s="1"/>
  <c r="AF40" i="80" s="1"/>
  <c r="AF41" i="80" s="1"/>
  <c r="AF42" i="80" s="1"/>
  <c r="AF43" i="80" s="1"/>
  <c r="AF44" i="80" s="1"/>
  <c r="AF45" i="80" s="1"/>
  <c r="AF46" i="80" s="1"/>
  <c r="AF47" i="80" s="1"/>
  <c r="AF48" i="80" s="1"/>
  <c r="AF49" i="80" s="1"/>
  <c r="AF50" i="80" s="1"/>
  <c r="AL4" i="80"/>
  <c r="AK4" i="80"/>
  <c r="AK2" i="80" s="1"/>
  <c r="AJ4" i="80"/>
  <c r="AJ2" i="80" s="1"/>
  <c r="G3" i="80"/>
  <c r="AL2" i="80"/>
  <c r="E2" i="80"/>
  <c r="E3" i="80" s="1"/>
  <c r="A1" i="80"/>
  <c r="AJ27" i="81"/>
  <c r="AJ36" i="81"/>
  <c r="G61" i="81"/>
  <c r="G48" i="81"/>
  <c r="G25" i="81"/>
  <c r="AJ40" i="81"/>
  <c r="G50" i="81"/>
  <c r="G28" i="81"/>
  <c r="G16" i="81"/>
  <c r="AJ38" i="81"/>
  <c r="G32" i="81"/>
  <c r="AJ54" i="81"/>
  <c r="AK12" i="81"/>
  <c r="AJ14" i="81"/>
  <c r="AJ58" i="81"/>
  <c r="G9" i="81"/>
  <c r="AJ57" i="81"/>
  <c r="AJ48" i="81"/>
  <c r="G37" i="81"/>
  <c r="AJ13" i="81"/>
  <c r="AJ63" i="81"/>
  <c r="AJ32" i="81"/>
  <c r="G14" i="81"/>
  <c r="G15" i="81"/>
  <c r="AJ56" i="81"/>
  <c r="AJ61" i="81"/>
  <c r="G34" i="81"/>
  <c r="G35" i="81"/>
  <c r="G24" i="81"/>
  <c r="AJ34" i="81"/>
  <c r="AJ17" i="81"/>
  <c r="G44" i="81"/>
  <c r="AJ49" i="81"/>
  <c r="G41" i="81"/>
  <c r="G45" i="81"/>
  <c r="G17" i="81"/>
  <c r="AJ29" i="81"/>
  <c r="AJ41" i="81"/>
  <c r="G21" i="81"/>
  <c r="G40" i="81"/>
  <c r="G36" i="81"/>
  <c r="G8" i="81"/>
  <c r="G12" i="81"/>
  <c r="AJ7" i="81"/>
  <c r="AJ18" i="81"/>
  <c r="AJ10" i="81"/>
  <c r="G47" i="81"/>
  <c r="AJ60" i="81"/>
  <c r="AJ55" i="81"/>
  <c r="AJ28" i="81"/>
  <c r="AJ52" i="81"/>
  <c r="AJ31" i="81"/>
  <c r="AJ37" i="81"/>
  <c r="AL30" i="81"/>
  <c r="G18" i="81"/>
  <c r="AJ44" i="81"/>
  <c r="AJ26" i="81"/>
  <c r="AJ16" i="81"/>
  <c r="AJ42" i="81"/>
  <c r="G27" i="81"/>
  <c r="G13" i="81"/>
  <c r="G11" i="81"/>
  <c r="AJ8" i="81"/>
  <c r="AJ21" i="81"/>
  <c r="E6" i="80"/>
  <c r="G49" i="81"/>
  <c r="AJ24" i="81"/>
  <c r="AJ20" i="81"/>
  <c r="AJ19" i="81"/>
  <c r="G20" i="81"/>
  <c r="AJ67" i="81"/>
  <c r="E7" i="81"/>
  <c r="AJ50" i="81"/>
  <c r="E39" i="81"/>
  <c r="G30" i="81"/>
  <c r="AJ65" i="81"/>
  <c r="AJ11" i="81"/>
  <c r="AJ47" i="81"/>
  <c r="AJ15" i="81"/>
  <c r="G38" i="81"/>
  <c r="AJ9" i="81"/>
  <c r="AJ39" i="81"/>
  <c r="AJ53" i="81"/>
  <c r="G42" i="81"/>
  <c r="AJ25" i="81"/>
  <c r="G43" i="81"/>
  <c r="AJ62" i="81"/>
  <c r="G10" i="81"/>
  <c r="AJ33" i="81"/>
  <c r="AJ23" i="81"/>
  <c r="AJ64" i="81"/>
  <c r="AJ66" i="81"/>
  <c r="AJ45" i="81"/>
  <c r="G23" i="81"/>
  <c r="G46" i="81"/>
  <c r="AJ51" i="81"/>
  <c r="AK30" i="81"/>
  <c r="G29" i="81"/>
  <c r="G19" i="81"/>
  <c r="AJ35" i="81"/>
  <c r="G22" i="81"/>
  <c r="AJ22" i="81"/>
  <c r="AJ46" i="81"/>
  <c r="G26" i="81"/>
  <c r="G31" i="81"/>
  <c r="AL12" i="81"/>
  <c r="AJ43" i="81"/>
  <c r="G33" i="81"/>
  <c r="AJ59" i="81"/>
  <c r="BD18" i="85" l="1"/>
  <c r="BC19" i="85"/>
  <c r="BI17" i="85"/>
  <c r="BH17" i="85"/>
  <c r="BG17" i="85"/>
  <c r="BF17" i="85"/>
  <c r="BG16" i="84"/>
  <c r="BF16" i="84"/>
  <c r="BI16" i="84"/>
  <c r="BH16" i="84"/>
  <c r="BC18" i="84"/>
  <c r="BD17" i="84"/>
  <c r="BH13" i="83"/>
  <c r="BI13" i="83"/>
  <c r="BG13" i="83"/>
  <c r="BF13" i="83"/>
  <c r="BD14" i="83"/>
  <c r="BC15" i="83"/>
  <c r="M14" i="81"/>
  <c r="M12" i="81"/>
  <c r="AY42" i="81"/>
  <c r="AL60" i="81"/>
  <c r="AK60" i="81"/>
  <c r="AM60" i="81" s="1"/>
  <c r="AK51" i="81"/>
  <c r="AM51" i="81" s="1"/>
  <c r="AL51" i="81"/>
  <c r="AL52" i="81"/>
  <c r="AK52" i="81"/>
  <c r="AM52" i="81" s="1"/>
  <c r="AL63" i="81"/>
  <c r="AK63" i="81"/>
  <c r="AM63" i="81" s="1"/>
  <c r="AL53" i="81"/>
  <c r="AK53" i="81"/>
  <c r="AM53" i="81" s="1"/>
  <c r="AL67" i="81"/>
  <c r="AK67" i="81"/>
  <c r="AM67" i="81" s="1"/>
  <c r="AK59" i="81"/>
  <c r="AM59" i="81" s="1"/>
  <c r="AL59" i="81"/>
  <c r="AL54" i="81"/>
  <c r="AK54" i="81"/>
  <c r="AM54" i="81" s="1"/>
  <c r="AL65" i="81"/>
  <c r="AK65" i="81"/>
  <c r="AM65" i="81" s="1"/>
  <c r="AM12" i="81"/>
  <c r="AL55" i="81"/>
  <c r="AK55" i="81"/>
  <c r="AM55" i="81" s="1"/>
  <c r="AK62" i="81"/>
  <c r="AM62" i="81" s="1"/>
  <c r="AL62" i="81"/>
  <c r="AL56" i="81"/>
  <c r="AK56" i="81"/>
  <c r="AM56" i="81" s="1"/>
  <c r="AM30" i="81"/>
  <c r="AH12" i="81"/>
  <c r="AG12" i="81"/>
  <c r="AL64" i="81"/>
  <c r="AK64" i="81"/>
  <c r="AM64" i="81" s="1"/>
  <c r="AL57" i="81"/>
  <c r="AK57" i="81"/>
  <c r="AM57" i="81" s="1"/>
  <c r="AK66" i="81"/>
  <c r="AM66" i="81" s="1"/>
  <c r="AL66" i="81"/>
  <c r="AL58" i="81"/>
  <c r="AK58" i="81"/>
  <c r="AM58" i="81" s="1"/>
  <c r="AG30" i="81"/>
  <c r="AH30" i="81"/>
  <c r="AY25" i="81"/>
  <c r="AY50" i="81"/>
  <c r="AY39" i="81"/>
  <c r="AY43" i="81"/>
  <c r="AY61" i="81"/>
  <c r="AY13" i="81"/>
  <c r="AY60" i="81"/>
  <c r="AY38" i="81"/>
  <c r="AY34" i="81"/>
  <c r="AY27" i="81"/>
  <c r="AY14" i="81"/>
  <c r="AY10" i="81"/>
  <c r="AY55" i="81"/>
  <c r="AY48" i="81"/>
  <c r="AY30" i="81"/>
  <c r="AY31" i="81"/>
  <c r="AY9" i="81"/>
  <c r="AY22" i="81"/>
  <c r="AY28" i="81"/>
  <c r="AY57" i="81"/>
  <c r="AY7" i="81"/>
  <c r="AY40" i="81"/>
  <c r="AY54" i="81"/>
  <c r="AY47" i="81"/>
  <c r="AY24" i="81"/>
  <c r="AY20" i="81"/>
  <c r="AY8" i="81"/>
  <c r="AY12" i="81"/>
  <c r="AY46" i="81"/>
  <c r="AY53" i="81"/>
  <c r="AY18" i="81"/>
  <c r="AY56" i="81"/>
  <c r="AY62" i="81"/>
  <c r="AY33" i="81"/>
  <c r="AY35" i="81"/>
  <c r="AY19" i="81"/>
  <c r="AY15" i="81"/>
  <c r="AY49" i="81"/>
  <c r="AY44" i="81"/>
  <c r="AY26" i="81"/>
  <c r="AY16" i="81"/>
  <c r="AY32" i="81"/>
  <c r="AY58" i="81"/>
  <c r="AY41" i="81"/>
  <c r="AY59" i="81"/>
  <c r="AY17" i="81"/>
  <c r="BC9" i="81"/>
  <c r="AY29" i="81"/>
  <c r="AY45" i="81"/>
  <c r="AY21" i="81"/>
  <c r="AY36" i="81"/>
  <c r="AY52" i="81"/>
  <c r="AY63" i="81"/>
  <c r="AY51" i="81"/>
  <c r="AY37" i="81"/>
  <c r="AY23" i="81"/>
  <c r="AY11" i="81"/>
  <c r="AW8" i="80"/>
  <c r="AX8" i="80" s="1"/>
  <c r="AW10" i="80"/>
  <c r="AX10" i="80" s="1"/>
  <c r="AW12" i="80"/>
  <c r="AX12" i="80" s="1"/>
  <c r="AW15" i="80"/>
  <c r="AX15" i="80" s="1"/>
  <c r="AW24" i="80"/>
  <c r="AX24" i="80" s="1"/>
  <c r="AW9" i="80"/>
  <c r="AW11" i="80"/>
  <c r="AX11" i="80" s="1"/>
  <c r="AW13" i="80"/>
  <c r="AX13" i="80" s="1"/>
  <c r="AW16" i="80"/>
  <c r="AX16" i="80" s="1"/>
  <c r="AX9" i="80"/>
  <c r="AW14" i="80"/>
  <c r="AX14" i="80" s="1"/>
  <c r="AW26" i="80"/>
  <c r="AX26" i="80" s="1"/>
  <c r="AW17" i="80"/>
  <c r="AX17" i="80" s="1"/>
  <c r="AW19" i="80"/>
  <c r="AX19" i="80" s="1"/>
  <c r="AW21" i="80"/>
  <c r="AX21" i="80" s="1"/>
  <c r="AW27" i="80"/>
  <c r="AX27" i="80" s="1"/>
  <c r="AW62" i="80"/>
  <c r="AX62" i="80" s="1"/>
  <c r="AW59" i="80"/>
  <c r="AX59" i="80" s="1"/>
  <c r="AW51" i="80"/>
  <c r="AX51" i="80" s="1"/>
  <c r="AW60" i="80"/>
  <c r="AX60" i="80" s="1"/>
  <c r="AW57" i="80"/>
  <c r="AX57" i="80" s="1"/>
  <c r="AW55" i="80"/>
  <c r="AX55" i="80" s="1"/>
  <c r="AW53" i="80"/>
  <c r="AX53" i="80" s="1"/>
  <c r="AW43" i="80"/>
  <c r="AX43" i="80" s="1"/>
  <c r="AW42" i="80"/>
  <c r="AX42" i="80" s="1"/>
  <c r="AW38" i="80"/>
  <c r="AX38" i="80" s="1"/>
  <c r="AW34" i="80"/>
  <c r="AW30" i="80"/>
  <c r="AX30" i="80" s="1"/>
  <c r="AW25" i="80"/>
  <c r="AX25" i="80" s="1"/>
  <c r="AW47" i="80"/>
  <c r="AX47" i="80" s="1"/>
  <c r="AW39" i="80"/>
  <c r="AX39" i="80" s="1"/>
  <c r="AW35" i="80"/>
  <c r="AX35" i="80" s="1"/>
  <c r="AW31" i="80"/>
  <c r="AX31" i="80" s="1"/>
  <c r="BC8" i="80"/>
  <c r="L14" i="80"/>
  <c r="C77" i="80" s="1"/>
  <c r="AW7" i="80"/>
  <c r="AX7" i="80" s="1"/>
  <c r="AW18" i="80"/>
  <c r="AX18" i="80" s="1"/>
  <c r="AW20" i="80"/>
  <c r="AX20" i="80" s="1"/>
  <c r="AW22" i="80"/>
  <c r="AX22" i="80" s="1"/>
  <c r="AW23" i="80"/>
  <c r="AX23" i="80" s="1"/>
  <c r="AW29" i="80"/>
  <c r="AX29" i="80" s="1"/>
  <c r="AW33" i="80"/>
  <c r="AX33" i="80" s="1"/>
  <c r="AW37" i="80"/>
  <c r="AX37" i="80" s="1"/>
  <c r="AW41" i="80"/>
  <c r="AX41" i="80" s="1"/>
  <c r="AX34" i="80"/>
  <c r="AW28" i="80"/>
  <c r="AX28" i="80" s="1"/>
  <c r="AW32" i="80"/>
  <c r="AX32" i="80" s="1"/>
  <c r="AW36" i="80"/>
  <c r="AX36" i="80" s="1"/>
  <c r="AW40" i="80"/>
  <c r="AX40" i="80" s="1"/>
  <c r="AW45" i="80"/>
  <c r="AX45" i="80" s="1"/>
  <c r="AW48" i="80"/>
  <c r="AX48" i="80" s="1"/>
  <c r="AW46" i="80"/>
  <c r="AX46" i="80" s="1"/>
  <c r="AW61" i="80"/>
  <c r="AX61" i="80" s="1"/>
  <c r="AW44" i="80"/>
  <c r="AX44" i="80" s="1"/>
  <c r="AW49" i="80"/>
  <c r="AX49" i="80" s="1"/>
  <c r="AW52" i="80"/>
  <c r="AX52" i="80" s="1"/>
  <c r="AW54" i="80"/>
  <c r="AX54" i="80" s="1"/>
  <c r="AW56" i="80"/>
  <c r="AX56" i="80" s="1"/>
  <c r="AW58" i="80"/>
  <c r="AX58" i="80" s="1"/>
  <c r="AW63" i="80"/>
  <c r="AX63" i="80" s="1"/>
  <c r="AW50" i="80"/>
  <c r="AX50" i="80" s="1"/>
  <c r="C68" i="79"/>
  <c r="B68" i="79" s="1"/>
  <c r="AH67" i="79"/>
  <c r="AG67" i="79"/>
  <c r="AF67" i="79"/>
  <c r="AH66" i="79"/>
  <c r="AG66" i="79"/>
  <c r="AF66" i="79"/>
  <c r="AH65" i="79"/>
  <c r="AG65" i="79"/>
  <c r="AF65" i="79"/>
  <c r="AH64" i="79"/>
  <c r="AG64" i="79"/>
  <c r="AF64" i="79"/>
  <c r="AV63" i="79"/>
  <c r="AH63" i="79"/>
  <c r="AG63" i="79"/>
  <c r="AF63" i="79"/>
  <c r="AV62" i="79"/>
  <c r="AH62" i="79"/>
  <c r="AG62" i="79"/>
  <c r="AF62" i="79"/>
  <c r="G62" i="79"/>
  <c r="AV61" i="79"/>
  <c r="AV60" i="79"/>
  <c r="AH60" i="79"/>
  <c r="AG60" i="79"/>
  <c r="AF60" i="79"/>
  <c r="AF61" i="79" s="1"/>
  <c r="G60" i="79"/>
  <c r="E60" i="79" s="1"/>
  <c r="AV59" i="79"/>
  <c r="AH59" i="79"/>
  <c r="AG59" i="79"/>
  <c r="AF59" i="79"/>
  <c r="G59" i="79"/>
  <c r="E59" i="79" s="1"/>
  <c r="AV58" i="79"/>
  <c r="AH58" i="79"/>
  <c r="AG58" i="79"/>
  <c r="AF58" i="79"/>
  <c r="G58" i="79"/>
  <c r="AV57" i="79"/>
  <c r="AH57" i="79"/>
  <c r="AG57" i="79"/>
  <c r="AF57" i="79"/>
  <c r="G57" i="79"/>
  <c r="AV56" i="79"/>
  <c r="AH56" i="79"/>
  <c r="AG56" i="79"/>
  <c r="AF56" i="79"/>
  <c r="G56" i="79"/>
  <c r="AV55" i="79"/>
  <c r="AH55" i="79"/>
  <c r="AG55" i="79"/>
  <c r="AF55" i="79"/>
  <c r="G55" i="79"/>
  <c r="AV54" i="79"/>
  <c r="AH54" i="79"/>
  <c r="AG54" i="79"/>
  <c r="AF54" i="79"/>
  <c r="G54" i="79"/>
  <c r="AV53" i="79"/>
  <c r="AH53" i="79"/>
  <c r="AG53" i="79"/>
  <c r="AF53" i="79"/>
  <c r="G53" i="79"/>
  <c r="AV52" i="79"/>
  <c r="AH52" i="79"/>
  <c r="AG52" i="79"/>
  <c r="AF52" i="79"/>
  <c r="AV51" i="79"/>
  <c r="AH51" i="79"/>
  <c r="AG51" i="79"/>
  <c r="AF51" i="79"/>
  <c r="AV50" i="79"/>
  <c r="AV49" i="79"/>
  <c r="AV48" i="79"/>
  <c r="AV47" i="79"/>
  <c r="AV46" i="79"/>
  <c r="AV45" i="79"/>
  <c r="AV44" i="79"/>
  <c r="AV43" i="79"/>
  <c r="AV42" i="79"/>
  <c r="AV41" i="79"/>
  <c r="AV40" i="79"/>
  <c r="AV39" i="79"/>
  <c r="AV38" i="79"/>
  <c r="AV37" i="79"/>
  <c r="AV36" i="79"/>
  <c r="AV35" i="79"/>
  <c r="AV34" i="79"/>
  <c r="AV33" i="79"/>
  <c r="AV32" i="79"/>
  <c r="AV31" i="79"/>
  <c r="AV30" i="79"/>
  <c r="AV29" i="79"/>
  <c r="AV28" i="79"/>
  <c r="AV27" i="79"/>
  <c r="AV26" i="79"/>
  <c r="AV25" i="79"/>
  <c r="AV24" i="79"/>
  <c r="AV23" i="79"/>
  <c r="AV22" i="79"/>
  <c r="AV21" i="79"/>
  <c r="AV20" i="79"/>
  <c r="AV19" i="79"/>
  <c r="AV18" i="79"/>
  <c r="AV17" i="79"/>
  <c r="AV16" i="79"/>
  <c r="L16" i="79" a="1"/>
  <c r="L16" i="79" s="1"/>
  <c r="AV15" i="79"/>
  <c r="AV14" i="79"/>
  <c r="AV13" i="79"/>
  <c r="L13" i="79"/>
  <c r="AV12" i="79"/>
  <c r="L12" i="79"/>
  <c r="AV11" i="79"/>
  <c r="L11" i="79"/>
  <c r="AV10" i="79"/>
  <c r="L10" i="79"/>
  <c r="AV9" i="79"/>
  <c r="L9" i="79"/>
  <c r="AV8" i="79"/>
  <c r="L8" i="79"/>
  <c r="BC7" i="79"/>
  <c r="AV7" i="79"/>
  <c r="AF7" i="79"/>
  <c r="AF8" i="79" s="1"/>
  <c r="AF9" i="79" s="1"/>
  <c r="AF10" i="79" s="1"/>
  <c r="AF11" i="79" s="1"/>
  <c r="AF12" i="79" s="1"/>
  <c r="AF13" i="79" s="1"/>
  <c r="AF14" i="79" s="1"/>
  <c r="AF15" i="79" s="1"/>
  <c r="AF16" i="79" s="1"/>
  <c r="AF17" i="79" s="1"/>
  <c r="AF18" i="79" s="1"/>
  <c r="AF19" i="79" s="1"/>
  <c r="AF20" i="79" s="1"/>
  <c r="AF21" i="79" s="1"/>
  <c r="AF22" i="79" s="1"/>
  <c r="AF23" i="79" s="1"/>
  <c r="AF24" i="79" s="1"/>
  <c r="AF25" i="79" s="1"/>
  <c r="AF26" i="79" s="1"/>
  <c r="AF27" i="79" s="1"/>
  <c r="AF28" i="79" s="1"/>
  <c r="AF29" i="79" s="1"/>
  <c r="AF30" i="79" s="1"/>
  <c r="AF31" i="79" s="1"/>
  <c r="AF32" i="79" s="1"/>
  <c r="AF33" i="79" s="1"/>
  <c r="AF34" i="79" s="1"/>
  <c r="AF35" i="79" s="1"/>
  <c r="AF36" i="79" s="1"/>
  <c r="AF37" i="79" s="1"/>
  <c r="AF38" i="79" s="1"/>
  <c r="AF39" i="79" s="1"/>
  <c r="AF40" i="79" s="1"/>
  <c r="AF41" i="79" s="1"/>
  <c r="AF42" i="79" s="1"/>
  <c r="AF43" i="79" s="1"/>
  <c r="AF44" i="79" s="1"/>
  <c r="AF45" i="79" s="1"/>
  <c r="AF46" i="79" s="1"/>
  <c r="AF47" i="79" s="1"/>
  <c r="AF48" i="79" s="1"/>
  <c r="AF49" i="79" s="1"/>
  <c r="AF50" i="79" s="1"/>
  <c r="AL4" i="79"/>
  <c r="AL2" i="79" s="1"/>
  <c r="AK4" i="79"/>
  <c r="AK2" i="79" s="1"/>
  <c r="AJ4" i="79"/>
  <c r="AJ2" i="79" s="1"/>
  <c r="G3" i="79"/>
  <c r="E2" i="79"/>
  <c r="E3" i="79" s="1"/>
  <c r="A1" i="79"/>
  <c r="AJ15" i="80"/>
  <c r="AL45" i="81"/>
  <c r="AK43" i="81"/>
  <c r="G25" i="80"/>
  <c r="G27" i="80"/>
  <c r="AL9" i="81"/>
  <c r="E41" i="81"/>
  <c r="AL21" i="81"/>
  <c r="AJ34" i="80"/>
  <c r="E15" i="81"/>
  <c r="AJ23" i="80"/>
  <c r="AJ7" i="80"/>
  <c r="E8" i="81"/>
  <c r="AK33" i="81"/>
  <c r="AK45" i="81"/>
  <c r="G11" i="80"/>
  <c r="AJ39" i="80"/>
  <c r="E45" i="81"/>
  <c r="E44" i="81"/>
  <c r="AL37" i="81"/>
  <c r="AK11" i="81"/>
  <c r="E29" i="81"/>
  <c r="AL11" i="81"/>
  <c r="AJ22" i="80"/>
  <c r="E37" i="81"/>
  <c r="G45" i="80"/>
  <c r="AJ53" i="80"/>
  <c r="E9" i="81"/>
  <c r="AK40" i="81"/>
  <c r="E38" i="81"/>
  <c r="G39" i="80"/>
  <c r="AK10" i="81"/>
  <c r="E23" i="81"/>
  <c r="G49" i="80"/>
  <c r="E31" i="81"/>
  <c r="E34" i="81"/>
  <c r="AL49" i="81"/>
  <c r="AL39" i="81"/>
  <c r="AL16" i="81"/>
  <c r="G31" i="80"/>
  <c r="AJ38" i="80"/>
  <c r="AL32" i="81"/>
  <c r="AK16" i="81"/>
  <c r="AL23" i="81"/>
  <c r="AL33" i="81"/>
  <c r="E17" i="81"/>
  <c r="AJ12" i="80"/>
  <c r="G19" i="80"/>
  <c r="AJ51" i="80"/>
  <c r="E49" i="81"/>
  <c r="E32" i="81"/>
  <c r="AL15" i="81"/>
  <c r="AJ45" i="80"/>
  <c r="AK35" i="81"/>
  <c r="G37" i="80"/>
  <c r="G26" i="80"/>
  <c r="E6" i="79"/>
  <c r="AL44" i="81"/>
  <c r="AK9" i="81"/>
  <c r="AL17" i="81"/>
  <c r="G46" i="80"/>
  <c r="E50" i="81"/>
  <c r="AJ17" i="80"/>
  <c r="AL7" i="81"/>
  <c r="AL43" i="81"/>
  <c r="AL14" i="81"/>
  <c r="G10" i="80"/>
  <c r="G12" i="80"/>
  <c r="AK48" i="81"/>
  <c r="AL25" i="81"/>
  <c r="E43" i="81"/>
  <c r="G8" i="80"/>
  <c r="AL24" i="81"/>
  <c r="AK19" i="81"/>
  <c r="G22" i="80"/>
  <c r="AJ65" i="80"/>
  <c r="AJ56" i="80"/>
  <c r="AL47" i="81"/>
  <c r="AL26" i="81"/>
  <c r="AL20" i="81"/>
  <c r="AJ35" i="80"/>
  <c r="AJ25" i="80"/>
  <c r="AJ9" i="80"/>
  <c r="G9" i="80"/>
  <c r="E28" i="81"/>
  <c r="AL8" i="81"/>
  <c r="AK8" i="81"/>
  <c r="G43" i="80"/>
  <c r="AL18" i="81"/>
  <c r="E14" i="81"/>
  <c r="AJ62" i="80"/>
  <c r="AJ41" i="80"/>
  <c r="E24" i="81"/>
  <c r="AJ59" i="80"/>
  <c r="AJ11" i="80"/>
  <c r="AJ21" i="80"/>
  <c r="G20" i="80"/>
  <c r="G38" i="80"/>
  <c r="AK22" i="81"/>
  <c r="AL46" i="81"/>
  <c r="E21" i="81"/>
  <c r="AL29" i="81"/>
  <c r="AK20" i="81"/>
  <c r="G44" i="80"/>
  <c r="AJ46" i="80"/>
  <c r="G61" i="80"/>
  <c r="AJ37" i="80"/>
  <c r="G30" i="80"/>
  <c r="G14" i="80"/>
  <c r="G42" i="80"/>
  <c r="E48" i="81"/>
  <c r="AK13" i="81"/>
  <c r="AJ20" i="80"/>
  <c r="G41" i="80"/>
  <c r="AK28" i="81"/>
  <c r="E19" i="81"/>
  <c r="G18" i="80"/>
  <c r="AK44" i="81"/>
  <c r="AL28" i="81"/>
  <c r="AL41" i="81"/>
  <c r="AJ66" i="80"/>
  <c r="AJ57" i="80"/>
  <c r="AJ24" i="80"/>
  <c r="AL19" i="81"/>
  <c r="E26" i="81"/>
  <c r="AJ13" i="80"/>
  <c r="AJ19" i="80"/>
  <c r="AJ18" i="80"/>
  <c r="AK29" i="81"/>
  <c r="AJ14" i="80"/>
  <c r="AJ48" i="80"/>
  <c r="G32" i="80"/>
  <c r="G33" i="80"/>
  <c r="AJ40" i="80"/>
  <c r="E20" i="81"/>
  <c r="AJ26" i="80"/>
  <c r="G7" i="80"/>
  <c r="E13" i="81"/>
  <c r="G47" i="80"/>
  <c r="AJ44" i="80"/>
  <c r="G16" i="80"/>
  <c r="AK24" i="81"/>
  <c r="AK39" i="81"/>
  <c r="AK17" i="81"/>
  <c r="E27" i="81"/>
  <c r="AK26" i="81"/>
  <c r="E30" i="81"/>
  <c r="AJ42" i="80"/>
  <c r="AJ67" i="80"/>
  <c r="E16" i="81"/>
  <c r="AJ33" i="80"/>
  <c r="G13" i="80"/>
  <c r="E47" i="81"/>
  <c r="AK27" i="81"/>
  <c r="E42" i="81"/>
  <c r="G15" i="80"/>
  <c r="AK18" i="81"/>
  <c r="E61" i="81"/>
  <c r="AJ60" i="80"/>
  <c r="AJ16" i="80"/>
  <c r="G40" i="80"/>
  <c r="E12" i="81"/>
  <c r="AK32" i="81"/>
  <c r="AL34" i="81"/>
  <c r="AK15" i="81"/>
  <c r="AK21" i="81"/>
  <c r="G23" i="80"/>
  <c r="E22" i="81"/>
  <c r="AJ43" i="80"/>
  <c r="G21" i="80"/>
  <c r="E36" i="81"/>
  <c r="AJ28" i="80"/>
  <c r="E18" i="81"/>
  <c r="AJ52" i="80"/>
  <c r="AK49" i="81"/>
  <c r="AJ31" i="80"/>
  <c r="AK25" i="81"/>
  <c r="AJ50" i="80"/>
  <c r="G36" i="80"/>
  <c r="AJ8" i="80"/>
  <c r="AJ63" i="80"/>
  <c r="AK42" i="81"/>
  <c r="AK61" i="81"/>
  <c r="AL22" i="81"/>
  <c r="G29" i="80"/>
  <c r="AK37" i="81"/>
  <c r="AL61" i="81"/>
  <c r="E33" i="81"/>
  <c r="AL40" i="81"/>
  <c r="AJ36" i="80"/>
  <c r="AK38" i="81"/>
  <c r="AK41" i="81"/>
  <c r="AL27" i="81"/>
  <c r="G34" i="80"/>
  <c r="G50" i="80"/>
  <c r="AL42" i="81"/>
  <c r="AK50" i="81"/>
  <c r="AJ54" i="80"/>
  <c r="AL10" i="81"/>
  <c r="E46" i="81"/>
  <c r="AJ55" i="80"/>
  <c r="AK14" i="81"/>
  <c r="AL50" i="81"/>
  <c r="AJ13" i="79"/>
  <c r="AJ49" i="80"/>
  <c r="AJ64" i="80"/>
  <c r="G17" i="80"/>
  <c r="AJ61" i="80"/>
  <c r="G24" i="80"/>
  <c r="E35" i="81"/>
  <c r="G35" i="80"/>
  <c r="AL38" i="81"/>
  <c r="AK46" i="81"/>
  <c r="AK23" i="81"/>
  <c r="E40" i="81"/>
  <c r="AL31" i="81"/>
  <c r="E10" i="81"/>
  <c r="G48" i="80"/>
  <c r="AL35" i="81"/>
  <c r="AK34" i="81"/>
  <c r="AL13" i="81"/>
  <c r="G28" i="80"/>
  <c r="AK31" i="81"/>
  <c r="AJ30" i="80"/>
  <c r="AJ10" i="80"/>
  <c r="AJ47" i="80"/>
  <c r="AK36" i="81"/>
  <c r="E11" i="81"/>
  <c r="AK7" i="81"/>
  <c r="AJ58" i="80"/>
  <c r="AL48" i="81"/>
  <c r="AJ32" i="80"/>
  <c r="AK47" i="81"/>
  <c r="AJ29" i="80"/>
  <c r="AL36" i="81"/>
  <c r="AJ27" i="80"/>
  <c r="E25" i="81"/>
  <c r="BF18" i="85" l="1"/>
  <c r="BI18" i="85"/>
  <c r="BH18" i="85"/>
  <c r="BG18" i="85"/>
  <c r="BC20" i="85"/>
  <c r="BD19" i="85"/>
  <c r="BH17" i="84"/>
  <c r="BG17" i="84"/>
  <c r="BI17" i="84"/>
  <c r="BF17" i="84"/>
  <c r="BD18" i="84"/>
  <c r="BC19" i="84"/>
  <c r="BG14" i="83"/>
  <c r="BH14" i="83"/>
  <c r="BI14" i="83"/>
  <c r="BF14" i="83"/>
  <c r="BD15" i="83"/>
  <c r="BC16" i="83"/>
  <c r="BD7" i="81"/>
  <c r="BI7" i="81" s="1"/>
  <c r="AH16" i="81"/>
  <c r="AG16" i="81"/>
  <c r="AH27" i="81"/>
  <c r="AG27" i="81"/>
  <c r="AM41" i="81"/>
  <c r="AG14" i="81"/>
  <c r="AH14" i="81"/>
  <c r="AM25" i="81"/>
  <c r="AM28" i="81"/>
  <c r="AM24" i="81"/>
  <c r="AM23" i="81"/>
  <c r="AM42" i="81"/>
  <c r="AM13" i="81"/>
  <c r="AM16" i="81"/>
  <c r="AM18" i="81"/>
  <c r="AM27" i="81"/>
  <c r="AM45" i="81"/>
  <c r="AM61" i="81"/>
  <c r="AH41" i="81"/>
  <c r="AG41" i="81"/>
  <c r="AH46" i="81"/>
  <c r="AG46" i="81"/>
  <c r="AM14" i="81"/>
  <c r="AG25" i="81"/>
  <c r="AH25" i="81"/>
  <c r="AG47" i="81"/>
  <c r="AH47" i="81"/>
  <c r="AM37" i="81"/>
  <c r="AH39" i="81"/>
  <c r="AG39" i="81"/>
  <c r="AH11" i="81"/>
  <c r="AG11" i="81"/>
  <c r="AG22" i="81"/>
  <c r="AH22" i="81"/>
  <c r="AM40" i="81"/>
  <c r="AM35" i="81"/>
  <c r="AM49" i="81"/>
  <c r="AG43" i="81"/>
  <c r="AH43" i="81"/>
  <c r="AG18" i="81"/>
  <c r="AH18" i="81"/>
  <c r="AM8" i="81"/>
  <c r="AG45" i="81"/>
  <c r="AH45" i="81"/>
  <c r="AM46" i="81"/>
  <c r="U11" i="81"/>
  <c r="V11" i="81" s="1"/>
  <c r="O13" i="81"/>
  <c r="R8" i="81"/>
  <c r="U13" i="81"/>
  <c r="V13" i="81" s="1"/>
  <c r="O8" i="81"/>
  <c r="R9" i="81"/>
  <c r="U10" i="81"/>
  <c r="V10" i="81" s="1"/>
  <c r="R11" i="81"/>
  <c r="S11" i="81" s="1"/>
  <c r="U12" i="81"/>
  <c r="V12" i="81" s="1"/>
  <c r="R16" i="81" a="1"/>
  <c r="R16" i="81" s="1"/>
  <c r="U16" i="81" a="1"/>
  <c r="U16" i="81" s="1"/>
  <c r="O10" i="81"/>
  <c r="R12" i="81"/>
  <c r="O12" i="81"/>
  <c r="R10" i="81"/>
  <c r="O11" i="81"/>
  <c r="O16" i="81" a="1"/>
  <c r="O16" i="81" s="1"/>
  <c r="R13" i="81"/>
  <c r="S13" i="81" s="1"/>
  <c r="U9" i="81"/>
  <c r="V9" i="81" s="1"/>
  <c r="U8" i="81"/>
  <c r="O9" i="81"/>
  <c r="AH40" i="81"/>
  <c r="AG40" i="81"/>
  <c r="AM33" i="81"/>
  <c r="AH35" i="81"/>
  <c r="AG35" i="81"/>
  <c r="AM7" i="81"/>
  <c r="AH19" i="81"/>
  <c r="AG19" i="81"/>
  <c r="AM36" i="81"/>
  <c r="AG29" i="81"/>
  <c r="AH29" i="81"/>
  <c r="AM34" i="81"/>
  <c r="AH10" i="81"/>
  <c r="AG10" i="81"/>
  <c r="AG17" i="81"/>
  <c r="AH17" i="81"/>
  <c r="AH8" i="81"/>
  <c r="AG8" i="81"/>
  <c r="AH32" i="81"/>
  <c r="AG32" i="81"/>
  <c r="AH44" i="81"/>
  <c r="AG44" i="81"/>
  <c r="AM26" i="81"/>
  <c r="AM9" i="81"/>
  <c r="AM15" i="81"/>
  <c r="AM31" i="81"/>
  <c r="AH28" i="81"/>
  <c r="AG28" i="81"/>
  <c r="AH24" i="81"/>
  <c r="AG24" i="81"/>
  <c r="AH23" i="81"/>
  <c r="AG23" i="81"/>
  <c r="AG42" i="81"/>
  <c r="AH42" i="81"/>
  <c r="AH13" i="81"/>
  <c r="AG13" i="81"/>
  <c r="AM50" i="81"/>
  <c r="AM48" i="81"/>
  <c r="AM20" i="81"/>
  <c r="AH21" i="81"/>
  <c r="AG21" i="81"/>
  <c r="AM38" i="81"/>
  <c r="AH49" i="81"/>
  <c r="AG49" i="81"/>
  <c r="AM43" i="81"/>
  <c r="AH33" i="81"/>
  <c r="AG33" i="81"/>
  <c r="AH7" i="81"/>
  <c r="AG7" i="81"/>
  <c r="AM19" i="81"/>
  <c r="AH61" i="81"/>
  <c r="AG61" i="81"/>
  <c r="AH36" i="81"/>
  <c r="AG36" i="81"/>
  <c r="AM29" i="81"/>
  <c r="AG34" i="81"/>
  <c r="AH34" i="81"/>
  <c r="AM10" i="81"/>
  <c r="AM17" i="81"/>
  <c r="AM32" i="81"/>
  <c r="AM44" i="81"/>
  <c r="AG26" i="81"/>
  <c r="AH26" i="81"/>
  <c r="AH9" i="81"/>
  <c r="AG9" i="81"/>
  <c r="AH15" i="81"/>
  <c r="AG15" i="81"/>
  <c r="AH31" i="81"/>
  <c r="AG31" i="81"/>
  <c r="AM47" i="81"/>
  <c r="AH37" i="81"/>
  <c r="AG37" i="81"/>
  <c r="AM39" i="81"/>
  <c r="AM11" i="81"/>
  <c r="AM22" i="81"/>
  <c r="AG50" i="81"/>
  <c r="AH50" i="81"/>
  <c r="AH48" i="81"/>
  <c r="AG48" i="81"/>
  <c r="AH20" i="81"/>
  <c r="AG20" i="81"/>
  <c r="AM21" i="81"/>
  <c r="AG38" i="81"/>
  <c r="AH38" i="81"/>
  <c r="BD8" i="81"/>
  <c r="BD9" i="81"/>
  <c r="BC10" i="81"/>
  <c r="BG7" i="81"/>
  <c r="BF7" i="81"/>
  <c r="M12" i="80"/>
  <c r="AY46" i="80"/>
  <c r="AY41" i="80"/>
  <c r="M11" i="80"/>
  <c r="AL67" i="80"/>
  <c r="AK67" i="80"/>
  <c r="AM67" i="80" s="1"/>
  <c r="AL58" i="80"/>
  <c r="AK58" i="80"/>
  <c r="AM58" i="80" s="1"/>
  <c r="AL55" i="80"/>
  <c r="AK55" i="80"/>
  <c r="AM55" i="80" s="1"/>
  <c r="AK62" i="80"/>
  <c r="AM62" i="80" s="1"/>
  <c r="AL62" i="80"/>
  <c r="AL52" i="80"/>
  <c r="AK52" i="80"/>
  <c r="AM52" i="80" s="1"/>
  <c r="AL63" i="80"/>
  <c r="AK63" i="80"/>
  <c r="AM63" i="80" s="1"/>
  <c r="AL57" i="80"/>
  <c r="AK57" i="80"/>
  <c r="AM57" i="80" s="1"/>
  <c r="AK66" i="80"/>
  <c r="AM66" i="80" s="1"/>
  <c r="AL66" i="80"/>
  <c r="AL54" i="80"/>
  <c r="AK54" i="80"/>
  <c r="AM54" i="80" s="1"/>
  <c r="AL65" i="80"/>
  <c r="AK65" i="80"/>
  <c r="AM65" i="80" s="1"/>
  <c r="AL53" i="80"/>
  <c r="AK53" i="80"/>
  <c r="AM53" i="80" s="1"/>
  <c r="AK59" i="80"/>
  <c r="AM59" i="80" s="1"/>
  <c r="AL59" i="80"/>
  <c r="AL64" i="80"/>
  <c r="AK64" i="80"/>
  <c r="AM64" i="80" s="1"/>
  <c r="AL60" i="80"/>
  <c r="AK60" i="80"/>
  <c r="AM60" i="80" s="1"/>
  <c r="AK51" i="80"/>
  <c r="AM51" i="80" s="1"/>
  <c r="AL51" i="80"/>
  <c r="AL56" i="80"/>
  <c r="AK56" i="80"/>
  <c r="AM56" i="80" s="1"/>
  <c r="AY50" i="80"/>
  <c r="AY49" i="80"/>
  <c r="AY47" i="80"/>
  <c r="AY19" i="80"/>
  <c r="AY63" i="80"/>
  <c r="AY52" i="80"/>
  <c r="AY14" i="80"/>
  <c r="AY54" i="80"/>
  <c r="AY20" i="80"/>
  <c r="AY38" i="80"/>
  <c r="AY59" i="80"/>
  <c r="AY58" i="80"/>
  <c r="AY33" i="80"/>
  <c r="AY7" i="80"/>
  <c r="AY16" i="80"/>
  <c r="AY11" i="80"/>
  <c r="AY12" i="80"/>
  <c r="AY27" i="80"/>
  <c r="AY62" i="80"/>
  <c r="AY56" i="80"/>
  <c r="AY22" i="80"/>
  <c r="AY55" i="80"/>
  <c r="AY24" i="80"/>
  <c r="AY61" i="80"/>
  <c r="AY36" i="80"/>
  <c r="AY31" i="80"/>
  <c r="AY25" i="80"/>
  <c r="AY57" i="80"/>
  <c r="AY8" i="80"/>
  <c r="M10" i="80"/>
  <c r="M9" i="80"/>
  <c r="AY13" i="80"/>
  <c r="AY45" i="80"/>
  <c r="AY48" i="80"/>
  <c r="AY51" i="80"/>
  <c r="AY32" i="80"/>
  <c r="AY34" i="80"/>
  <c r="M8" i="80"/>
  <c r="Y14" i="80"/>
  <c r="AY35" i="80"/>
  <c r="AY43" i="80"/>
  <c r="AY60" i="80"/>
  <c r="AY15" i="80"/>
  <c r="AY44" i="80"/>
  <c r="AY40" i="80"/>
  <c r="AY42" i="80"/>
  <c r="AY9" i="80"/>
  <c r="AY28" i="80"/>
  <c r="AY30" i="80"/>
  <c r="AY37" i="80"/>
  <c r="AY29" i="80"/>
  <c r="AY23" i="80"/>
  <c r="AY18" i="80"/>
  <c r="M14" i="80"/>
  <c r="L5" i="80"/>
  <c r="BC9" i="80"/>
  <c r="AY39" i="80"/>
  <c r="AY53" i="80"/>
  <c r="AY21" i="80"/>
  <c r="AY17" i="80"/>
  <c r="AY26" i="80"/>
  <c r="AY10" i="80"/>
  <c r="M13" i="80"/>
  <c r="AW31" i="79"/>
  <c r="AX31" i="79" s="1"/>
  <c r="AW9" i="79"/>
  <c r="AX9" i="79" s="1"/>
  <c r="AW8" i="79"/>
  <c r="AX8" i="79" s="1"/>
  <c r="AW12" i="79"/>
  <c r="AX12" i="79" s="1"/>
  <c r="L14" i="79"/>
  <c r="M8" i="79" s="1"/>
  <c r="AW21" i="79"/>
  <c r="AX21" i="79" s="1"/>
  <c r="AW26" i="79"/>
  <c r="AX26" i="79" s="1"/>
  <c r="AW41" i="79"/>
  <c r="AX41" i="79" s="1"/>
  <c r="AW61" i="79"/>
  <c r="AX61" i="79" s="1"/>
  <c r="AW59" i="79"/>
  <c r="AX59" i="79" s="1"/>
  <c r="AW43" i="79"/>
  <c r="AX43" i="79" s="1"/>
  <c r="AW40" i="79"/>
  <c r="AX40" i="79" s="1"/>
  <c r="AW51" i="79"/>
  <c r="AX51" i="79" s="1"/>
  <c r="AW49" i="79"/>
  <c r="AX49" i="79" s="1"/>
  <c r="AW47" i="79"/>
  <c r="AX47" i="79" s="1"/>
  <c r="AW45" i="79"/>
  <c r="AX45" i="79" s="1"/>
  <c r="AW62" i="79"/>
  <c r="AX62" i="79" s="1"/>
  <c r="AW36" i="79"/>
  <c r="AX36" i="79" s="1"/>
  <c r="AW32" i="79"/>
  <c r="AX32" i="79" s="1"/>
  <c r="AW28" i="79"/>
  <c r="AX28" i="79" s="1"/>
  <c r="AW24" i="79"/>
  <c r="AX24" i="79" s="1"/>
  <c r="AW19" i="79"/>
  <c r="AX19" i="79" s="1"/>
  <c r="AW27" i="79"/>
  <c r="AX27" i="79" s="1"/>
  <c r="BC8" i="79"/>
  <c r="AW18" i="79"/>
  <c r="AX18" i="79" s="1"/>
  <c r="AW7" i="79"/>
  <c r="AX7" i="79" s="1"/>
  <c r="AW10" i="79"/>
  <c r="AX10" i="79" s="1"/>
  <c r="AW11" i="79"/>
  <c r="AX11" i="79" s="1"/>
  <c r="AW13" i="79"/>
  <c r="AX13" i="79" s="1"/>
  <c r="AW14" i="79"/>
  <c r="AX14" i="79" s="1"/>
  <c r="AW16" i="79"/>
  <c r="AX16" i="79" s="1"/>
  <c r="AW23" i="79"/>
  <c r="AX23" i="79" s="1"/>
  <c r="AW34" i="79"/>
  <c r="AX34" i="79" s="1"/>
  <c r="AW39" i="79"/>
  <c r="AX39" i="79" s="1"/>
  <c r="AW15" i="79"/>
  <c r="AX15" i="79" s="1"/>
  <c r="AW17" i="79"/>
  <c r="AX17" i="79" s="1"/>
  <c r="AW22" i="79"/>
  <c r="AX22" i="79" s="1"/>
  <c r="AW20" i="79"/>
  <c r="AX20" i="79" s="1"/>
  <c r="AW30" i="79"/>
  <c r="AX30" i="79" s="1"/>
  <c r="AW35" i="79"/>
  <c r="AX35" i="79" s="1"/>
  <c r="AW37" i="79"/>
  <c r="AX37" i="79" s="1"/>
  <c r="AW42" i="79"/>
  <c r="AX42" i="79" s="1"/>
  <c r="AW56" i="79"/>
  <c r="AX56" i="79" s="1"/>
  <c r="AW63" i="79"/>
  <c r="AX63" i="79" s="1"/>
  <c r="AW25" i="79"/>
  <c r="AX25" i="79" s="1"/>
  <c r="AW29" i="79"/>
  <c r="AX29" i="79" s="1"/>
  <c r="AW33" i="79"/>
  <c r="AX33" i="79" s="1"/>
  <c r="AW38" i="79"/>
  <c r="AX38" i="79" s="1"/>
  <c r="AW52" i="79"/>
  <c r="AX52" i="79" s="1"/>
  <c r="AW44" i="79"/>
  <c r="AX44" i="79" s="1"/>
  <c r="AW55" i="79"/>
  <c r="AX55" i="79" s="1"/>
  <c r="AW54" i="79"/>
  <c r="AX54" i="79" s="1"/>
  <c r="AW58" i="79"/>
  <c r="AX58" i="79" s="1"/>
  <c r="AW60" i="79"/>
  <c r="AX60" i="79" s="1"/>
  <c r="AW46" i="79"/>
  <c r="AX46" i="79" s="1"/>
  <c r="AW48" i="79"/>
  <c r="AX48" i="79" s="1"/>
  <c r="AW50" i="79"/>
  <c r="AX50" i="79" s="1"/>
  <c r="AW53" i="79"/>
  <c r="AX53" i="79" s="1"/>
  <c r="AW57" i="79"/>
  <c r="AX57" i="79" s="1"/>
  <c r="C68" i="78"/>
  <c r="B68" i="78" s="1"/>
  <c r="AH67" i="78"/>
  <c r="AG67" i="78"/>
  <c r="AF67" i="78"/>
  <c r="AH66" i="78"/>
  <c r="AG66" i="78"/>
  <c r="AF66" i="78"/>
  <c r="AH65" i="78"/>
  <c r="AG65" i="78"/>
  <c r="AF65" i="78"/>
  <c r="AH64" i="78"/>
  <c r="AG64" i="78"/>
  <c r="AF64" i="78"/>
  <c r="AV63" i="78"/>
  <c r="AH63" i="78"/>
  <c r="AG63" i="78"/>
  <c r="AF63" i="78"/>
  <c r="AV62" i="78"/>
  <c r="AH62" i="78"/>
  <c r="AG62" i="78"/>
  <c r="AF62" i="78"/>
  <c r="G62" i="78"/>
  <c r="AV61" i="78"/>
  <c r="AV60" i="78"/>
  <c r="AH60" i="78"/>
  <c r="AG60" i="78"/>
  <c r="AF60" i="78"/>
  <c r="AF61" i="78" s="1"/>
  <c r="G60" i="78"/>
  <c r="E60" i="78" s="1"/>
  <c r="AV59" i="78"/>
  <c r="AH59" i="78"/>
  <c r="AG59" i="78"/>
  <c r="AF59" i="78"/>
  <c r="G59" i="78"/>
  <c r="E59" i="78" s="1"/>
  <c r="AV58" i="78"/>
  <c r="AH58" i="78"/>
  <c r="AG58" i="78"/>
  <c r="AF58" i="78"/>
  <c r="G58" i="78"/>
  <c r="AV57" i="78"/>
  <c r="AH57" i="78"/>
  <c r="AG57" i="78"/>
  <c r="AF57" i="78"/>
  <c r="G57" i="78"/>
  <c r="AV56" i="78"/>
  <c r="AH56" i="78"/>
  <c r="AG56" i="78"/>
  <c r="AF56" i="78"/>
  <c r="G56" i="78"/>
  <c r="AV55" i="78"/>
  <c r="AH55" i="78"/>
  <c r="AG55" i="78"/>
  <c r="AF55" i="78"/>
  <c r="G55" i="78"/>
  <c r="AV54" i="78"/>
  <c r="AH54" i="78"/>
  <c r="AG54" i="78"/>
  <c r="AF54" i="78"/>
  <c r="G54" i="78"/>
  <c r="AV53" i="78"/>
  <c r="AH53" i="78"/>
  <c r="AG53" i="78"/>
  <c r="AF53" i="78"/>
  <c r="G53" i="78"/>
  <c r="AV52" i="78"/>
  <c r="AH52" i="78"/>
  <c r="AG52" i="78"/>
  <c r="AF52" i="78"/>
  <c r="AV51" i="78"/>
  <c r="AH51" i="78"/>
  <c r="AG51" i="78"/>
  <c r="AF51" i="78"/>
  <c r="AV50" i="78"/>
  <c r="AV49" i="78"/>
  <c r="AV48" i="78"/>
  <c r="AV47" i="78"/>
  <c r="AV46" i="78"/>
  <c r="AV45" i="78"/>
  <c r="AV44" i="78"/>
  <c r="AV43" i="78"/>
  <c r="AV42" i="78"/>
  <c r="AV41" i="78"/>
  <c r="AV40" i="78"/>
  <c r="AV39" i="78"/>
  <c r="AV38" i="78"/>
  <c r="AV37" i="78"/>
  <c r="AV36" i="78"/>
  <c r="AV35" i="78"/>
  <c r="AV34" i="78"/>
  <c r="AV33" i="78"/>
  <c r="AV32" i="78"/>
  <c r="AV31" i="78"/>
  <c r="AV30" i="78"/>
  <c r="AV29" i="78"/>
  <c r="AV28" i="78"/>
  <c r="AV27" i="78"/>
  <c r="AV26" i="78"/>
  <c r="AV25" i="78"/>
  <c r="AV24" i="78"/>
  <c r="AV23" i="78"/>
  <c r="AV22" i="78"/>
  <c r="AV21" i="78"/>
  <c r="AV20" i="78"/>
  <c r="AV19" i="78"/>
  <c r="AV18" i="78"/>
  <c r="AV17" i="78"/>
  <c r="AV16" i="78"/>
  <c r="L16" i="78" a="1"/>
  <c r="L16" i="78" s="1"/>
  <c r="AV15" i="78"/>
  <c r="AV14" i="78"/>
  <c r="AV13" i="78"/>
  <c r="L13" i="78"/>
  <c r="AV12" i="78"/>
  <c r="L12" i="78"/>
  <c r="AV11" i="78"/>
  <c r="L11" i="78"/>
  <c r="AV10" i="78"/>
  <c r="L10" i="78"/>
  <c r="AV9" i="78"/>
  <c r="L9" i="78"/>
  <c r="AV8" i="78"/>
  <c r="L8" i="78"/>
  <c r="BC7" i="78"/>
  <c r="BC8" i="78" s="1"/>
  <c r="AV7" i="78"/>
  <c r="AW7" i="78" s="1"/>
  <c r="AX7" i="78" s="1"/>
  <c r="AF7" i="78"/>
  <c r="AF8" i="78" s="1"/>
  <c r="AF9" i="78" s="1"/>
  <c r="AF10" i="78" s="1"/>
  <c r="AF11" i="78" s="1"/>
  <c r="AF12" i="78" s="1"/>
  <c r="AF13" i="78" s="1"/>
  <c r="AF14" i="78" s="1"/>
  <c r="AF15" i="78" s="1"/>
  <c r="AF16" i="78" s="1"/>
  <c r="AF17" i="78" s="1"/>
  <c r="AF18" i="78" s="1"/>
  <c r="AF19" i="78" s="1"/>
  <c r="AF20" i="78" s="1"/>
  <c r="AF21" i="78" s="1"/>
  <c r="AF22" i="78" s="1"/>
  <c r="AF23" i="78" s="1"/>
  <c r="AF24" i="78" s="1"/>
  <c r="AF25" i="78" s="1"/>
  <c r="AF26" i="78" s="1"/>
  <c r="AF27" i="78" s="1"/>
  <c r="AF28" i="78" s="1"/>
  <c r="AF29" i="78" s="1"/>
  <c r="AF30" i="78" s="1"/>
  <c r="AF31" i="78" s="1"/>
  <c r="AF32" i="78" s="1"/>
  <c r="AF33" i="78" s="1"/>
  <c r="AF34" i="78" s="1"/>
  <c r="AF35" i="78" s="1"/>
  <c r="AF36" i="78" s="1"/>
  <c r="AF37" i="78" s="1"/>
  <c r="AF38" i="78" s="1"/>
  <c r="AF39" i="78" s="1"/>
  <c r="AF40" i="78" s="1"/>
  <c r="AF41" i="78" s="1"/>
  <c r="AF42" i="78" s="1"/>
  <c r="AF43" i="78" s="1"/>
  <c r="AF44" i="78" s="1"/>
  <c r="AF45" i="78" s="1"/>
  <c r="AF46" i="78" s="1"/>
  <c r="AF47" i="78" s="1"/>
  <c r="AF48" i="78" s="1"/>
  <c r="AF49" i="78" s="1"/>
  <c r="AF50" i="78" s="1"/>
  <c r="AL4" i="78"/>
  <c r="AL2" i="78" s="1"/>
  <c r="AK4" i="78"/>
  <c r="AK2" i="78" s="1"/>
  <c r="AJ4" i="78"/>
  <c r="G3" i="78"/>
  <c r="AJ2" i="78"/>
  <c r="E2" i="78"/>
  <c r="E3" i="78" s="1"/>
  <c r="A1" i="78"/>
  <c r="BH7" i="81" l="1"/>
  <c r="BG19" i="85"/>
  <c r="BF19" i="85"/>
  <c r="BI19" i="85"/>
  <c r="BH19" i="85"/>
  <c r="BC21" i="85"/>
  <c r="BD20" i="85"/>
  <c r="BD19" i="84"/>
  <c r="BC20" i="84"/>
  <c r="BI18" i="84"/>
  <c r="BH18" i="84"/>
  <c r="BG18" i="84"/>
  <c r="BF18" i="84"/>
  <c r="BF15" i="83"/>
  <c r="BG15" i="83"/>
  <c r="BH15" i="83"/>
  <c r="BI15" i="83"/>
  <c r="BC17" i="83"/>
  <c r="BD16" i="83"/>
  <c r="AA12" i="81"/>
  <c r="AA13" i="81"/>
  <c r="BG9" i="81"/>
  <c r="BI9" i="81"/>
  <c r="BH9" i="81"/>
  <c r="BF9" i="81"/>
  <c r="R14" i="81"/>
  <c r="S12" i="81" s="1"/>
  <c r="AA9" i="81"/>
  <c r="O14" i="81"/>
  <c r="P13" i="81" s="1"/>
  <c r="AA8" i="81"/>
  <c r="BG8" i="81"/>
  <c r="BI8" i="81"/>
  <c r="BH8" i="81"/>
  <c r="BF8" i="81"/>
  <c r="BC11" i="81"/>
  <c r="BD10" i="81"/>
  <c r="V8" i="81"/>
  <c r="U14" i="81"/>
  <c r="AA11" i="81"/>
  <c r="AA10" i="81"/>
  <c r="AW14" i="78"/>
  <c r="AW9" i="78"/>
  <c r="AX9" i="78" s="1"/>
  <c r="AW10" i="78"/>
  <c r="AX10" i="78" s="1"/>
  <c r="BD8" i="80"/>
  <c r="BI8" i="80" s="1"/>
  <c r="BD9" i="80"/>
  <c r="BC10" i="80"/>
  <c r="BD7" i="80"/>
  <c r="BC9" i="78"/>
  <c r="L14" i="78"/>
  <c r="M10" i="78" s="1"/>
  <c r="AW8" i="78"/>
  <c r="AX8" i="78" s="1"/>
  <c r="AX14" i="78"/>
  <c r="C77" i="78"/>
  <c r="AW11" i="78"/>
  <c r="AX11" i="78" s="1"/>
  <c r="M13" i="78"/>
  <c r="AW13" i="78"/>
  <c r="AX13" i="78" s="1"/>
  <c r="AW12" i="78"/>
  <c r="AX12" i="78" s="1"/>
  <c r="AW61" i="78"/>
  <c r="AX61" i="78" s="1"/>
  <c r="AW62" i="78"/>
  <c r="AX62" i="78" s="1"/>
  <c r="AW59" i="78"/>
  <c r="AW51" i="78"/>
  <c r="AX51" i="78" s="1"/>
  <c r="AW49" i="78"/>
  <c r="AX49" i="78" s="1"/>
  <c r="AW29" i="78"/>
  <c r="AX29" i="78" s="1"/>
  <c r="AW45" i="78"/>
  <c r="AW43" i="78"/>
  <c r="AX43" i="78" s="1"/>
  <c r="AW39" i="78"/>
  <c r="AX39" i="78" s="1"/>
  <c r="AW35" i="78"/>
  <c r="AX35" i="78" s="1"/>
  <c r="AW31" i="78"/>
  <c r="AX31" i="78" s="1"/>
  <c r="AW47" i="78"/>
  <c r="AX47" i="78" s="1"/>
  <c r="AW25" i="78"/>
  <c r="AX25" i="78" s="1"/>
  <c r="AW23" i="78"/>
  <c r="AX23" i="78" s="1"/>
  <c r="AW27" i="78"/>
  <c r="AX27" i="78" s="1"/>
  <c r="AW22" i="78"/>
  <c r="AX22" i="78" s="1"/>
  <c r="AW19" i="78"/>
  <c r="AX19" i="78" s="1"/>
  <c r="AW15" i="78"/>
  <c r="AX15" i="78" s="1"/>
  <c r="AW16" i="78"/>
  <c r="AX16" i="78" s="1"/>
  <c r="AW20" i="78"/>
  <c r="AX20" i="78" s="1"/>
  <c r="AW24" i="78"/>
  <c r="AX24" i="78" s="1"/>
  <c r="AW26" i="78"/>
  <c r="AX26" i="78" s="1"/>
  <c r="AW18" i="78"/>
  <c r="AX18" i="78" s="1"/>
  <c r="AW17" i="78"/>
  <c r="AX17" i="78" s="1"/>
  <c r="AW21" i="78"/>
  <c r="AX21" i="78" s="1"/>
  <c r="AW30" i="78"/>
  <c r="AX30" i="78" s="1"/>
  <c r="AX45" i="78"/>
  <c r="AW28" i="78"/>
  <c r="AX28" i="78" s="1"/>
  <c r="AW33" i="78"/>
  <c r="AX33" i="78" s="1"/>
  <c r="AW37" i="78"/>
  <c r="AX37" i="78" s="1"/>
  <c r="AW41" i="78"/>
  <c r="AX41" i="78" s="1"/>
  <c r="AW50" i="78"/>
  <c r="AX50" i="78" s="1"/>
  <c r="AX42" i="78"/>
  <c r="AX60" i="78"/>
  <c r="AW32" i="78"/>
  <c r="AX32" i="78" s="1"/>
  <c r="AW34" i="78"/>
  <c r="AX34" i="78" s="1"/>
  <c r="AW36" i="78"/>
  <c r="AX36" i="78" s="1"/>
  <c r="AW38" i="78"/>
  <c r="AX38" i="78" s="1"/>
  <c r="AW40" i="78"/>
  <c r="AX40" i="78" s="1"/>
  <c r="AW42" i="78"/>
  <c r="AW54" i="78"/>
  <c r="AX54" i="78" s="1"/>
  <c r="AW58" i="78"/>
  <c r="AX58" i="78" s="1"/>
  <c r="AW44" i="78"/>
  <c r="AX44" i="78" s="1"/>
  <c r="AW46" i="78"/>
  <c r="AX46" i="78" s="1"/>
  <c r="AW48" i="78"/>
  <c r="AX48" i="78" s="1"/>
  <c r="AW52" i="78"/>
  <c r="AX52" i="78" s="1"/>
  <c r="AW56" i="78"/>
  <c r="AX56" i="78" s="1"/>
  <c r="AX59" i="78"/>
  <c r="AW63" i="78"/>
  <c r="AX63" i="78" s="1"/>
  <c r="AW53" i="78"/>
  <c r="AX53" i="78" s="1"/>
  <c r="AW55" i="78"/>
  <c r="AX55" i="78" s="1"/>
  <c r="AW57" i="78"/>
  <c r="AX57" i="78" s="1"/>
  <c r="AW60" i="78"/>
  <c r="M11" i="79"/>
  <c r="C77" i="79"/>
  <c r="AY63" i="79"/>
  <c r="AY23" i="79"/>
  <c r="M13" i="79"/>
  <c r="AY45" i="79"/>
  <c r="AY21" i="79"/>
  <c r="AY44" i="79"/>
  <c r="AY8" i="79"/>
  <c r="AY52" i="79"/>
  <c r="AY29" i="79"/>
  <c r="AY56" i="79"/>
  <c r="AY35" i="79"/>
  <c r="AY30" i="79"/>
  <c r="AY39" i="79"/>
  <c r="AY14" i="79"/>
  <c r="AY59" i="79"/>
  <c r="AY20" i="79"/>
  <c r="AY34" i="79"/>
  <c r="AY13" i="79"/>
  <c r="AY12" i="79"/>
  <c r="AY54" i="79"/>
  <c r="AY49" i="79"/>
  <c r="AY62" i="79"/>
  <c r="AY33" i="79"/>
  <c r="AY27" i="79"/>
  <c r="AY17" i="79"/>
  <c r="AY36" i="79"/>
  <c r="AY61" i="79"/>
  <c r="AY26" i="79"/>
  <c r="AY18" i="79"/>
  <c r="AY53" i="79"/>
  <c r="AY60" i="79"/>
  <c r="AY37" i="79"/>
  <c r="AY31" i="79"/>
  <c r="AY15" i="79"/>
  <c r="AY7" i="79"/>
  <c r="BC9" i="79"/>
  <c r="AY24" i="79"/>
  <c r="AY41" i="79"/>
  <c r="M14" i="79"/>
  <c r="M10" i="79"/>
  <c r="L5" i="79"/>
  <c r="AY9" i="79"/>
  <c r="Y14" i="79"/>
  <c r="AY57" i="79"/>
  <c r="AY19" i="79"/>
  <c r="AY55" i="79"/>
  <c r="AY28" i="79"/>
  <c r="AY40" i="79"/>
  <c r="AY46" i="79"/>
  <c r="AY42" i="79"/>
  <c r="AY11" i="79"/>
  <c r="AY50" i="79"/>
  <c r="AY38" i="79"/>
  <c r="AY25" i="79"/>
  <c r="AY22" i="79"/>
  <c r="AY10" i="79"/>
  <c r="AY48" i="79"/>
  <c r="AY58" i="79"/>
  <c r="AY51" i="79"/>
  <c r="AY16" i="79"/>
  <c r="AY32" i="79"/>
  <c r="AY47" i="79"/>
  <c r="AY43" i="79"/>
  <c r="M12" i="79"/>
  <c r="M9" i="79"/>
  <c r="AJ46" i="79"/>
  <c r="AK18" i="80"/>
  <c r="AL30" i="80"/>
  <c r="G20" i="79"/>
  <c r="G48" i="79"/>
  <c r="G42" i="79"/>
  <c r="E12" i="80"/>
  <c r="AK35" i="80"/>
  <c r="AJ37" i="79"/>
  <c r="G7" i="79"/>
  <c r="G19" i="79"/>
  <c r="AL41" i="80"/>
  <c r="AL13" i="80"/>
  <c r="AK15" i="80"/>
  <c r="AK38" i="80"/>
  <c r="AL20" i="80"/>
  <c r="AK20" i="80"/>
  <c r="AJ27" i="79"/>
  <c r="AK30" i="80"/>
  <c r="AL31" i="80"/>
  <c r="AK23" i="80"/>
  <c r="AK29" i="80"/>
  <c r="G12" i="79"/>
  <c r="AJ23" i="79"/>
  <c r="E42" i="80"/>
  <c r="G27" i="79"/>
  <c r="AJ41" i="79"/>
  <c r="G9" i="79"/>
  <c r="AJ30" i="79"/>
  <c r="AL49" i="80"/>
  <c r="AJ32" i="79"/>
  <c r="AK33" i="80"/>
  <c r="G50" i="79"/>
  <c r="AJ51" i="79"/>
  <c r="G11" i="79"/>
  <c r="E43" i="80"/>
  <c r="AK44" i="80"/>
  <c r="AL9" i="80"/>
  <c r="E25" i="80"/>
  <c r="AJ8" i="79"/>
  <c r="AL32" i="80"/>
  <c r="AL40" i="80"/>
  <c r="AJ33" i="79"/>
  <c r="AK19" i="80"/>
  <c r="G13" i="79"/>
  <c r="AJ19" i="79"/>
  <c r="AL10" i="80"/>
  <c r="AL46" i="80"/>
  <c r="AK28" i="80"/>
  <c r="G23" i="79"/>
  <c r="E31" i="80"/>
  <c r="AJ15" i="79"/>
  <c r="AK34" i="80"/>
  <c r="E36" i="80"/>
  <c r="G45" i="79"/>
  <c r="AJ67" i="79"/>
  <c r="G17" i="79"/>
  <c r="AK31" i="80"/>
  <c r="G44" i="79"/>
  <c r="AK24" i="80"/>
  <c r="AL26" i="80"/>
  <c r="E24" i="80"/>
  <c r="AJ50" i="79"/>
  <c r="G15" i="79"/>
  <c r="G8" i="79"/>
  <c r="AK14" i="80"/>
  <c r="G14" i="79"/>
  <c r="AL42" i="80"/>
  <c r="AK61" i="80"/>
  <c r="AL50" i="80"/>
  <c r="E17" i="80"/>
  <c r="E49" i="80"/>
  <c r="E10" i="80"/>
  <c r="AL21" i="80"/>
  <c r="AJ25" i="79"/>
  <c r="AL25" i="80"/>
  <c r="E6" i="78"/>
  <c r="AJ58" i="79"/>
  <c r="E22" i="80"/>
  <c r="E47" i="80"/>
  <c r="AK43" i="80"/>
  <c r="AK21" i="80"/>
  <c r="AL37" i="80"/>
  <c r="AL48" i="80"/>
  <c r="G25" i="79"/>
  <c r="AJ12" i="79"/>
  <c r="AK13" i="79"/>
  <c r="G61" i="79"/>
  <c r="E41" i="80"/>
  <c r="AJ21" i="79"/>
  <c r="AJ28" i="79"/>
  <c r="AJ10" i="79"/>
  <c r="G37" i="79"/>
  <c r="G40" i="79"/>
  <c r="AK45" i="80"/>
  <c r="G32" i="79"/>
  <c r="AJ36" i="79"/>
  <c r="AJ56" i="79"/>
  <c r="AJ16" i="79"/>
  <c r="AJ55" i="79"/>
  <c r="AK17" i="80"/>
  <c r="E16" i="80"/>
  <c r="E38" i="80"/>
  <c r="AJ11" i="79"/>
  <c r="AJ7" i="78"/>
  <c r="AJ59" i="79"/>
  <c r="AJ7" i="79"/>
  <c r="G31" i="79"/>
  <c r="AJ61" i="79"/>
  <c r="G24" i="79"/>
  <c r="AL47" i="80"/>
  <c r="G34" i="79"/>
  <c r="AK27" i="80"/>
  <c r="AK41" i="80"/>
  <c r="AL61" i="80"/>
  <c r="AK50" i="80"/>
  <c r="AL18" i="80"/>
  <c r="G33" i="79"/>
  <c r="G26" i="79"/>
  <c r="E32" i="80"/>
  <c r="G21" i="79"/>
  <c r="AL33" i="80"/>
  <c r="AK47" i="80"/>
  <c r="E34" i="80"/>
  <c r="AL16" i="80"/>
  <c r="AL19" i="80"/>
  <c r="E40" i="80"/>
  <c r="E23" i="80"/>
  <c r="AL29" i="80"/>
  <c r="E27" i="80"/>
  <c r="G18" i="79"/>
  <c r="AJ45" i="79"/>
  <c r="AJ48" i="79"/>
  <c r="AK46" i="80"/>
  <c r="AJ31" i="79"/>
  <c r="AJ63" i="79"/>
  <c r="G30" i="79"/>
  <c r="AJ26" i="79"/>
  <c r="AK37" i="80"/>
  <c r="AL39" i="80"/>
  <c r="AJ40" i="79"/>
  <c r="E11" i="80"/>
  <c r="G39" i="79"/>
  <c r="AJ52" i="79"/>
  <c r="E15" i="80"/>
  <c r="E35" i="80"/>
  <c r="E28" i="80"/>
  <c r="G10" i="79"/>
  <c r="AK7" i="80"/>
  <c r="AK26" i="80"/>
  <c r="E19" i="80"/>
  <c r="AK25" i="80"/>
  <c r="AL22" i="80"/>
  <c r="AL27" i="80"/>
  <c r="AK40" i="80"/>
  <c r="G16" i="79"/>
  <c r="E48" i="80"/>
  <c r="AJ54" i="79"/>
  <c r="AJ18" i="79"/>
  <c r="AL15" i="80"/>
  <c r="AK9" i="80"/>
  <c r="E50" i="80"/>
  <c r="E33" i="80"/>
  <c r="AK22" i="80"/>
  <c r="G36" i="79"/>
  <c r="AL43" i="80"/>
  <c r="AL28" i="80"/>
  <c r="E29" i="80"/>
  <c r="AL14" i="80"/>
  <c r="AJ39" i="79"/>
  <c r="AJ64" i="79"/>
  <c r="E37" i="80"/>
  <c r="E9" i="80"/>
  <c r="AJ43" i="79"/>
  <c r="E45" i="80"/>
  <c r="G29" i="79"/>
  <c r="AK48" i="80"/>
  <c r="AK16" i="80"/>
  <c r="AJ49" i="79"/>
  <c r="AL12" i="80"/>
  <c r="AJ20" i="79"/>
  <c r="G47" i="79"/>
  <c r="AJ57" i="79"/>
  <c r="G41" i="79"/>
  <c r="AK11" i="80"/>
  <c r="G43" i="79"/>
  <c r="AK36" i="80"/>
  <c r="AL35" i="80"/>
  <c r="E44" i="80"/>
  <c r="AJ38" i="79"/>
  <c r="AL36" i="80"/>
  <c r="G35" i="79"/>
  <c r="AK8" i="80"/>
  <c r="AL34" i="80"/>
  <c r="AJ34" i="79"/>
  <c r="AJ24" i="79"/>
  <c r="E39" i="80"/>
  <c r="E21" i="80"/>
  <c r="AL44" i="80"/>
  <c r="AK39" i="80"/>
  <c r="AJ44" i="79"/>
  <c r="AJ29" i="79"/>
  <c r="AJ65" i="79"/>
  <c r="AJ9" i="79"/>
  <c r="AK10" i="80"/>
  <c r="G38" i="79"/>
  <c r="AJ53" i="79"/>
  <c r="AJ17" i="79"/>
  <c r="AJ42" i="79"/>
  <c r="AJ14" i="79"/>
  <c r="AL24" i="80"/>
  <c r="AK42" i="80"/>
  <c r="G49" i="79"/>
  <c r="G22" i="79"/>
  <c r="AL23" i="80"/>
  <c r="E20" i="80"/>
  <c r="E13" i="80"/>
  <c r="AL7" i="80"/>
  <c r="AJ66" i="79"/>
  <c r="AL17" i="80"/>
  <c r="G28" i="79"/>
  <c r="AK13" i="80"/>
  <c r="AJ62" i="79"/>
  <c r="AJ35" i="79"/>
  <c r="E18" i="80"/>
  <c r="AK49" i="80"/>
  <c r="E30" i="80"/>
  <c r="AK32" i="80"/>
  <c r="E8" i="80"/>
  <c r="AL38" i="80"/>
  <c r="G46" i="79"/>
  <c r="E14" i="80"/>
  <c r="AL45" i="80"/>
  <c r="E26" i="80"/>
  <c r="AJ22" i="79"/>
  <c r="AK12" i="80"/>
  <c r="E46" i="80"/>
  <c r="E61" i="80"/>
  <c r="AL8" i="80"/>
  <c r="AL11" i="80"/>
  <c r="E7" i="80"/>
  <c r="AJ60" i="79"/>
  <c r="AJ47" i="79"/>
  <c r="AL13" i="79"/>
  <c r="AG19" i="80" l="1"/>
  <c r="AH19" i="80"/>
  <c r="AM17" i="80"/>
  <c r="AM45" i="80"/>
  <c r="AM24" i="80"/>
  <c r="AG32" i="80"/>
  <c r="AH32" i="80"/>
  <c r="AM23" i="80"/>
  <c r="AG14" i="80"/>
  <c r="AH14" i="80"/>
  <c r="AM31" i="80"/>
  <c r="U16" i="80" a="1"/>
  <c r="U16" i="80" s="1"/>
  <c r="R10" i="80"/>
  <c r="O16" i="80" a="1"/>
  <c r="O16" i="80" s="1"/>
  <c r="O12" i="80"/>
  <c r="O10" i="80"/>
  <c r="O8" i="80"/>
  <c r="R16" i="80" a="1"/>
  <c r="R16" i="80" s="1"/>
  <c r="R9" i="80"/>
  <c r="U13" i="80"/>
  <c r="V13" i="80" s="1"/>
  <c r="U11" i="80"/>
  <c r="V11" i="80" s="1"/>
  <c r="U9" i="80"/>
  <c r="V9" i="80" s="1"/>
  <c r="R13" i="80"/>
  <c r="S13" i="80" s="1"/>
  <c r="R8" i="80"/>
  <c r="R14" i="80" s="1"/>
  <c r="S12" i="80" s="1"/>
  <c r="O13" i="80"/>
  <c r="O11" i="80"/>
  <c r="O9" i="80"/>
  <c r="U12" i="80"/>
  <c r="V12" i="80" s="1"/>
  <c r="R12" i="80"/>
  <c r="U10" i="80"/>
  <c r="V10" i="80" s="1"/>
  <c r="R11" i="80"/>
  <c r="S11" i="80" s="1"/>
  <c r="U8" i="80"/>
  <c r="V8" i="80" s="1"/>
  <c r="AK63" i="79"/>
  <c r="AM63" i="79" s="1"/>
  <c r="AL63" i="79"/>
  <c r="AH38" i="80"/>
  <c r="AG38" i="80"/>
  <c r="AH50" i="80"/>
  <c r="AG50" i="80"/>
  <c r="AG29" i="80"/>
  <c r="AH29" i="80"/>
  <c r="AM42" i="80"/>
  <c r="AM13" i="79"/>
  <c r="AH21" i="80"/>
  <c r="AG21" i="80"/>
  <c r="AH16" i="80"/>
  <c r="AG16" i="80"/>
  <c r="AK51" i="79"/>
  <c r="AM51" i="79" s="1"/>
  <c r="AL51" i="79"/>
  <c r="AM49" i="80"/>
  <c r="AL64" i="79"/>
  <c r="AK64" i="79"/>
  <c r="AM64" i="79" s="1"/>
  <c r="AG9" i="80"/>
  <c r="AH9" i="80"/>
  <c r="AH42" i="80"/>
  <c r="AG42" i="80"/>
  <c r="AH31" i="80"/>
  <c r="AG31" i="80"/>
  <c r="AH26" i="80"/>
  <c r="AG26" i="80"/>
  <c r="AG15" i="80"/>
  <c r="AH15" i="80"/>
  <c r="AH34" i="80"/>
  <c r="AG34" i="80"/>
  <c r="AM10" i="80"/>
  <c r="AH43" i="80"/>
  <c r="AG43" i="80"/>
  <c r="AH7" i="80"/>
  <c r="AG7" i="80"/>
  <c r="AM61" i="80"/>
  <c r="AH24" i="80"/>
  <c r="AG24" i="80"/>
  <c r="AH39" i="80"/>
  <c r="AG39" i="80"/>
  <c r="AH12" i="80"/>
  <c r="AG12" i="80"/>
  <c r="AM19" i="80"/>
  <c r="AG28" i="80"/>
  <c r="AH28" i="80"/>
  <c r="AK60" i="79"/>
  <c r="AM60" i="79" s="1"/>
  <c r="AL60" i="79"/>
  <c r="AM21" i="80"/>
  <c r="AM43" i="80"/>
  <c r="AM41" i="80"/>
  <c r="AM26" i="80"/>
  <c r="AM30" i="80"/>
  <c r="AH13" i="80"/>
  <c r="AG13" i="80"/>
  <c r="AG17" i="80"/>
  <c r="AH17" i="80"/>
  <c r="AH30" i="80"/>
  <c r="AG30" i="80"/>
  <c r="AM8" i="80"/>
  <c r="AM9" i="80"/>
  <c r="AG23" i="80"/>
  <c r="AH23" i="80"/>
  <c r="AL59" i="79"/>
  <c r="AK59" i="79"/>
  <c r="AM59" i="79" s="1"/>
  <c r="AM14" i="80"/>
  <c r="AH48" i="80"/>
  <c r="AG48" i="80"/>
  <c r="AK65" i="79"/>
  <c r="AM65" i="79" s="1"/>
  <c r="AL65" i="79"/>
  <c r="AG47" i="80"/>
  <c r="AH47" i="80"/>
  <c r="AM47" i="80"/>
  <c r="AM33" i="80"/>
  <c r="AG27" i="80"/>
  <c r="AH27" i="80"/>
  <c r="AL62" i="79"/>
  <c r="AK62" i="79"/>
  <c r="AM62" i="79" s="1"/>
  <c r="AM28" i="80"/>
  <c r="AM7" i="80"/>
  <c r="AM36" i="80"/>
  <c r="AM35" i="80"/>
  <c r="AK58" i="79"/>
  <c r="AM58" i="79" s="1"/>
  <c r="AL58" i="79"/>
  <c r="AM44" i="80"/>
  <c r="AH11" i="80"/>
  <c r="AG11" i="80"/>
  <c r="AM50" i="80"/>
  <c r="AM12" i="80"/>
  <c r="AL55" i="79"/>
  <c r="AK55" i="79"/>
  <c r="AM55" i="79" s="1"/>
  <c r="AM16" i="80"/>
  <c r="AG33" i="80"/>
  <c r="AH33" i="80"/>
  <c r="AG46" i="80"/>
  <c r="AH46" i="80"/>
  <c r="AM20" i="80"/>
  <c r="AH40" i="80"/>
  <c r="AG40" i="80"/>
  <c r="AM39" i="80"/>
  <c r="AL54" i="79"/>
  <c r="AK54" i="79"/>
  <c r="AM54" i="79" s="1"/>
  <c r="AG36" i="80"/>
  <c r="AH36" i="80"/>
  <c r="AK52" i="79"/>
  <c r="AM52" i="79" s="1"/>
  <c r="AL52" i="79"/>
  <c r="AH25" i="80"/>
  <c r="AG25" i="80"/>
  <c r="AM48" i="80"/>
  <c r="AH37" i="80"/>
  <c r="AG37" i="80"/>
  <c r="AH49" i="80"/>
  <c r="AG49" i="80"/>
  <c r="AL57" i="79"/>
  <c r="AK57" i="79"/>
  <c r="AM57" i="79" s="1"/>
  <c r="AG22" i="80"/>
  <c r="AH22" i="80"/>
  <c r="AM27" i="80"/>
  <c r="AH10" i="80"/>
  <c r="AG10" i="80"/>
  <c r="AH20" i="80"/>
  <c r="AG20" i="80"/>
  <c r="AG18" i="80"/>
  <c r="AH18" i="80"/>
  <c r="AG13" i="79"/>
  <c r="AH13" i="79"/>
  <c r="AM18" i="80"/>
  <c r="AH8" i="80"/>
  <c r="AG8" i="80"/>
  <c r="AM46" i="80"/>
  <c r="AK53" i="79"/>
  <c r="AM53" i="79" s="1"/>
  <c r="AL53" i="79"/>
  <c r="AM29" i="80"/>
  <c r="AM37" i="80"/>
  <c r="AM34" i="80"/>
  <c r="AG45" i="80"/>
  <c r="AH45" i="80"/>
  <c r="AM38" i="80"/>
  <c r="AG41" i="80"/>
  <c r="AH41" i="80"/>
  <c r="AL66" i="79"/>
  <c r="AK66" i="79"/>
  <c r="AM66" i="79" s="1"/>
  <c r="AM25" i="80"/>
  <c r="AM40" i="80"/>
  <c r="AM32" i="80"/>
  <c r="AM13" i="80"/>
  <c r="AM22" i="80"/>
  <c r="AK67" i="79"/>
  <c r="AM67" i="79" s="1"/>
  <c r="AL67" i="79"/>
  <c r="AH61" i="80"/>
  <c r="AG61" i="80"/>
  <c r="AG44" i="80"/>
  <c r="AH44" i="80"/>
  <c r="AM11" i="80"/>
  <c r="AM15" i="80"/>
  <c r="AH35" i="80"/>
  <c r="AG35" i="80"/>
  <c r="AK56" i="79"/>
  <c r="AM56" i="79" s="1"/>
  <c r="AL56" i="79"/>
  <c r="BH20" i="85"/>
  <c r="BG20" i="85"/>
  <c r="BI20" i="85"/>
  <c r="BF20" i="85"/>
  <c r="BD21" i="85"/>
  <c r="BC22" i="85"/>
  <c r="BC21" i="84"/>
  <c r="BD20" i="84"/>
  <c r="BF19" i="84"/>
  <c r="BI19" i="84"/>
  <c r="BH19" i="84"/>
  <c r="BG19" i="84"/>
  <c r="BI16" i="83"/>
  <c r="BF16" i="83"/>
  <c r="BH16" i="83"/>
  <c r="BG16" i="83"/>
  <c r="BC18" i="83"/>
  <c r="BD17" i="83"/>
  <c r="S9" i="81"/>
  <c r="P10" i="81"/>
  <c r="P8" i="81"/>
  <c r="P11" i="81"/>
  <c r="BG10" i="81"/>
  <c r="BH10" i="81"/>
  <c r="BF10" i="81"/>
  <c r="BI10" i="81"/>
  <c r="BC12" i="81"/>
  <c r="BD11" i="81"/>
  <c r="S14" i="81"/>
  <c r="R5" i="81"/>
  <c r="V14" i="81"/>
  <c r="U5" i="81"/>
  <c r="AA14" i="81"/>
  <c r="S8" i="81"/>
  <c r="P14" i="81"/>
  <c r="O5" i="81"/>
  <c r="P9" i="81"/>
  <c r="S10" i="81"/>
  <c r="P12" i="81"/>
  <c r="BF8" i="80"/>
  <c r="BG8" i="80"/>
  <c r="AY33" i="78"/>
  <c r="AY21" i="78"/>
  <c r="BH8" i="80"/>
  <c r="BI7" i="80"/>
  <c r="BH7" i="80"/>
  <c r="BG7" i="80"/>
  <c r="BF7" i="80"/>
  <c r="AA8" i="80"/>
  <c r="BD10" i="80"/>
  <c r="BC11" i="80"/>
  <c r="BI9" i="80"/>
  <c r="BH9" i="80"/>
  <c r="BG9" i="80"/>
  <c r="BF9" i="80"/>
  <c r="AY26" i="78"/>
  <c r="AY53" i="78"/>
  <c r="AY34" i="78"/>
  <c r="AY18" i="78"/>
  <c r="AY25" i="78"/>
  <c r="AY49" i="78"/>
  <c r="AY15" i="78"/>
  <c r="AY57" i="78"/>
  <c r="AY38" i="78"/>
  <c r="AY41" i="78"/>
  <c r="AY17" i="78"/>
  <c r="AY24" i="78"/>
  <c r="AY12" i="78"/>
  <c r="AY56" i="78"/>
  <c r="AY46" i="78"/>
  <c r="AY27" i="78"/>
  <c r="AY31" i="78"/>
  <c r="AY8" i="78"/>
  <c r="M12" i="78"/>
  <c r="AY10" i="78"/>
  <c r="AY62" i="78"/>
  <c r="AY51" i="78"/>
  <c r="AY60" i="78"/>
  <c r="AY20" i="78"/>
  <c r="AY63" i="78"/>
  <c r="AY52" i="78"/>
  <c r="AY44" i="78"/>
  <c r="AY40" i="78"/>
  <c r="AY32" i="78"/>
  <c r="AY28" i="78"/>
  <c r="AY23" i="78"/>
  <c r="AY35" i="78"/>
  <c r="AY14" i="78"/>
  <c r="AY9" i="78"/>
  <c r="M8" i="78"/>
  <c r="AY55" i="78"/>
  <c r="AY50" i="78"/>
  <c r="AY45" i="78"/>
  <c r="AY19" i="78"/>
  <c r="AY39" i="78"/>
  <c r="AY61" i="78"/>
  <c r="Y14" i="78"/>
  <c r="BC10" i="78"/>
  <c r="AY58" i="78"/>
  <c r="AY42" i="78"/>
  <c r="AY37" i="78"/>
  <c r="AY13" i="78"/>
  <c r="AY59" i="78"/>
  <c r="AY48" i="78"/>
  <c r="AY54" i="78"/>
  <c r="AY36" i="78"/>
  <c r="AY30" i="78"/>
  <c r="AY29" i="78"/>
  <c r="AY16" i="78"/>
  <c r="AY11" i="78"/>
  <c r="AY22" i="78"/>
  <c r="AY47" i="78"/>
  <c r="AY43" i="78"/>
  <c r="M14" i="78"/>
  <c r="M9" i="78"/>
  <c r="M11" i="78"/>
  <c r="L5" i="78"/>
  <c r="AY7" i="78"/>
  <c r="BD7" i="79"/>
  <c r="BG7" i="79" s="1"/>
  <c r="BD9" i="79"/>
  <c r="BC10" i="79"/>
  <c r="BD8" i="79"/>
  <c r="BX62" i="5"/>
  <c r="BW62" i="5"/>
  <c r="BV62" i="5"/>
  <c r="BX61" i="5"/>
  <c r="BX63" i="5" s="1"/>
  <c r="BW61" i="5"/>
  <c r="BW63" i="5" s="1"/>
  <c r="BV61" i="5"/>
  <c r="BV63" i="5" s="1"/>
  <c r="BY57" i="5"/>
  <c r="BX57" i="5"/>
  <c r="BW57" i="5"/>
  <c r="BV57" i="5"/>
  <c r="BY56" i="5"/>
  <c r="BY58" i="5" s="1"/>
  <c r="BX56" i="5"/>
  <c r="BW56" i="5"/>
  <c r="BV56" i="5"/>
  <c r="BV58" i="5" s="1"/>
  <c r="BY47" i="5"/>
  <c r="BX47" i="5"/>
  <c r="BW47" i="5"/>
  <c r="BV47" i="5"/>
  <c r="BY46" i="5"/>
  <c r="BX46" i="5"/>
  <c r="BX52" i="5" s="1"/>
  <c r="BW46" i="5"/>
  <c r="BW52" i="5" s="1"/>
  <c r="BV46" i="5"/>
  <c r="BV52" i="5" s="1"/>
  <c r="BY45" i="5"/>
  <c r="BX45" i="5"/>
  <c r="BW45" i="5"/>
  <c r="BV45" i="5"/>
  <c r="BY44" i="5"/>
  <c r="BX44" i="5"/>
  <c r="BX51" i="5" s="1"/>
  <c r="BX53" i="5" s="1"/>
  <c r="BW44" i="5"/>
  <c r="BW51" i="5" s="1"/>
  <c r="BW53" i="5" s="1"/>
  <c r="BV44" i="5"/>
  <c r="BV51" i="5" s="1"/>
  <c r="BV53" i="5" s="1"/>
  <c r="BY43" i="5"/>
  <c r="BX43" i="5"/>
  <c r="BW43" i="5"/>
  <c r="BV43" i="5"/>
  <c r="BY42" i="5"/>
  <c r="BY50" i="5" s="1"/>
  <c r="U11" i="9" s="1"/>
  <c r="BX42" i="5"/>
  <c r="BX50" i="5" s="1"/>
  <c r="BW42" i="5"/>
  <c r="BW50" i="5" s="1"/>
  <c r="BV42" i="5"/>
  <c r="BV50" i="5" s="1"/>
  <c r="BX40" i="5"/>
  <c r="BW40" i="5"/>
  <c r="BV40" i="5"/>
  <c r="E43" i="79"/>
  <c r="AK16" i="79"/>
  <c r="G42" i="78"/>
  <c r="AK14" i="79"/>
  <c r="AL17" i="79"/>
  <c r="E13" i="79"/>
  <c r="AJ27" i="78"/>
  <c r="AK20" i="79"/>
  <c r="G39" i="78"/>
  <c r="AJ17" i="78"/>
  <c r="AK38" i="79"/>
  <c r="AL49" i="79"/>
  <c r="E44" i="79"/>
  <c r="AL24" i="79"/>
  <c r="AJ8" i="78"/>
  <c r="AL30" i="79"/>
  <c r="AL31" i="79"/>
  <c r="E30" i="79"/>
  <c r="AK22" i="79"/>
  <c r="G29" i="78"/>
  <c r="E36" i="79"/>
  <c r="AL28" i="79"/>
  <c r="AJ23" i="78"/>
  <c r="AJ47" i="78"/>
  <c r="AK10" i="79"/>
  <c r="AJ62" i="78"/>
  <c r="AL38" i="79"/>
  <c r="E10" i="79"/>
  <c r="E48" i="79"/>
  <c r="E21" i="79"/>
  <c r="E46" i="79"/>
  <c r="E35" i="79"/>
  <c r="E14" i="79"/>
  <c r="E42" i="79"/>
  <c r="E8" i="79"/>
  <c r="AL27" i="79"/>
  <c r="E20" i="79"/>
  <c r="G49" i="78"/>
  <c r="G40" i="78"/>
  <c r="AL25" i="79"/>
  <c r="E33" i="79"/>
  <c r="AL40" i="79"/>
  <c r="AJ42" i="78"/>
  <c r="AJ15" i="78"/>
  <c r="G12" i="78"/>
  <c r="G19" i="78"/>
  <c r="AK18" i="79"/>
  <c r="AJ54" i="78"/>
  <c r="G8" i="78"/>
  <c r="AL29" i="79"/>
  <c r="AL18" i="79"/>
  <c r="E19" i="79"/>
  <c r="AL47" i="79"/>
  <c r="AJ44" i="78"/>
  <c r="E29" i="79"/>
  <c r="AK36" i="79"/>
  <c r="AL33" i="79"/>
  <c r="G45" i="78"/>
  <c r="G27" i="78"/>
  <c r="AJ39" i="78"/>
  <c r="AK17" i="79"/>
  <c r="AJ63" i="78"/>
  <c r="AJ29" i="78"/>
  <c r="AL39" i="79"/>
  <c r="AJ57" i="78"/>
  <c r="G34" i="78"/>
  <c r="E16" i="79"/>
  <c r="AL35" i="79"/>
  <c r="AL23" i="79"/>
  <c r="AK40" i="79"/>
  <c r="G23" i="78"/>
  <c r="AL22" i="79"/>
  <c r="AL26" i="79"/>
  <c r="AL48" i="79"/>
  <c r="AJ33" i="78"/>
  <c r="E34" i="79"/>
  <c r="AJ43" i="78"/>
  <c r="AJ12" i="78"/>
  <c r="G10" i="78"/>
  <c r="E39" i="79"/>
  <c r="AK8" i="79"/>
  <c r="AK21" i="79"/>
  <c r="AL10" i="79"/>
  <c r="E9" i="79"/>
  <c r="AJ46" i="78"/>
  <c r="E24" i="79"/>
  <c r="AK42" i="79"/>
  <c r="AJ40" i="78"/>
  <c r="AK41" i="79"/>
  <c r="G36" i="78"/>
  <c r="G33" i="78"/>
  <c r="AJ37" i="78"/>
  <c r="AJ59" i="78"/>
  <c r="G11" i="78"/>
  <c r="AK29" i="79"/>
  <c r="G43" i="78"/>
  <c r="AJ24" i="78"/>
  <c r="E41" i="79"/>
  <c r="G61" i="78"/>
  <c r="AL32" i="79"/>
  <c r="AK31" i="79"/>
  <c r="AK30" i="79"/>
  <c r="E22" i="79"/>
  <c r="E27" i="79"/>
  <c r="AJ14" i="78"/>
  <c r="G7" i="78"/>
  <c r="AJ25" i="78"/>
  <c r="AK23" i="79"/>
  <c r="E15" i="79"/>
  <c r="E25" i="79"/>
  <c r="AK19" i="79"/>
  <c r="AK48" i="79"/>
  <c r="E45" i="79"/>
  <c r="E28" i="79"/>
  <c r="AJ36" i="78"/>
  <c r="AL15" i="79"/>
  <c r="AJ67" i="78"/>
  <c r="AK33" i="79"/>
  <c r="AL61" i="79"/>
  <c r="AL36" i="79"/>
  <c r="AJ9" i="78"/>
  <c r="AJ26" i="78"/>
  <c r="AK39" i="79"/>
  <c r="G31" i="78"/>
  <c r="AJ48" i="78"/>
  <c r="AK9" i="79"/>
  <c r="G14" i="78"/>
  <c r="AJ41" i="78"/>
  <c r="G13" i="78"/>
  <c r="E23" i="79"/>
  <c r="AJ49" i="78"/>
  <c r="AL7" i="79"/>
  <c r="AJ50" i="78"/>
  <c r="AK25" i="79"/>
  <c r="E49" i="79"/>
  <c r="AK45" i="79"/>
  <c r="E7" i="79"/>
  <c r="AJ34" i="78"/>
  <c r="AK28" i="79"/>
  <c r="AJ28" i="78"/>
  <c r="AL16" i="79"/>
  <c r="AJ51" i="78"/>
  <c r="AK32" i="79"/>
  <c r="E26" i="79"/>
  <c r="AK11" i="79"/>
  <c r="G32" i="78"/>
  <c r="G16" i="78"/>
  <c r="AJ58" i="78"/>
  <c r="E32" i="79"/>
  <c r="AJ60" i="78"/>
  <c r="G25" i="78"/>
  <c r="AL19" i="79"/>
  <c r="G44" i="78"/>
  <c r="AK15" i="79"/>
  <c r="E12" i="79"/>
  <c r="AJ35" i="78"/>
  <c r="G37" i="78"/>
  <c r="AJ22" i="78"/>
  <c r="AL20" i="79"/>
  <c r="AJ10" i="78"/>
  <c r="AJ19" i="78"/>
  <c r="AL7" i="78"/>
  <c r="AJ64" i="78"/>
  <c r="AJ31" i="78"/>
  <c r="G46" i="78"/>
  <c r="AK34" i="79"/>
  <c r="AJ38" i="78"/>
  <c r="AJ65" i="78"/>
  <c r="G41" i="78"/>
  <c r="AK49" i="79"/>
  <c r="E50" i="79"/>
  <c r="AJ55" i="78"/>
  <c r="AJ11" i="78"/>
  <c r="G48" i="78"/>
  <c r="AL8" i="79"/>
  <c r="G15" i="78"/>
  <c r="AK37" i="79"/>
  <c r="G47" i="78"/>
  <c r="G50" i="78"/>
  <c r="AJ18" i="78"/>
  <c r="G24" i="78"/>
  <c r="AL14" i="79"/>
  <c r="AL45" i="79"/>
  <c r="AL46" i="79"/>
  <c r="G38" i="78"/>
  <c r="AK44" i="79"/>
  <c r="G17" i="78"/>
  <c r="AK26" i="79"/>
  <c r="AK35" i="79"/>
  <c r="E40" i="79"/>
  <c r="E37" i="79"/>
  <c r="AJ13" i="78"/>
  <c r="G9" i="78"/>
  <c r="E18" i="79"/>
  <c r="E47" i="79"/>
  <c r="AJ32" i="78"/>
  <c r="AJ53" i="78"/>
  <c r="AK7" i="79"/>
  <c r="AK61" i="79"/>
  <c r="AK24" i="79"/>
  <c r="AL34" i="79"/>
  <c r="G21" i="78"/>
  <c r="AL42" i="79"/>
  <c r="E61" i="79"/>
  <c r="G30" i="78"/>
  <c r="E31" i="79"/>
  <c r="E17" i="79"/>
  <c r="AJ20" i="78"/>
  <c r="AK43" i="79"/>
  <c r="AK7" i="78"/>
  <c r="AJ30" i="78"/>
  <c r="G18" i="78"/>
  <c r="G22" i="78"/>
  <c r="AJ21" i="78"/>
  <c r="AJ66" i="78"/>
  <c r="AL11" i="79"/>
  <c r="G28" i="78"/>
  <c r="AL37" i="79"/>
  <c r="AJ52" i="78"/>
  <c r="AK27" i="79"/>
  <c r="AL9" i="79"/>
  <c r="AK47" i="79"/>
  <c r="AL12" i="79"/>
  <c r="E11" i="79"/>
  <c r="AL21" i="79"/>
  <c r="AL41" i="79"/>
  <c r="AL44" i="79"/>
  <c r="G26" i="78"/>
  <c r="AL50" i="79"/>
  <c r="AL43" i="79"/>
  <c r="AJ61" i="78"/>
  <c r="AJ16" i="78"/>
  <c r="AK12" i="79"/>
  <c r="AJ56" i="78"/>
  <c r="G35" i="78"/>
  <c r="E38" i="79"/>
  <c r="G20" i="78"/>
  <c r="AK50" i="79"/>
  <c r="AK46" i="79"/>
  <c r="AJ45" i="78"/>
  <c r="BD11" i="7"/>
  <c r="O14" i="80" l="1"/>
  <c r="P8" i="80" s="1"/>
  <c r="BW58" i="5"/>
  <c r="BX58" i="5"/>
  <c r="AA13" i="80"/>
  <c r="AA9" i="80"/>
  <c r="AA12" i="80"/>
  <c r="U14" i="80"/>
  <c r="AA10" i="80"/>
  <c r="AA11" i="80"/>
  <c r="BD22" i="85"/>
  <c r="BC23" i="85"/>
  <c r="BI21" i="85"/>
  <c r="BH21" i="85"/>
  <c r="BG21" i="85"/>
  <c r="BF21" i="85"/>
  <c r="BG20" i="84"/>
  <c r="BF20" i="84"/>
  <c r="BI20" i="84"/>
  <c r="BH20" i="84"/>
  <c r="BC22" i="84"/>
  <c r="BD21" i="84"/>
  <c r="BH17" i="83"/>
  <c r="BI17" i="83"/>
  <c r="BF17" i="83"/>
  <c r="BG17" i="83"/>
  <c r="BD18" i="83"/>
  <c r="BC19" i="83"/>
  <c r="BG11" i="81"/>
  <c r="BF11" i="81"/>
  <c r="BI11" i="81"/>
  <c r="BH11" i="81"/>
  <c r="BC13" i="81"/>
  <c r="BD12" i="81"/>
  <c r="AK53" i="78"/>
  <c r="AM53" i="78" s="1"/>
  <c r="AL53" i="78"/>
  <c r="AG8" i="79"/>
  <c r="AH8" i="79"/>
  <c r="AG38" i="79"/>
  <c r="AH38" i="79"/>
  <c r="AG45" i="79"/>
  <c r="AH45" i="79"/>
  <c r="AM33" i="79"/>
  <c r="AH22" i="79"/>
  <c r="AG22" i="79"/>
  <c r="AH32" i="79"/>
  <c r="AG32" i="79"/>
  <c r="AM25" i="79"/>
  <c r="AM38" i="79"/>
  <c r="AH24" i="79"/>
  <c r="AG24" i="79"/>
  <c r="AM15" i="79"/>
  <c r="AM46" i="79"/>
  <c r="AM30" i="79"/>
  <c r="AK59" i="78"/>
  <c r="AM59" i="78" s="1"/>
  <c r="AL59" i="78"/>
  <c r="AH40" i="79"/>
  <c r="AG40" i="79"/>
  <c r="AK60" i="78"/>
  <c r="AM60" i="78" s="1"/>
  <c r="AL60" i="78"/>
  <c r="AK54" i="78"/>
  <c r="AM54" i="78" s="1"/>
  <c r="AL54" i="78"/>
  <c r="AM47" i="79"/>
  <c r="AM35" i="79"/>
  <c r="AM18" i="79"/>
  <c r="AH18" i="79"/>
  <c r="AG18" i="79"/>
  <c r="AH50" i="79"/>
  <c r="AG50" i="79"/>
  <c r="AM16" i="79"/>
  <c r="AM37" i="79"/>
  <c r="AH28" i="79"/>
  <c r="AG28" i="79"/>
  <c r="AM19" i="79"/>
  <c r="AG37" i="79"/>
  <c r="AH37" i="79"/>
  <c r="AG41" i="79"/>
  <c r="AH41" i="79"/>
  <c r="AH7" i="78"/>
  <c r="AG7" i="78"/>
  <c r="AG15" i="79"/>
  <c r="AH15" i="79"/>
  <c r="AM27" i="79"/>
  <c r="AH31" i="79"/>
  <c r="AG31" i="79"/>
  <c r="AG49" i="79"/>
  <c r="AH49" i="79"/>
  <c r="AK66" i="78"/>
  <c r="AM66" i="78" s="1"/>
  <c r="AL66" i="78"/>
  <c r="AM8" i="79"/>
  <c r="AM32" i="79"/>
  <c r="AM22" i="79"/>
  <c r="AH16" i="79"/>
  <c r="AG16" i="79"/>
  <c r="AL67" i="78"/>
  <c r="AK67" i="78"/>
  <c r="AM67" i="78" s="1"/>
  <c r="AM48" i="79"/>
  <c r="AG61" i="79"/>
  <c r="AH61" i="79"/>
  <c r="AM44" i="79"/>
  <c r="AL62" i="78"/>
  <c r="AK62" i="78"/>
  <c r="AM62" i="78" s="1"/>
  <c r="AM41" i="79"/>
  <c r="AH14" i="79"/>
  <c r="AG14" i="79"/>
  <c r="AG26" i="79"/>
  <c r="AH26" i="79"/>
  <c r="AM20" i="79"/>
  <c r="AG36" i="79"/>
  <c r="AH36" i="79"/>
  <c r="AM49" i="79"/>
  <c r="AG30" i="79"/>
  <c r="AH30" i="79"/>
  <c r="AG7" i="79"/>
  <c r="AH7" i="79"/>
  <c r="AM23" i="79"/>
  <c r="AG21" i="79"/>
  <c r="AH21" i="79"/>
  <c r="AM7" i="79"/>
  <c r="AM21" i="79"/>
  <c r="AK58" i="78"/>
  <c r="AM58" i="78" s="1"/>
  <c r="AL58" i="78"/>
  <c r="AG23" i="79"/>
  <c r="AH23" i="79"/>
  <c r="AL55" i="78"/>
  <c r="AK55" i="78"/>
  <c r="AM55" i="78" s="1"/>
  <c r="AH48" i="79"/>
  <c r="AG48" i="79"/>
  <c r="AM42" i="79"/>
  <c r="AH35" i="79"/>
  <c r="AG35" i="79"/>
  <c r="AM14" i="79"/>
  <c r="AM43" i="79"/>
  <c r="AM24" i="79"/>
  <c r="AM39" i="79"/>
  <c r="AM31" i="79"/>
  <c r="AM29" i="79"/>
  <c r="AK51" i="78"/>
  <c r="AM51" i="78" s="1"/>
  <c r="AL51" i="78"/>
  <c r="AM7" i="78"/>
  <c r="AM12" i="79"/>
  <c r="AG25" i="79"/>
  <c r="AH25" i="79"/>
  <c r="AG20" i="79"/>
  <c r="AH20" i="79"/>
  <c r="AH9" i="79"/>
  <c r="AG9" i="79"/>
  <c r="AK52" i="78"/>
  <c r="AM52" i="78" s="1"/>
  <c r="AL52" i="78"/>
  <c r="AK64" i="78"/>
  <c r="AM64" i="78" s="1"/>
  <c r="AL64" i="78"/>
  <c r="AM10" i="79"/>
  <c r="AL56" i="78"/>
  <c r="AK56" i="78"/>
  <c r="AM56" i="78" s="1"/>
  <c r="AG33" i="79"/>
  <c r="AH33" i="79"/>
  <c r="AH46" i="79"/>
  <c r="AG46" i="79"/>
  <c r="AK57" i="78"/>
  <c r="AM57" i="78" s="1"/>
  <c r="AL57" i="78"/>
  <c r="AM11" i="79"/>
  <c r="AM40" i="79"/>
  <c r="AM17" i="79"/>
  <c r="AG47" i="79"/>
  <c r="AH47" i="79"/>
  <c r="AH44" i="79"/>
  <c r="AG44" i="79"/>
  <c r="AM36" i="79"/>
  <c r="AH11" i="79"/>
  <c r="AG11" i="79"/>
  <c r="AG19" i="79"/>
  <c r="AH19" i="79"/>
  <c r="AK65" i="78"/>
  <c r="AM65" i="78" s="1"/>
  <c r="AL65" i="78"/>
  <c r="AM34" i="79"/>
  <c r="AG29" i="79"/>
  <c r="AH29" i="79"/>
  <c r="AM45" i="79"/>
  <c r="AH43" i="79"/>
  <c r="AG43" i="79"/>
  <c r="AM50" i="79"/>
  <c r="AM28" i="79"/>
  <c r="AG39" i="79"/>
  <c r="AH39" i="79"/>
  <c r="AH34" i="79"/>
  <c r="AG34" i="79"/>
  <c r="AM26" i="79"/>
  <c r="AH10" i="79"/>
  <c r="AG10" i="79"/>
  <c r="AG12" i="79"/>
  <c r="AH12" i="79"/>
  <c r="AM9" i="79"/>
  <c r="AK63" i="78"/>
  <c r="AM63" i="78" s="1"/>
  <c r="AL63" i="78"/>
  <c r="AH42" i="79"/>
  <c r="AG42" i="79"/>
  <c r="AM61" i="79"/>
  <c r="O16" i="79" a="1"/>
  <c r="O16" i="79" s="1"/>
  <c r="O8" i="79"/>
  <c r="R9" i="79"/>
  <c r="R11" i="79"/>
  <c r="S11" i="79" s="1"/>
  <c r="U9" i="79"/>
  <c r="V9" i="79" s="1"/>
  <c r="R16" i="79" a="1"/>
  <c r="R16" i="79" s="1"/>
  <c r="R12" i="79"/>
  <c r="U13" i="79"/>
  <c r="V13" i="79" s="1"/>
  <c r="R8" i="79"/>
  <c r="R10" i="79"/>
  <c r="U8" i="79"/>
  <c r="V8" i="79" s="1"/>
  <c r="U16" i="79" a="1"/>
  <c r="U16" i="79" s="1"/>
  <c r="O12" i="79"/>
  <c r="U12" i="79"/>
  <c r="V12" i="79" s="1"/>
  <c r="O9" i="79"/>
  <c r="O13" i="79"/>
  <c r="U11" i="79"/>
  <c r="V11" i="79" s="1"/>
  <c r="O11" i="79"/>
  <c r="U10" i="79"/>
  <c r="V10" i="79" s="1"/>
  <c r="O10" i="79"/>
  <c r="R13" i="79"/>
  <c r="S13" i="79" s="1"/>
  <c r="AG27" i="79"/>
  <c r="AH27" i="79"/>
  <c r="AG17" i="79"/>
  <c r="AH17" i="79"/>
  <c r="BF7" i="79"/>
  <c r="P10" i="80"/>
  <c r="BH7" i="79"/>
  <c r="BI7" i="79"/>
  <c r="P12" i="80"/>
  <c r="BY52" i="5"/>
  <c r="U13" i="9" s="1"/>
  <c r="P11" i="80"/>
  <c r="BY51" i="5"/>
  <c r="U12" i="9" s="1"/>
  <c r="P13" i="80"/>
  <c r="P9" i="80"/>
  <c r="S9" i="80"/>
  <c r="BI10" i="80"/>
  <c r="BH10" i="80"/>
  <c r="BG10" i="80"/>
  <c r="BF10" i="80"/>
  <c r="P14" i="80"/>
  <c r="O5" i="80"/>
  <c r="BD11" i="80"/>
  <c r="BC12" i="80"/>
  <c r="S14" i="80"/>
  <c r="R5" i="80"/>
  <c r="U5" i="80"/>
  <c r="V14" i="80"/>
  <c r="S10" i="80"/>
  <c r="S8" i="80"/>
  <c r="BD8" i="78"/>
  <c r="BD7" i="78"/>
  <c r="BD9" i="78"/>
  <c r="BD10" i="78"/>
  <c r="BC11" i="78"/>
  <c r="BD10" i="79"/>
  <c r="BC11" i="79"/>
  <c r="BI8" i="79"/>
  <c r="BH8" i="79"/>
  <c r="BF8" i="79"/>
  <c r="BG8" i="79"/>
  <c r="BI9" i="79"/>
  <c r="BH9" i="79"/>
  <c r="BG9" i="79"/>
  <c r="BF9" i="79"/>
  <c r="BY62" i="5"/>
  <c r="U12" i="10" s="1"/>
  <c r="BY61" i="5"/>
  <c r="C68" i="76"/>
  <c r="B68" i="76" s="1"/>
  <c r="AH67" i="76"/>
  <c r="AG67" i="76"/>
  <c r="AF67" i="76"/>
  <c r="AH66" i="76"/>
  <c r="AG66" i="76"/>
  <c r="AF66" i="76"/>
  <c r="AH65" i="76"/>
  <c r="AG65" i="76"/>
  <c r="AF65" i="76"/>
  <c r="AH64" i="76"/>
  <c r="AG64" i="76"/>
  <c r="AF64" i="76"/>
  <c r="AV63" i="76"/>
  <c r="AH63" i="76"/>
  <c r="AG63" i="76"/>
  <c r="AF63" i="76"/>
  <c r="AV62" i="76"/>
  <c r="AH62" i="76"/>
  <c r="AG62" i="76"/>
  <c r="AF62" i="76"/>
  <c r="G62" i="76"/>
  <c r="AV61" i="76"/>
  <c r="AV60" i="76"/>
  <c r="AH60" i="76"/>
  <c r="AG60" i="76"/>
  <c r="AF60" i="76"/>
  <c r="AF61" i="76" s="1"/>
  <c r="G60" i="76"/>
  <c r="E60" i="76" s="1"/>
  <c r="AV59" i="76"/>
  <c r="AH59" i="76"/>
  <c r="AG59" i="76"/>
  <c r="AF59" i="76"/>
  <c r="G59" i="76"/>
  <c r="E59" i="76" s="1"/>
  <c r="AV58" i="76"/>
  <c r="AH58" i="76"/>
  <c r="AG58" i="76"/>
  <c r="AF58" i="76"/>
  <c r="G58" i="76"/>
  <c r="AV57" i="76"/>
  <c r="AH57" i="76"/>
  <c r="AG57" i="76"/>
  <c r="AF57" i="76"/>
  <c r="G57" i="76"/>
  <c r="AV56" i="76"/>
  <c r="AH56" i="76"/>
  <c r="AG56" i="76"/>
  <c r="AF56" i="76"/>
  <c r="G56" i="76"/>
  <c r="AV55" i="76"/>
  <c r="AH55" i="76"/>
  <c r="AG55" i="76"/>
  <c r="AF55" i="76"/>
  <c r="G55" i="76"/>
  <c r="AV54" i="76"/>
  <c r="AH54" i="76"/>
  <c r="AG54" i="76"/>
  <c r="AF54" i="76"/>
  <c r="G54" i="76"/>
  <c r="AV53" i="76"/>
  <c r="AH53" i="76"/>
  <c r="AG53" i="76"/>
  <c r="AF53" i="76"/>
  <c r="G53" i="76"/>
  <c r="AV52" i="76"/>
  <c r="AV51" i="76"/>
  <c r="AV50" i="76"/>
  <c r="AV49" i="76"/>
  <c r="AV48" i="76"/>
  <c r="AV47" i="76"/>
  <c r="AV46" i="76"/>
  <c r="AV45" i="76"/>
  <c r="AV44" i="76"/>
  <c r="AV43" i="76"/>
  <c r="AV42" i="76"/>
  <c r="AV41" i="76"/>
  <c r="AV40" i="76"/>
  <c r="AV39" i="76"/>
  <c r="AV38" i="76"/>
  <c r="AV37" i="76"/>
  <c r="AV36" i="76"/>
  <c r="AV35" i="76"/>
  <c r="AV34" i="76"/>
  <c r="AV33" i="76"/>
  <c r="AV32" i="76"/>
  <c r="AV31" i="76"/>
  <c r="AV30" i="76"/>
  <c r="AV29" i="76"/>
  <c r="AV28" i="76"/>
  <c r="AV27" i="76"/>
  <c r="AV26" i="76"/>
  <c r="AV25" i="76"/>
  <c r="AV24" i="76"/>
  <c r="AV23" i="76"/>
  <c r="AV22" i="76"/>
  <c r="AV21" i="76"/>
  <c r="AV20" i="76"/>
  <c r="AV19" i="76"/>
  <c r="AV18" i="76"/>
  <c r="AV17" i="76"/>
  <c r="AV16" i="76"/>
  <c r="L16" i="76" a="1"/>
  <c r="L16" i="76" s="1"/>
  <c r="AV15" i="76"/>
  <c r="AV14" i="76"/>
  <c r="AV13" i="76"/>
  <c r="L13" i="76"/>
  <c r="AV12" i="76"/>
  <c r="L12" i="76"/>
  <c r="AV11" i="76"/>
  <c r="L11" i="76"/>
  <c r="AV10" i="76"/>
  <c r="L10" i="76"/>
  <c r="AV9" i="76"/>
  <c r="L9" i="76"/>
  <c r="AV8" i="76"/>
  <c r="L8" i="76"/>
  <c r="BC7" i="76"/>
  <c r="BC8" i="76" s="1"/>
  <c r="AV7" i="76"/>
  <c r="AF7" i="76"/>
  <c r="AF8" i="76" s="1"/>
  <c r="AF9" i="76" s="1"/>
  <c r="AF10" i="76" s="1"/>
  <c r="AF11" i="76" s="1"/>
  <c r="AF12" i="76" s="1"/>
  <c r="AF13" i="76" s="1"/>
  <c r="AF14" i="76" s="1"/>
  <c r="AF15" i="76" s="1"/>
  <c r="AF16" i="76" s="1"/>
  <c r="AF17" i="76" s="1"/>
  <c r="AF18" i="76" s="1"/>
  <c r="AF19" i="76" s="1"/>
  <c r="AF20" i="76" s="1"/>
  <c r="AF21" i="76" s="1"/>
  <c r="AF22" i="76" s="1"/>
  <c r="AF23" i="76" s="1"/>
  <c r="AF24" i="76" s="1"/>
  <c r="AF25" i="76" s="1"/>
  <c r="AF26" i="76" s="1"/>
  <c r="AF27" i="76" s="1"/>
  <c r="AF28" i="76" s="1"/>
  <c r="AF29" i="76" s="1"/>
  <c r="AF30" i="76" s="1"/>
  <c r="AF31" i="76" s="1"/>
  <c r="AF32" i="76" s="1"/>
  <c r="AF33" i="76" s="1"/>
  <c r="AF34" i="76" s="1"/>
  <c r="AF35" i="76" s="1"/>
  <c r="AF36" i="76" s="1"/>
  <c r="AF37" i="76" s="1"/>
  <c r="AF38" i="76" s="1"/>
  <c r="AF39" i="76" s="1"/>
  <c r="AF40" i="76" s="1"/>
  <c r="AF41" i="76" s="1"/>
  <c r="AF42" i="76" s="1"/>
  <c r="AF43" i="76" s="1"/>
  <c r="AF44" i="76" s="1"/>
  <c r="AF45" i="76" s="1"/>
  <c r="AF46" i="76" s="1"/>
  <c r="AF47" i="76" s="1"/>
  <c r="AF48" i="76" s="1"/>
  <c r="AF49" i="76" s="1"/>
  <c r="AF50" i="76" s="1"/>
  <c r="AF51" i="76" s="1"/>
  <c r="AF52" i="76" s="1"/>
  <c r="AL4" i="76"/>
  <c r="AL2" i="76" s="1"/>
  <c r="AK4" i="76"/>
  <c r="AK2" i="76" s="1"/>
  <c r="AJ4" i="76"/>
  <c r="AJ2" i="76" s="1"/>
  <c r="G3" i="76"/>
  <c r="E2" i="76"/>
  <c r="E3" i="76" s="1"/>
  <c r="A1" i="76"/>
  <c r="E9" i="78"/>
  <c r="E41" i="78"/>
  <c r="AL9" i="78"/>
  <c r="AK38" i="78"/>
  <c r="AK28" i="78"/>
  <c r="AK30" i="78"/>
  <c r="E29" i="78"/>
  <c r="E38" i="78"/>
  <c r="AK20" i="78"/>
  <c r="AL23" i="78"/>
  <c r="AL10" i="78"/>
  <c r="E23" i="78"/>
  <c r="E10" i="78"/>
  <c r="AK12" i="78"/>
  <c r="AL22" i="78"/>
  <c r="E27" i="78"/>
  <c r="E28" i="78"/>
  <c r="E48" i="78"/>
  <c r="E7" i="78"/>
  <c r="AJ8" i="76"/>
  <c r="E32" i="78"/>
  <c r="E36" i="78"/>
  <c r="E47" i="78"/>
  <c r="AK11" i="78"/>
  <c r="AK16" i="78"/>
  <c r="E39" i="78"/>
  <c r="AL11" i="78"/>
  <c r="E61" i="78"/>
  <c r="E34" i="78"/>
  <c r="AK9" i="78"/>
  <c r="E17" i="78"/>
  <c r="AK22" i="78"/>
  <c r="AL21" i="78"/>
  <c r="E13" i="78"/>
  <c r="AK26" i="78"/>
  <c r="AK41" i="78"/>
  <c r="AL12" i="78"/>
  <c r="AL49" i="78"/>
  <c r="AL18" i="78"/>
  <c r="E12" i="78"/>
  <c r="AK35" i="78"/>
  <c r="AK45" i="78"/>
  <c r="AL48" i="78"/>
  <c r="AK39" i="78"/>
  <c r="AL42" i="78"/>
  <c r="AK34" i="78"/>
  <c r="AL31" i="78"/>
  <c r="AK50" i="78"/>
  <c r="AK42" i="78"/>
  <c r="AK23" i="78"/>
  <c r="E35" i="78"/>
  <c r="AK13" i="78"/>
  <c r="AK49" i="78"/>
  <c r="E6" i="76"/>
  <c r="AL20" i="78"/>
  <c r="AL36" i="78"/>
  <c r="AL14" i="78"/>
  <c r="AK48" i="78"/>
  <c r="E33" i="78"/>
  <c r="AL41" i="78"/>
  <c r="E50" i="78"/>
  <c r="AL40" i="78"/>
  <c r="E40" i="78"/>
  <c r="E11" i="78"/>
  <c r="AL27" i="78"/>
  <c r="AL29" i="78"/>
  <c r="E37" i="78"/>
  <c r="E42" i="78"/>
  <c r="E44" i="78"/>
  <c r="E8" i="78"/>
  <c r="AK36" i="78"/>
  <c r="AL46" i="78"/>
  <c r="E15" i="78"/>
  <c r="AK31" i="78"/>
  <c r="AL30" i="78"/>
  <c r="E21" i="78"/>
  <c r="AK24" i="78"/>
  <c r="E18" i="78"/>
  <c r="AK46" i="78"/>
  <c r="AK47" i="78"/>
  <c r="AL19" i="78"/>
  <c r="AK61" i="78"/>
  <c r="E14" i="78"/>
  <c r="E20" i="78"/>
  <c r="AK40" i="78"/>
  <c r="AL39" i="78"/>
  <c r="AL35" i="78"/>
  <c r="AL47" i="78"/>
  <c r="E45" i="78"/>
  <c r="AK21" i="78"/>
  <c r="AK17" i="78"/>
  <c r="AL26" i="78"/>
  <c r="AL43" i="78"/>
  <c r="AL28" i="78"/>
  <c r="AL61" i="78"/>
  <c r="AK27" i="78"/>
  <c r="E16" i="78"/>
  <c r="AL37" i="78"/>
  <c r="AK15" i="78"/>
  <c r="E30" i="78"/>
  <c r="AK10" i="78"/>
  <c r="E25" i="78"/>
  <c r="AL16" i="78"/>
  <c r="AK37" i="78"/>
  <c r="AK33" i="78"/>
  <c r="E49" i="78"/>
  <c r="E31" i="78"/>
  <c r="AL44" i="78"/>
  <c r="AK32" i="78"/>
  <c r="E22" i="78"/>
  <c r="AK18" i="78"/>
  <c r="AK8" i="78"/>
  <c r="AL17" i="78"/>
  <c r="AK43" i="78"/>
  <c r="AK29" i="78"/>
  <c r="AL32" i="78"/>
  <c r="E43" i="78"/>
  <c r="AK14" i="78"/>
  <c r="AL24" i="78"/>
  <c r="AK44" i="78"/>
  <c r="AL33" i="78"/>
  <c r="AL34" i="78"/>
  <c r="E26" i="78"/>
  <c r="AL38" i="78"/>
  <c r="AL15" i="78"/>
  <c r="AL50" i="78"/>
  <c r="AL13" i="78"/>
  <c r="E24" i="78"/>
  <c r="AK19" i="78"/>
  <c r="AK25" i="78"/>
  <c r="AL25" i="78"/>
  <c r="E19" i="78"/>
  <c r="AL45" i="78"/>
  <c r="AL8" i="78"/>
  <c r="E46" i="78"/>
  <c r="AA14" i="80" l="1"/>
  <c r="BC24" i="85"/>
  <c r="BD23" i="85"/>
  <c r="BF22" i="85"/>
  <c r="BI22" i="85"/>
  <c r="BH22" i="85"/>
  <c r="BG22" i="85"/>
  <c r="BH21" i="84"/>
  <c r="BG21" i="84"/>
  <c r="BF21" i="84"/>
  <c r="BI21" i="84"/>
  <c r="BD22" i="84"/>
  <c r="BC23" i="84"/>
  <c r="BG18" i="83"/>
  <c r="BH18" i="83"/>
  <c r="BI18" i="83"/>
  <c r="BF18" i="83"/>
  <c r="BC20" i="83"/>
  <c r="BD19" i="83"/>
  <c r="BY53" i="5"/>
  <c r="U14" i="9" s="1"/>
  <c r="AA8" i="79"/>
  <c r="O14" i="79"/>
  <c r="P10" i="79" s="1"/>
  <c r="BG12" i="81"/>
  <c r="BI12" i="81"/>
  <c r="BH12" i="81"/>
  <c r="BF12" i="81"/>
  <c r="AA12" i="79"/>
  <c r="BC14" i="81"/>
  <c r="BD13" i="81"/>
  <c r="U14" i="79"/>
  <c r="AA10" i="79"/>
  <c r="AH46" i="78"/>
  <c r="AG46" i="78"/>
  <c r="AM34" i="78"/>
  <c r="AH31" i="78"/>
  <c r="AG31" i="78"/>
  <c r="AM32" i="78"/>
  <c r="AM49" i="78"/>
  <c r="AM43" i="78"/>
  <c r="AM14" i="78"/>
  <c r="AH17" i="78"/>
  <c r="AG17" i="78"/>
  <c r="AH48" i="78"/>
  <c r="AG48" i="78"/>
  <c r="AG24" i="78"/>
  <c r="AH24" i="78"/>
  <c r="AM46" i="78"/>
  <c r="AM41" i="78"/>
  <c r="AM22" i="78"/>
  <c r="AM30" i="78"/>
  <c r="AM10" i="78"/>
  <c r="AM19" i="78"/>
  <c r="AH38" i="78"/>
  <c r="AG38" i="78"/>
  <c r="AG11" i="78"/>
  <c r="AH11" i="78"/>
  <c r="AH34" i="78"/>
  <c r="AG34" i="78"/>
  <c r="AM27" i="78"/>
  <c r="AM25" i="78"/>
  <c r="AG50" i="78"/>
  <c r="AH50" i="78"/>
  <c r="AH26" i="78"/>
  <c r="AG26" i="78"/>
  <c r="AM47" i="78"/>
  <c r="AM39" i="78"/>
  <c r="AM28" i="78"/>
  <c r="AM40" i="78"/>
  <c r="AG9" i="78"/>
  <c r="AH9" i="78"/>
  <c r="AG42" i="78"/>
  <c r="AH42" i="78"/>
  <c r="AG12" i="78"/>
  <c r="AH12" i="78"/>
  <c r="AG44" i="78"/>
  <c r="AH44" i="78"/>
  <c r="AG21" i="78"/>
  <c r="AH21" i="78"/>
  <c r="AG41" i="78"/>
  <c r="AH41" i="78"/>
  <c r="AG30" i="78"/>
  <c r="AH30" i="78"/>
  <c r="AG28" i="78"/>
  <c r="AH28" i="78"/>
  <c r="AG40" i="78"/>
  <c r="AH40" i="78"/>
  <c r="AM37" i="78"/>
  <c r="AH8" i="78"/>
  <c r="AG8" i="78"/>
  <c r="AM17" i="78"/>
  <c r="AM48" i="78"/>
  <c r="AM24" i="78"/>
  <c r="AG22" i="78"/>
  <c r="AH22" i="78"/>
  <c r="AM33" i="78"/>
  <c r="AH36" i="78"/>
  <c r="AG36" i="78"/>
  <c r="AG45" i="78"/>
  <c r="AH45" i="78"/>
  <c r="AM38" i="78"/>
  <c r="AH18" i="78"/>
  <c r="AG18" i="78"/>
  <c r="AM11" i="78"/>
  <c r="AH25" i="78"/>
  <c r="AG25" i="78"/>
  <c r="AM29" i="78"/>
  <c r="AM35" i="78"/>
  <c r="AM50" i="78"/>
  <c r="AH61" i="78"/>
  <c r="AG61" i="78"/>
  <c r="AM26" i="78"/>
  <c r="AM23" i="78"/>
  <c r="AH47" i="78"/>
  <c r="AG47" i="78"/>
  <c r="AG39" i="78"/>
  <c r="AH39" i="78"/>
  <c r="AM16" i="78"/>
  <c r="AG20" i="78"/>
  <c r="AH20" i="78"/>
  <c r="AM12" i="78"/>
  <c r="AM44" i="78"/>
  <c r="AM15" i="78"/>
  <c r="AH43" i="78"/>
  <c r="AG43" i="78"/>
  <c r="AH14" i="78"/>
  <c r="AG14" i="78"/>
  <c r="AG13" i="78"/>
  <c r="AH13" i="78"/>
  <c r="AG10" i="78"/>
  <c r="AH10" i="78"/>
  <c r="AH19" i="78"/>
  <c r="AG19" i="78"/>
  <c r="AG27" i="78"/>
  <c r="AH27" i="78"/>
  <c r="AM9" i="78"/>
  <c r="AM42" i="78"/>
  <c r="AM21" i="78"/>
  <c r="AH15" i="78"/>
  <c r="AG15" i="78"/>
  <c r="AM8" i="78"/>
  <c r="AM13" i="78"/>
  <c r="AH33" i="78"/>
  <c r="AG33" i="78"/>
  <c r="AM36" i="78"/>
  <c r="AM45" i="78"/>
  <c r="AM18" i="78"/>
  <c r="U12" i="78"/>
  <c r="V12" i="78" s="1"/>
  <c r="U9" i="78"/>
  <c r="V9" i="78" s="1"/>
  <c r="R11" i="78"/>
  <c r="S11" i="78" s="1"/>
  <c r="O12" i="78"/>
  <c r="R9" i="78"/>
  <c r="R8" i="78"/>
  <c r="U13" i="78"/>
  <c r="V13" i="78" s="1"/>
  <c r="R16" i="78" a="1"/>
  <c r="R16" i="78" s="1"/>
  <c r="U10" i="78"/>
  <c r="V10" i="78" s="1"/>
  <c r="O10" i="78"/>
  <c r="O8" i="78"/>
  <c r="O11" i="78"/>
  <c r="R13" i="78"/>
  <c r="S13" i="78" s="1"/>
  <c r="U11" i="78"/>
  <c r="V11" i="78" s="1"/>
  <c r="R10" i="78"/>
  <c r="O13" i="78"/>
  <c r="R12" i="78"/>
  <c r="U8" i="78"/>
  <c r="V8" i="78" s="1"/>
  <c r="U16" i="78" a="1"/>
  <c r="U16" i="78" s="1"/>
  <c r="O9" i="78"/>
  <c r="O16" i="78" a="1"/>
  <c r="O16" i="78" s="1"/>
  <c r="AH29" i="78"/>
  <c r="AG29" i="78"/>
  <c r="AG35" i="78"/>
  <c r="AH35" i="78"/>
  <c r="AM31" i="78"/>
  <c r="AM61" i="78"/>
  <c r="AG23" i="78"/>
  <c r="AH23" i="78"/>
  <c r="AG32" i="78"/>
  <c r="AH32" i="78"/>
  <c r="AH49" i="78"/>
  <c r="AG49" i="78"/>
  <c r="AG16" i="78"/>
  <c r="AH16" i="78"/>
  <c r="AM20" i="78"/>
  <c r="AG37" i="78"/>
  <c r="AH37" i="78"/>
  <c r="AA13" i="79"/>
  <c r="AA9" i="79"/>
  <c r="R14" i="79"/>
  <c r="S8" i="79" s="1"/>
  <c r="AA11" i="79"/>
  <c r="BI11" i="80"/>
  <c r="BH11" i="80"/>
  <c r="BG11" i="80"/>
  <c r="BF11" i="80"/>
  <c r="BD12" i="80"/>
  <c r="BC13" i="80"/>
  <c r="BD11" i="78"/>
  <c r="BC12" i="78"/>
  <c r="BG8" i="78"/>
  <c r="BI8" i="78"/>
  <c r="BH8" i="78"/>
  <c r="BF8" i="78"/>
  <c r="BG7" i="78"/>
  <c r="BI7" i="78"/>
  <c r="BH7" i="78"/>
  <c r="BF7" i="78"/>
  <c r="BG10" i="78"/>
  <c r="BF10" i="78"/>
  <c r="BH10" i="78"/>
  <c r="BI10" i="78"/>
  <c r="BG9" i="78"/>
  <c r="BH9" i="78"/>
  <c r="BF9" i="78"/>
  <c r="BI9" i="78"/>
  <c r="V14" i="79"/>
  <c r="U5" i="79"/>
  <c r="P11" i="79"/>
  <c r="P14" i="79"/>
  <c r="O5" i="79"/>
  <c r="P8" i="79"/>
  <c r="P9" i="79"/>
  <c r="BD11" i="79"/>
  <c r="BC12" i="79"/>
  <c r="P13" i="79"/>
  <c r="P12" i="79"/>
  <c r="BG10" i="79"/>
  <c r="BF10" i="79"/>
  <c r="BH10" i="79"/>
  <c r="BI10" i="79"/>
  <c r="BY63" i="5"/>
  <c r="U11" i="10"/>
  <c r="AW25" i="76"/>
  <c r="AX25" i="76" s="1"/>
  <c r="BC9" i="76"/>
  <c r="AW13" i="76"/>
  <c r="AX13" i="76" s="1"/>
  <c r="L14" i="76"/>
  <c r="M9" i="76" s="1"/>
  <c r="AW8" i="76"/>
  <c r="AX8" i="76" s="1"/>
  <c r="AW9" i="76"/>
  <c r="AX9" i="76" s="1"/>
  <c r="AW14" i="76"/>
  <c r="AX14" i="76" s="1"/>
  <c r="AW62" i="76"/>
  <c r="AX62" i="76" s="1"/>
  <c r="AW59" i="76"/>
  <c r="AX59" i="76" s="1"/>
  <c r="AW54" i="76"/>
  <c r="AX54" i="76" s="1"/>
  <c r="AW56" i="76"/>
  <c r="AX56" i="76" s="1"/>
  <c r="AW63" i="76"/>
  <c r="AX63" i="76" s="1"/>
  <c r="AW58" i="76"/>
  <c r="AX58" i="76" s="1"/>
  <c r="AW48" i="76"/>
  <c r="AX48" i="76" s="1"/>
  <c r="AW41" i="76"/>
  <c r="AX41" i="76" s="1"/>
  <c r="AW37" i="76"/>
  <c r="AX37" i="76" s="1"/>
  <c r="AW29" i="76"/>
  <c r="AX29" i="76" s="1"/>
  <c r="AW21" i="76"/>
  <c r="AX21" i="76" s="1"/>
  <c r="AW19" i="76"/>
  <c r="AX19" i="76" s="1"/>
  <c r="AW7" i="76"/>
  <c r="AX7" i="76" s="1"/>
  <c r="AW52" i="76"/>
  <c r="AX52" i="76" s="1"/>
  <c r="AW31" i="76"/>
  <c r="AX31" i="76" s="1"/>
  <c r="AW28" i="76"/>
  <c r="AX28" i="76" s="1"/>
  <c r="AW33" i="76"/>
  <c r="AX33" i="76" s="1"/>
  <c r="AW44" i="76"/>
  <c r="AX44" i="76" s="1"/>
  <c r="AW23" i="76"/>
  <c r="AW20" i="76"/>
  <c r="AX20" i="76" s="1"/>
  <c r="AW18" i="76"/>
  <c r="AX18" i="76" s="1"/>
  <c r="AW11" i="76"/>
  <c r="AX11" i="76" s="1"/>
  <c r="AW15" i="76"/>
  <c r="AX15" i="76" s="1"/>
  <c r="AW24" i="76"/>
  <c r="AX24" i="76" s="1"/>
  <c r="AW34" i="76"/>
  <c r="AX34" i="76" s="1"/>
  <c r="AW40" i="76"/>
  <c r="AX40" i="76" s="1"/>
  <c r="AW42" i="76"/>
  <c r="AX42" i="76" s="1"/>
  <c r="AW60" i="76"/>
  <c r="AX60" i="76" s="1"/>
  <c r="M10" i="76"/>
  <c r="AW10" i="76"/>
  <c r="AX10" i="76" s="1"/>
  <c r="AW16" i="76"/>
  <c r="AX16" i="76" s="1"/>
  <c r="AW22" i="76"/>
  <c r="AX22" i="76" s="1"/>
  <c r="AW32" i="76"/>
  <c r="AX32" i="76" s="1"/>
  <c r="AW38" i="76"/>
  <c r="AX38" i="76" s="1"/>
  <c r="AW47" i="76"/>
  <c r="AX47" i="76" s="1"/>
  <c r="AW12" i="76"/>
  <c r="AX12" i="76" s="1"/>
  <c r="AW17" i="76"/>
  <c r="AX17" i="76" s="1"/>
  <c r="AW27" i="76"/>
  <c r="AX27" i="76" s="1"/>
  <c r="AW30" i="76"/>
  <c r="AX30" i="76" s="1"/>
  <c r="AW36" i="76"/>
  <c r="AX36" i="76" s="1"/>
  <c r="AW46" i="76"/>
  <c r="AX46" i="76" s="1"/>
  <c r="AW50" i="76"/>
  <c r="AX50" i="76" s="1"/>
  <c r="AX23" i="76"/>
  <c r="AW26" i="76"/>
  <c r="AX26" i="76" s="1"/>
  <c r="AW35" i="76"/>
  <c r="AX35" i="76" s="1"/>
  <c r="AW39" i="76"/>
  <c r="AX39" i="76" s="1"/>
  <c r="AW43" i="76"/>
  <c r="AX43" i="76" s="1"/>
  <c r="AW51" i="76"/>
  <c r="AX51" i="76" s="1"/>
  <c r="AW57" i="76"/>
  <c r="AX57" i="76" s="1"/>
  <c r="AW45" i="76"/>
  <c r="AX45" i="76" s="1"/>
  <c r="AW49" i="76"/>
  <c r="AX49" i="76" s="1"/>
  <c r="AW55" i="76"/>
  <c r="AX55" i="76" s="1"/>
  <c r="AW53" i="76"/>
  <c r="AX53" i="76" s="1"/>
  <c r="AW61" i="76"/>
  <c r="AX61" i="76" s="1"/>
  <c r="C68" i="75"/>
  <c r="B68" i="75" s="1"/>
  <c r="AH67" i="75"/>
  <c r="AG67" i="75"/>
  <c r="AF67" i="75"/>
  <c r="AH66" i="75"/>
  <c r="AG66" i="75"/>
  <c r="AF66" i="75"/>
  <c r="AH65" i="75"/>
  <c r="AG65" i="75"/>
  <c r="AF65" i="75"/>
  <c r="AH64" i="75"/>
  <c r="AG64" i="75"/>
  <c r="AF64" i="75"/>
  <c r="AV63" i="75"/>
  <c r="AH63" i="75"/>
  <c r="AG63" i="75"/>
  <c r="AF63" i="75"/>
  <c r="AV62" i="75"/>
  <c r="AH62" i="75"/>
  <c r="AG62" i="75"/>
  <c r="AF62" i="75"/>
  <c r="G62" i="75"/>
  <c r="AV61" i="75"/>
  <c r="AV60" i="75"/>
  <c r="AH60" i="75"/>
  <c r="AG60" i="75"/>
  <c r="AF60" i="75"/>
  <c r="AF61" i="75" s="1"/>
  <c r="G60" i="75"/>
  <c r="E60" i="75" s="1"/>
  <c r="AV59" i="75"/>
  <c r="AH59" i="75"/>
  <c r="AG59" i="75"/>
  <c r="AF59" i="75"/>
  <c r="G59" i="75"/>
  <c r="E59" i="75" s="1"/>
  <c r="AV58" i="75"/>
  <c r="AH58" i="75"/>
  <c r="AG58" i="75"/>
  <c r="AF58" i="75"/>
  <c r="G58" i="75"/>
  <c r="AV57" i="75"/>
  <c r="AH57" i="75"/>
  <c r="AG57" i="75"/>
  <c r="AF57" i="75"/>
  <c r="G57" i="75"/>
  <c r="AV56" i="75"/>
  <c r="AH56" i="75"/>
  <c r="AG56" i="75"/>
  <c r="AF56" i="75"/>
  <c r="G56" i="75"/>
  <c r="AV55" i="75"/>
  <c r="AH55" i="75"/>
  <c r="AG55" i="75"/>
  <c r="AF55" i="75"/>
  <c r="G55" i="75"/>
  <c r="AV54" i="75"/>
  <c r="AH54" i="75"/>
  <c r="AG54" i="75"/>
  <c r="AF54" i="75"/>
  <c r="G54" i="75"/>
  <c r="AV53" i="75"/>
  <c r="AH53" i="75"/>
  <c r="AG53" i="75"/>
  <c r="AF53" i="75"/>
  <c r="G53" i="75"/>
  <c r="AV52" i="75"/>
  <c r="AV51" i="75"/>
  <c r="AV50" i="75"/>
  <c r="AV49" i="75"/>
  <c r="AV48" i="75"/>
  <c r="AV47" i="75"/>
  <c r="AV46" i="75"/>
  <c r="AV45" i="75"/>
  <c r="AV44" i="75"/>
  <c r="AV43" i="75"/>
  <c r="AV42" i="75"/>
  <c r="AV41" i="75"/>
  <c r="AV40" i="75"/>
  <c r="AV39" i="75"/>
  <c r="AV38" i="75"/>
  <c r="AV37" i="75"/>
  <c r="AV36" i="75"/>
  <c r="AV35" i="75"/>
  <c r="AV34" i="75"/>
  <c r="AV33" i="75"/>
  <c r="AV32" i="75"/>
  <c r="AV31" i="75"/>
  <c r="AV30" i="75"/>
  <c r="AV29" i="75"/>
  <c r="AV28" i="75"/>
  <c r="AV27" i="75"/>
  <c r="AV26" i="75"/>
  <c r="AV25" i="75"/>
  <c r="AV24" i="75"/>
  <c r="AV23" i="75"/>
  <c r="AV22" i="75"/>
  <c r="AV21" i="75"/>
  <c r="AV20" i="75"/>
  <c r="AV19" i="75"/>
  <c r="AV18" i="75"/>
  <c r="AV17" i="75"/>
  <c r="AV16" i="75"/>
  <c r="L16" i="75" a="1"/>
  <c r="L16" i="75" s="1"/>
  <c r="AV15" i="75"/>
  <c r="AV14" i="75"/>
  <c r="AV13" i="75"/>
  <c r="L13" i="75"/>
  <c r="M13" i="75" s="1"/>
  <c r="AV12" i="75"/>
  <c r="L12" i="75"/>
  <c r="AV11" i="75"/>
  <c r="L11" i="75"/>
  <c r="AV10" i="75"/>
  <c r="L10" i="75"/>
  <c r="AV9" i="75"/>
  <c r="L9" i="75"/>
  <c r="AV8" i="75"/>
  <c r="L8" i="75"/>
  <c r="BC7" i="75"/>
  <c r="BC8" i="75" s="1"/>
  <c r="AV7" i="75"/>
  <c r="AF7" i="75"/>
  <c r="AF8" i="75" s="1"/>
  <c r="AF9" i="75" s="1"/>
  <c r="AF10" i="75" s="1"/>
  <c r="AF11" i="75" s="1"/>
  <c r="AF12" i="75" s="1"/>
  <c r="AF13" i="75" s="1"/>
  <c r="AF14" i="75" s="1"/>
  <c r="AF15" i="75" s="1"/>
  <c r="AF16" i="75" s="1"/>
  <c r="AF17" i="75" s="1"/>
  <c r="AF18" i="75" s="1"/>
  <c r="AF19" i="75" s="1"/>
  <c r="AF20" i="75" s="1"/>
  <c r="AF21" i="75" s="1"/>
  <c r="AF22" i="75" s="1"/>
  <c r="AF23" i="75" s="1"/>
  <c r="AF24" i="75" s="1"/>
  <c r="AF25" i="75" s="1"/>
  <c r="AF26" i="75" s="1"/>
  <c r="AF27" i="75" s="1"/>
  <c r="AF28" i="75" s="1"/>
  <c r="AF29" i="75" s="1"/>
  <c r="AF30" i="75" s="1"/>
  <c r="AF31" i="75" s="1"/>
  <c r="AF32" i="75" s="1"/>
  <c r="AF33" i="75" s="1"/>
  <c r="AF34" i="75" s="1"/>
  <c r="AF35" i="75" s="1"/>
  <c r="AF36" i="75" s="1"/>
  <c r="AF37" i="75" s="1"/>
  <c r="AF38" i="75" s="1"/>
  <c r="AF39" i="75" s="1"/>
  <c r="AF40" i="75" s="1"/>
  <c r="AF41" i="75" s="1"/>
  <c r="AF42" i="75" s="1"/>
  <c r="AF43" i="75" s="1"/>
  <c r="AF44" i="75" s="1"/>
  <c r="AF45" i="75" s="1"/>
  <c r="AF46" i="75" s="1"/>
  <c r="AF47" i="75" s="1"/>
  <c r="AF48" i="75" s="1"/>
  <c r="AF49" i="75" s="1"/>
  <c r="AF50" i="75" s="1"/>
  <c r="AF51" i="75" s="1"/>
  <c r="AF52" i="75" s="1"/>
  <c r="AL4" i="75"/>
  <c r="AL2" i="75" s="1"/>
  <c r="AK4" i="75"/>
  <c r="AK2" i="75" s="1"/>
  <c r="AJ4" i="75"/>
  <c r="AJ2" i="75" s="1"/>
  <c r="G3" i="75"/>
  <c r="E2" i="75"/>
  <c r="E3" i="75" s="1"/>
  <c r="A1" i="75"/>
  <c r="AJ44" i="76"/>
  <c r="G39" i="76"/>
  <c r="G15" i="76"/>
  <c r="AJ30" i="76"/>
  <c r="G29" i="76"/>
  <c r="AJ7" i="76"/>
  <c r="AJ55" i="76"/>
  <c r="G19" i="76"/>
  <c r="G13" i="76"/>
  <c r="G8" i="76"/>
  <c r="G33" i="76"/>
  <c r="AJ20" i="75"/>
  <c r="AJ25" i="76"/>
  <c r="AJ36" i="76"/>
  <c r="AJ62" i="76"/>
  <c r="AJ9" i="76"/>
  <c r="AJ11" i="76"/>
  <c r="G31" i="76"/>
  <c r="G9" i="76"/>
  <c r="AJ47" i="76"/>
  <c r="G47" i="76"/>
  <c r="AJ13" i="76"/>
  <c r="AJ63" i="76"/>
  <c r="G36" i="76"/>
  <c r="AJ18" i="75"/>
  <c r="AJ54" i="76"/>
  <c r="AJ17" i="76"/>
  <c r="G40" i="76"/>
  <c r="G20" i="76"/>
  <c r="AJ29" i="76"/>
  <c r="AJ26" i="76"/>
  <c r="G26" i="76"/>
  <c r="G35" i="76"/>
  <c r="G18" i="76"/>
  <c r="G21" i="76"/>
  <c r="G44" i="76"/>
  <c r="AJ52" i="76"/>
  <c r="G34" i="76"/>
  <c r="G14" i="76"/>
  <c r="AJ12" i="76"/>
  <c r="AJ38" i="76"/>
  <c r="AJ59" i="76"/>
  <c r="AJ28" i="76"/>
  <c r="AJ61" i="76"/>
  <c r="AJ20" i="76"/>
  <c r="G49" i="76"/>
  <c r="AJ37" i="76"/>
  <c r="AJ10" i="76"/>
  <c r="G41" i="76"/>
  <c r="G30" i="76"/>
  <c r="AK8" i="76"/>
  <c r="G61" i="76"/>
  <c r="AJ41" i="76"/>
  <c r="AL8" i="76"/>
  <c r="AJ35" i="76"/>
  <c r="AJ65" i="76"/>
  <c r="G22" i="76"/>
  <c r="G37" i="76"/>
  <c r="AJ19" i="76"/>
  <c r="G16" i="76"/>
  <c r="AJ23" i="76"/>
  <c r="AJ50" i="76"/>
  <c r="AJ21" i="76"/>
  <c r="G48" i="76"/>
  <c r="G50" i="76"/>
  <c r="AJ14" i="76"/>
  <c r="AJ49" i="76"/>
  <c r="G43" i="76"/>
  <c r="AJ42" i="76"/>
  <c r="G45" i="76"/>
  <c r="AJ64" i="76"/>
  <c r="AJ45" i="76"/>
  <c r="AJ58" i="76"/>
  <c r="AJ31" i="76"/>
  <c r="G32" i="76"/>
  <c r="G42" i="76"/>
  <c r="E6" i="75"/>
  <c r="AJ67" i="76"/>
  <c r="AJ15" i="76"/>
  <c r="AJ16" i="76"/>
  <c r="AJ43" i="76"/>
  <c r="AJ27" i="76"/>
  <c r="AJ18" i="76"/>
  <c r="G23" i="76"/>
  <c r="AJ33" i="76"/>
  <c r="G10" i="76"/>
  <c r="AJ48" i="76"/>
  <c r="AJ39" i="76"/>
  <c r="G28" i="76"/>
  <c r="AJ51" i="76"/>
  <c r="AJ34" i="76"/>
  <c r="AJ57" i="76"/>
  <c r="G11" i="76"/>
  <c r="G25" i="76"/>
  <c r="AJ32" i="76"/>
  <c r="G12" i="76"/>
  <c r="AJ60" i="76"/>
  <c r="G38" i="76"/>
  <c r="AJ53" i="76"/>
  <c r="G24" i="76"/>
  <c r="G7" i="76"/>
  <c r="AJ56" i="76"/>
  <c r="AJ40" i="76"/>
  <c r="AJ22" i="76"/>
  <c r="G46" i="76"/>
  <c r="AJ24" i="76"/>
  <c r="G27" i="76"/>
  <c r="G17" i="76"/>
  <c r="AJ46" i="76"/>
  <c r="AJ66" i="76"/>
  <c r="G15" i="75"/>
  <c r="BG23" i="85" l="1"/>
  <c r="BF23" i="85"/>
  <c r="BI23" i="85"/>
  <c r="BH23" i="85"/>
  <c r="BC25" i="85"/>
  <c r="BD24" i="85"/>
  <c r="BD23" i="84"/>
  <c r="BC24" i="84"/>
  <c r="BI22" i="84"/>
  <c r="BH22" i="84"/>
  <c r="BG22" i="84"/>
  <c r="BF22" i="84"/>
  <c r="BF19" i="83"/>
  <c r="BG19" i="83"/>
  <c r="BI19" i="83"/>
  <c r="BH19" i="83"/>
  <c r="BC21" i="83"/>
  <c r="BD20" i="83"/>
  <c r="AA12" i="78"/>
  <c r="AA8" i="78"/>
  <c r="BC15" i="81"/>
  <c r="BD14" i="81"/>
  <c r="S9" i="79"/>
  <c r="BG13" i="81"/>
  <c r="BI13" i="81"/>
  <c r="BH13" i="81"/>
  <c r="BF13" i="81"/>
  <c r="U14" i="78"/>
  <c r="V14" i="78" s="1"/>
  <c r="R14" i="78"/>
  <c r="S9" i="78" s="1"/>
  <c r="AA14" i="79"/>
  <c r="O14" i="78"/>
  <c r="P8" i="78" s="1"/>
  <c r="AA13" i="78"/>
  <c r="AA11" i="78"/>
  <c r="AA9" i="78"/>
  <c r="S10" i="79"/>
  <c r="R5" i="79"/>
  <c r="AA10" i="78"/>
  <c r="S12" i="79"/>
  <c r="S14" i="79"/>
  <c r="BC14" i="80"/>
  <c r="BD13" i="80"/>
  <c r="BI12" i="80"/>
  <c r="BH12" i="80"/>
  <c r="BG12" i="80"/>
  <c r="BF12" i="80"/>
  <c r="BD12" i="78"/>
  <c r="BC13" i="78"/>
  <c r="BG11" i="78"/>
  <c r="BI11" i="78"/>
  <c r="BH11" i="78"/>
  <c r="BF11" i="78"/>
  <c r="BD12" i="79"/>
  <c r="BC13" i="79"/>
  <c r="BI11" i="79"/>
  <c r="BG11" i="79"/>
  <c r="BH11" i="79"/>
  <c r="BF11" i="79"/>
  <c r="M12" i="76"/>
  <c r="Y14" i="76"/>
  <c r="C77" i="76"/>
  <c r="M13" i="76"/>
  <c r="AY55" i="76"/>
  <c r="AK66" i="76"/>
  <c r="AM66" i="76" s="1"/>
  <c r="AL66" i="76"/>
  <c r="AL54" i="76"/>
  <c r="AK54" i="76"/>
  <c r="AM54" i="76" s="1"/>
  <c r="AL65" i="76"/>
  <c r="AK65" i="76"/>
  <c r="AM65" i="76" s="1"/>
  <c r="AL64" i="76"/>
  <c r="AK64" i="76"/>
  <c r="AM64" i="76" s="1"/>
  <c r="AL55" i="76"/>
  <c r="AK55" i="76"/>
  <c r="AM55" i="76" s="1"/>
  <c r="AK56" i="76"/>
  <c r="AM56" i="76" s="1"/>
  <c r="AL56" i="76"/>
  <c r="AL53" i="76"/>
  <c r="AK53" i="76"/>
  <c r="AM53" i="76" s="1"/>
  <c r="AL67" i="76"/>
  <c r="AK67" i="76"/>
  <c r="AM67" i="76" s="1"/>
  <c r="AL57" i="76"/>
  <c r="AK57" i="76"/>
  <c r="AM57" i="76" s="1"/>
  <c r="AK59" i="76"/>
  <c r="AM59" i="76" s="1"/>
  <c r="AL59" i="76"/>
  <c r="AL58" i="76"/>
  <c r="AK58" i="76"/>
  <c r="AM58" i="76" s="1"/>
  <c r="AG8" i="76"/>
  <c r="AH8" i="76"/>
  <c r="AL60" i="76"/>
  <c r="AK60" i="76"/>
  <c r="AM60" i="76" s="1"/>
  <c r="AK62" i="76"/>
  <c r="AM62" i="76" s="1"/>
  <c r="AL62" i="76"/>
  <c r="AL63" i="76"/>
  <c r="AK63" i="76"/>
  <c r="AM63" i="76" s="1"/>
  <c r="AM8" i="76"/>
  <c r="AY17" i="76"/>
  <c r="AY61" i="76"/>
  <c r="AY43" i="76"/>
  <c r="AY50" i="76"/>
  <c r="AY40" i="76"/>
  <c r="AY60" i="76"/>
  <c r="AY24" i="76"/>
  <c r="AY7" i="76"/>
  <c r="AY25" i="76"/>
  <c r="AY51" i="76"/>
  <c r="AY57" i="76"/>
  <c r="AY27" i="76"/>
  <c r="AY16" i="76"/>
  <c r="AY35" i="76"/>
  <c r="AY46" i="76"/>
  <c r="AY36" i="76"/>
  <c r="AY10" i="76"/>
  <c r="AY44" i="76"/>
  <c r="AY59" i="76"/>
  <c r="AY8" i="76"/>
  <c r="AY31" i="76"/>
  <c r="AY18" i="76"/>
  <c r="AY33" i="76"/>
  <c r="AY37" i="76"/>
  <c r="AY63" i="76"/>
  <c r="AY62" i="76"/>
  <c r="AY14" i="76"/>
  <c r="M14" i="76"/>
  <c r="L5" i="76"/>
  <c r="BC10" i="76"/>
  <c r="AY22" i="76"/>
  <c r="AY58" i="76"/>
  <c r="AY49" i="76"/>
  <c r="AY26" i="76"/>
  <c r="AY32" i="76"/>
  <c r="AY11" i="76"/>
  <c r="AY20" i="76"/>
  <c r="AY19" i="76"/>
  <c r="AY41" i="76"/>
  <c r="AY56" i="76"/>
  <c r="AY13" i="76"/>
  <c r="AY52" i="76"/>
  <c r="AY29" i="76"/>
  <c r="AY53" i="76"/>
  <c r="AY39" i="76"/>
  <c r="AY30" i="76"/>
  <c r="AY47" i="76"/>
  <c r="AY34" i="76"/>
  <c r="AY28" i="76"/>
  <c r="AY45" i="76"/>
  <c r="AY23" i="76"/>
  <c r="AY12" i="76"/>
  <c r="AY38" i="76"/>
  <c r="AY42" i="76"/>
  <c r="AY15" i="76"/>
  <c r="AY21" i="76"/>
  <c r="AY48" i="76"/>
  <c r="AY54" i="76"/>
  <c r="AY9" i="76"/>
  <c r="M8" i="76"/>
  <c r="M11" i="76"/>
  <c r="BC9" i="75"/>
  <c r="L14" i="75"/>
  <c r="AW8" i="75"/>
  <c r="AX8" i="75" s="1"/>
  <c r="AW10" i="75"/>
  <c r="AX10" i="75" s="1"/>
  <c r="AW12" i="75"/>
  <c r="AX12" i="75" s="1"/>
  <c r="AW13" i="75"/>
  <c r="AX13" i="75" s="1"/>
  <c r="AW15" i="75"/>
  <c r="AX15" i="75" s="1"/>
  <c r="AW62" i="75"/>
  <c r="AX62" i="75" s="1"/>
  <c r="AW59" i="75"/>
  <c r="AX59" i="75" s="1"/>
  <c r="AW49" i="75"/>
  <c r="AX49" i="75" s="1"/>
  <c r="AW61" i="75"/>
  <c r="AX61" i="75" s="1"/>
  <c r="AW45" i="75"/>
  <c r="AX45" i="75" s="1"/>
  <c r="AW42" i="75"/>
  <c r="AX42" i="75" s="1"/>
  <c r="AW47" i="75"/>
  <c r="AX47" i="75" s="1"/>
  <c r="AW44" i="75"/>
  <c r="AX44" i="75" s="1"/>
  <c r="AW41" i="75"/>
  <c r="AX41" i="75" s="1"/>
  <c r="AW37" i="75"/>
  <c r="AX37" i="75" s="1"/>
  <c r="AW33" i="75"/>
  <c r="AX33" i="75" s="1"/>
  <c r="AW29" i="75"/>
  <c r="AX29" i="75" s="1"/>
  <c r="AW27" i="75"/>
  <c r="AX27" i="75" s="1"/>
  <c r="AW23" i="75"/>
  <c r="AX23" i="75" s="1"/>
  <c r="AW19" i="75"/>
  <c r="AX19" i="75" s="1"/>
  <c r="AW38" i="75"/>
  <c r="AX38" i="75" s="1"/>
  <c r="AW21" i="75"/>
  <c r="AX21" i="75" s="1"/>
  <c r="AW34" i="75"/>
  <c r="AX34" i="75" s="1"/>
  <c r="AW30" i="75"/>
  <c r="AX30" i="75" s="1"/>
  <c r="AW25" i="75"/>
  <c r="AX25" i="75" s="1"/>
  <c r="AW7" i="75"/>
  <c r="AX7" i="75" s="1"/>
  <c r="AW9" i="75"/>
  <c r="AX9" i="75" s="1"/>
  <c r="AW11" i="75"/>
  <c r="AX11" i="75" s="1"/>
  <c r="AW22" i="75"/>
  <c r="AX22" i="75" s="1"/>
  <c r="AW36" i="75"/>
  <c r="AX36" i="75" s="1"/>
  <c r="AW20" i="75"/>
  <c r="AX20" i="75" s="1"/>
  <c r="AW28" i="75"/>
  <c r="AX28" i="75" s="1"/>
  <c r="AW40" i="75"/>
  <c r="AX40" i="75" s="1"/>
  <c r="AW54" i="75"/>
  <c r="AX54" i="75" s="1"/>
  <c r="AW14" i="75"/>
  <c r="AX14" i="75" s="1"/>
  <c r="AW17" i="75"/>
  <c r="AX17" i="75" s="1"/>
  <c r="AW18" i="75"/>
  <c r="AX18" i="75" s="1"/>
  <c r="AW26" i="75"/>
  <c r="AX26" i="75" s="1"/>
  <c r="AW16" i="75"/>
  <c r="AX16" i="75" s="1"/>
  <c r="AW24" i="75"/>
  <c r="AX24" i="75" s="1"/>
  <c r="AW32" i="75"/>
  <c r="AX32" i="75" s="1"/>
  <c r="AW31" i="75"/>
  <c r="AX31" i="75" s="1"/>
  <c r="AW35" i="75"/>
  <c r="AX35" i="75" s="1"/>
  <c r="AW39" i="75"/>
  <c r="AX39" i="75" s="1"/>
  <c r="AW48" i="75"/>
  <c r="AX48" i="75" s="1"/>
  <c r="AW43" i="75"/>
  <c r="AX43" i="75" s="1"/>
  <c r="AW56" i="75"/>
  <c r="AX56" i="75" s="1"/>
  <c r="AW63" i="75"/>
  <c r="AX63" i="75" s="1"/>
  <c r="AW46" i="75"/>
  <c r="AX46" i="75" s="1"/>
  <c r="AW60" i="75"/>
  <c r="AX60" i="75" s="1"/>
  <c r="AW52" i="75"/>
  <c r="AX52" i="75" s="1"/>
  <c r="AW58" i="75"/>
  <c r="AX58" i="75" s="1"/>
  <c r="AW51" i="75"/>
  <c r="AX51" i="75" s="1"/>
  <c r="AW50" i="75"/>
  <c r="AX50" i="75" s="1"/>
  <c r="AW53" i="75"/>
  <c r="AX53" i="75" s="1"/>
  <c r="AW55" i="75"/>
  <c r="AX55" i="75" s="1"/>
  <c r="AW57" i="75"/>
  <c r="AX57" i="75" s="1"/>
  <c r="C68" i="74"/>
  <c r="B68" i="74" s="1"/>
  <c r="AH67" i="74"/>
  <c r="AG67" i="74"/>
  <c r="AF67" i="74"/>
  <c r="AH66" i="74"/>
  <c r="AG66" i="74"/>
  <c r="AF66" i="74"/>
  <c r="AH65" i="74"/>
  <c r="AG65" i="74"/>
  <c r="AF65" i="74"/>
  <c r="AH64" i="74"/>
  <c r="AG64" i="74"/>
  <c r="AF64" i="74"/>
  <c r="AV63" i="74"/>
  <c r="AH63" i="74"/>
  <c r="AG63" i="74"/>
  <c r="AF63" i="74"/>
  <c r="AV62" i="74"/>
  <c r="AH62" i="74"/>
  <c r="AG62" i="74"/>
  <c r="AF62" i="74"/>
  <c r="G62" i="74"/>
  <c r="AV61" i="74"/>
  <c r="AV60" i="74"/>
  <c r="AH60" i="74"/>
  <c r="AG60" i="74"/>
  <c r="AF60" i="74"/>
  <c r="AF61" i="74" s="1"/>
  <c r="G60" i="74"/>
  <c r="E60" i="74" s="1"/>
  <c r="AV59" i="74"/>
  <c r="AH59" i="74"/>
  <c r="AG59" i="74"/>
  <c r="AF59" i="74"/>
  <c r="G59" i="74"/>
  <c r="E59" i="74" s="1"/>
  <c r="AV58" i="74"/>
  <c r="AH58" i="74"/>
  <c r="AG58" i="74"/>
  <c r="AF58" i="74"/>
  <c r="G58" i="74"/>
  <c r="AV57" i="74"/>
  <c r="AH57" i="74"/>
  <c r="AG57" i="74"/>
  <c r="AF57" i="74"/>
  <c r="G57" i="74"/>
  <c r="AV56" i="74"/>
  <c r="AH56" i="74"/>
  <c r="AG56" i="74"/>
  <c r="AF56" i="74"/>
  <c r="G56" i="74"/>
  <c r="AV55" i="74"/>
  <c r="AH55" i="74"/>
  <c r="AG55" i="74"/>
  <c r="AF55" i="74"/>
  <c r="G55" i="74"/>
  <c r="AV54" i="74"/>
  <c r="AH54" i="74"/>
  <c r="AG54" i="74"/>
  <c r="AF54" i="74"/>
  <c r="G54" i="74"/>
  <c r="AV53" i="74"/>
  <c r="AH53" i="74"/>
  <c r="AG53" i="74"/>
  <c r="AF53" i="74"/>
  <c r="G53" i="74"/>
  <c r="AV52" i="74"/>
  <c r="AV51" i="74"/>
  <c r="AV50" i="74"/>
  <c r="AV49" i="74"/>
  <c r="AV48" i="74"/>
  <c r="AV47" i="74"/>
  <c r="AV46" i="74"/>
  <c r="AV45" i="74"/>
  <c r="AV44" i="74"/>
  <c r="AV43" i="74"/>
  <c r="AV42" i="74"/>
  <c r="AV41" i="74"/>
  <c r="AV40" i="74"/>
  <c r="AV39" i="74"/>
  <c r="AV38" i="74"/>
  <c r="AV37" i="74"/>
  <c r="AV36" i="74"/>
  <c r="AV35" i="74"/>
  <c r="AV34" i="74"/>
  <c r="AV33" i="74"/>
  <c r="AV32" i="74"/>
  <c r="AV31" i="74"/>
  <c r="AV30" i="74"/>
  <c r="AV29" i="74"/>
  <c r="AV28" i="74"/>
  <c r="AV27" i="74"/>
  <c r="AV26" i="74"/>
  <c r="AV25" i="74"/>
  <c r="AV24" i="74"/>
  <c r="AV23" i="74"/>
  <c r="AV22" i="74"/>
  <c r="AV21" i="74"/>
  <c r="AV20" i="74"/>
  <c r="AV19" i="74"/>
  <c r="AV18" i="74"/>
  <c r="AV17" i="74"/>
  <c r="AV16" i="74"/>
  <c r="L16" i="74" a="1"/>
  <c r="L16" i="74" s="1"/>
  <c r="AV15" i="74"/>
  <c r="AV14" i="74"/>
  <c r="AV13" i="74"/>
  <c r="L13" i="74"/>
  <c r="M13" i="74" s="1"/>
  <c r="AV12" i="74"/>
  <c r="L12" i="74"/>
  <c r="AV11" i="74"/>
  <c r="L11" i="74"/>
  <c r="AV10" i="74"/>
  <c r="L10" i="74"/>
  <c r="AV9" i="74"/>
  <c r="L9" i="74"/>
  <c r="AV8" i="74"/>
  <c r="L8" i="74"/>
  <c r="BC7" i="74"/>
  <c r="AV7" i="74"/>
  <c r="AF7" i="74"/>
  <c r="AF8" i="74" s="1"/>
  <c r="AF9" i="74" s="1"/>
  <c r="AF10" i="74" s="1"/>
  <c r="AF11" i="74" s="1"/>
  <c r="AF12" i="74" s="1"/>
  <c r="AF13" i="74" s="1"/>
  <c r="AF14" i="74" s="1"/>
  <c r="AF15" i="74" s="1"/>
  <c r="AF16" i="74" s="1"/>
  <c r="AF17" i="74" s="1"/>
  <c r="AF18" i="74" s="1"/>
  <c r="AF19" i="74" s="1"/>
  <c r="AF20" i="74" s="1"/>
  <c r="AF21" i="74" s="1"/>
  <c r="AF22" i="74" s="1"/>
  <c r="AF23" i="74" s="1"/>
  <c r="AF24" i="74" s="1"/>
  <c r="AF25" i="74" s="1"/>
  <c r="AF26" i="74" s="1"/>
  <c r="AF27" i="74" s="1"/>
  <c r="AF28" i="74" s="1"/>
  <c r="AF29" i="74" s="1"/>
  <c r="AF30" i="74" s="1"/>
  <c r="AF31" i="74" s="1"/>
  <c r="AF32" i="74" s="1"/>
  <c r="AF33" i="74" s="1"/>
  <c r="AF34" i="74" s="1"/>
  <c r="AF35" i="74" s="1"/>
  <c r="AF36" i="74" s="1"/>
  <c r="AF37" i="74" s="1"/>
  <c r="AF38" i="74" s="1"/>
  <c r="AF39" i="74" s="1"/>
  <c r="AF40" i="74" s="1"/>
  <c r="AF41" i="74" s="1"/>
  <c r="AF42" i="74" s="1"/>
  <c r="AF43" i="74" s="1"/>
  <c r="AF44" i="74" s="1"/>
  <c r="AF45" i="74" s="1"/>
  <c r="AF46" i="74" s="1"/>
  <c r="AF47" i="74" s="1"/>
  <c r="AF48" i="74" s="1"/>
  <c r="AF49" i="74" s="1"/>
  <c r="AF50" i="74" s="1"/>
  <c r="AF51" i="74" s="1"/>
  <c r="AF52" i="74" s="1"/>
  <c r="AL4" i="74"/>
  <c r="AL2" i="74" s="1"/>
  <c r="AK4" i="74"/>
  <c r="AK2" i="74" s="1"/>
  <c r="AJ4" i="74"/>
  <c r="AJ2" i="74" s="1"/>
  <c r="G3" i="74"/>
  <c r="E2" i="74"/>
  <c r="E3" i="74" s="1"/>
  <c r="A1" i="74"/>
  <c r="AL51" i="76"/>
  <c r="AL52" i="76"/>
  <c r="AK51" i="76"/>
  <c r="AK52" i="76"/>
  <c r="E48" i="76"/>
  <c r="AK40" i="76"/>
  <c r="AJ55" i="75"/>
  <c r="AL39" i="76"/>
  <c r="G35" i="75"/>
  <c r="AJ62" i="75"/>
  <c r="AK41" i="76"/>
  <c r="G49" i="75"/>
  <c r="AJ30" i="75"/>
  <c r="AL34" i="76"/>
  <c r="AJ51" i="75"/>
  <c r="AJ31" i="75"/>
  <c r="AK49" i="76"/>
  <c r="E44" i="76"/>
  <c r="AJ10" i="75"/>
  <c r="G61" i="75"/>
  <c r="G52" i="75"/>
  <c r="AL28" i="76"/>
  <c r="AJ47" i="75"/>
  <c r="G11" i="75"/>
  <c r="AK50" i="76"/>
  <c r="G27" i="75"/>
  <c r="AJ11" i="75"/>
  <c r="AJ21" i="75"/>
  <c r="E41" i="76"/>
  <c r="AL17" i="76"/>
  <c r="E7" i="76"/>
  <c r="AJ36" i="75"/>
  <c r="AL47" i="76"/>
  <c r="AK9" i="76"/>
  <c r="G7" i="75"/>
  <c r="E15" i="76"/>
  <c r="G33" i="75"/>
  <c r="AJ16" i="75"/>
  <c r="AK11" i="76"/>
  <c r="AJ41" i="75"/>
  <c r="E8" i="76"/>
  <c r="G21" i="75"/>
  <c r="AL30" i="76"/>
  <c r="E17" i="76"/>
  <c r="AK28" i="76"/>
  <c r="E37" i="76"/>
  <c r="AJ40" i="75"/>
  <c r="E15" i="75"/>
  <c r="AL49" i="76"/>
  <c r="AK34" i="76"/>
  <c r="G46" i="75"/>
  <c r="G51" i="75"/>
  <c r="AJ64" i="75"/>
  <c r="AJ24" i="75"/>
  <c r="AJ43" i="75"/>
  <c r="AJ27" i="75"/>
  <c r="E6" i="74"/>
  <c r="AK20" i="76"/>
  <c r="AK48" i="76"/>
  <c r="AJ37" i="75"/>
  <c r="AJ38" i="75"/>
  <c r="E10" i="76"/>
  <c r="E36" i="76"/>
  <c r="E31" i="76"/>
  <c r="AK16" i="76"/>
  <c r="E47" i="76"/>
  <c r="E42" i="76"/>
  <c r="G20" i="75"/>
  <c r="AL24" i="76"/>
  <c r="AK18" i="75"/>
  <c r="AJ26" i="75"/>
  <c r="G39" i="75"/>
  <c r="AJ60" i="75"/>
  <c r="AK43" i="76"/>
  <c r="AL23" i="76"/>
  <c r="AK14" i="76"/>
  <c r="AK20" i="75"/>
  <c r="AL13" i="76"/>
  <c r="AK45" i="76"/>
  <c r="G9" i="75"/>
  <c r="AJ19" i="75"/>
  <c r="AJ59" i="75"/>
  <c r="AL7" i="76"/>
  <c r="AJ44" i="75"/>
  <c r="G23" i="75"/>
  <c r="AJ57" i="75"/>
  <c r="AK47" i="76"/>
  <c r="E13" i="76"/>
  <c r="G16" i="75"/>
  <c r="AL22" i="76"/>
  <c r="E20" i="76"/>
  <c r="AK19" i="76"/>
  <c r="AK23" i="76"/>
  <c r="AK30" i="76"/>
  <c r="E45" i="76"/>
  <c r="AL41" i="76"/>
  <c r="AL45" i="76"/>
  <c r="AJ67" i="75"/>
  <c r="AK7" i="76"/>
  <c r="AJ65" i="75"/>
  <c r="E11" i="76"/>
  <c r="AJ35" i="75"/>
  <c r="AK36" i="76"/>
  <c r="G48" i="75"/>
  <c r="AK26" i="76"/>
  <c r="AK12" i="76"/>
  <c r="E39" i="76"/>
  <c r="G30" i="75"/>
  <c r="AJ28" i="75"/>
  <c r="AJ66" i="75"/>
  <c r="E18" i="76"/>
  <c r="AL26" i="76"/>
  <c r="G42" i="75"/>
  <c r="G36" i="75"/>
  <c r="G7" i="74"/>
  <c r="AJ56" i="75"/>
  <c r="AL36" i="76"/>
  <c r="G25" i="75"/>
  <c r="G31" i="75"/>
  <c r="AJ25" i="75"/>
  <c r="AL11" i="76"/>
  <c r="AJ33" i="75"/>
  <c r="AK31" i="76"/>
  <c r="AK42" i="76"/>
  <c r="AK18" i="76"/>
  <c r="AJ13" i="75"/>
  <c r="AK35" i="76"/>
  <c r="AJ29" i="75"/>
  <c r="AK17" i="76"/>
  <c r="AJ8" i="75"/>
  <c r="E50" i="76"/>
  <c r="AK21" i="76"/>
  <c r="E14" i="76"/>
  <c r="AK32" i="76"/>
  <c r="AL32" i="76"/>
  <c r="AK44" i="76"/>
  <c r="AJ7" i="75"/>
  <c r="AK13" i="76"/>
  <c r="AJ12" i="75"/>
  <c r="AL50" i="76"/>
  <c r="E26" i="76"/>
  <c r="AJ63" i="75"/>
  <c r="E27" i="76"/>
  <c r="AL33" i="76"/>
  <c r="G41" i="75"/>
  <c r="E40" i="76"/>
  <c r="E21" i="76"/>
  <c r="AL18" i="76"/>
  <c r="G37" i="75"/>
  <c r="E49" i="76"/>
  <c r="AJ17" i="75"/>
  <c r="E23" i="76"/>
  <c r="E34" i="76"/>
  <c r="G40" i="75"/>
  <c r="AL12" i="76"/>
  <c r="E46" i="76"/>
  <c r="G22" i="75"/>
  <c r="AK61" i="76"/>
  <c r="AJ52" i="75"/>
  <c r="E25" i="76"/>
  <c r="E35" i="76"/>
  <c r="AK24" i="76"/>
  <c r="G19" i="75"/>
  <c r="AK25" i="76"/>
  <c r="G26" i="75"/>
  <c r="AJ61" i="75"/>
  <c r="AL46" i="76"/>
  <c r="AJ53" i="75"/>
  <c r="E33" i="76"/>
  <c r="G32" i="75"/>
  <c r="AL18" i="75"/>
  <c r="G44" i="75"/>
  <c r="AL16" i="76"/>
  <c r="G14" i="75"/>
  <c r="AK33" i="76"/>
  <c r="AK39" i="76"/>
  <c r="AJ45" i="75"/>
  <c r="E61" i="76"/>
  <c r="AJ42" i="75"/>
  <c r="AL35" i="76"/>
  <c r="G47" i="75"/>
  <c r="E19" i="76"/>
  <c r="AK46" i="76"/>
  <c r="E16" i="76"/>
  <c r="AL27" i="76"/>
  <c r="E38" i="76"/>
  <c r="AJ58" i="75"/>
  <c r="G12" i="75"/>
  <c r="AK22" i="76"/>
  <c r="AK29" i="76"/>
  <c r="G38" i="75"/>
  <c r="AL43" i="76"/>
  <c r="AL48" i="76"/>
  <c r="AJ34" i="75"/>
  <c r="AL44" i="76"/>
  <c r="AL14" i="76"/>
  <c r="AJ49" i="75"/>
  <c r="G8" i="75"/>
  <c r="AL15" i="76"/>
  <c r="AL29" i="76"/>
  <c r="AK37" i="76"/>
  <c r="AJ46" i="75"/>
  <c r="AJ48" i="75"/>
  <c r="G34" i="75"/>
  <c r="AJ23" i="75"/>
  <c r="G18" i="75"/>
  <c r="G28" i="75"/>
  <c r="AL37" i="76"/>
  <c r="G10" i="75"/>
  <c r="E43" i="76"/>
  <c r="G17" i="75"/>
  <c r="E24" i="76"/>
  <c r="AK10" i="76"/>
  <c r="AL42" i="76"/>
  <c r="G13" i="75"/>
  <c r="AJ14" i="75"/>
  <c r="AJ32" i="75"/>
  <c r="G43" i="75"/>
  <c r="AJ54" i="75"/>
  <c r="AL61" i="76"/>
  <c r="G50" i="75"/>
  <c r="AL19" i="76"/>
  <c r="G24" i="75"/>
  <c r="AL25" i="76"/>
  <c r="AL40" i="76"/>
  <c r="E22" i="76"/>
  <c r="G45" i="75"/>
  <c r="AL20" i="76"/>
  <c r="AJ22" i="75"/>
  <c r="E28" i="76"/>
  <c r="E12" i="76"/>
  <c r="AJ9" i="75"/>
  <c r="AK15" i="76"/>
  <c r="E9" i="76"/>
  <c r="AL21" i="76"/>
  <c r="AK38" i="76"/>
  <c r="AL10" i="76"/>
  <c r="E29" i="76"/>
  <c r="E32" i="76"/>
  <c r="AL20" i="75"/>
  <c r="AL31" i="76"/>
  <c r="AJ39" i="75"/>
  <c r="AL9" i="76"/>
  <c r="E30" i="76"/>
  <c r="AL38" i="76"/>
  <c r="AJ15" i="75"/>
  <c r="AJ50" i="75"/>
  <c r="AK27" i="76"/>
  <c r="G29" i="75"/>
  <c r="BH24" i="85" l="1"/>
  <c r="BG24" i="85"/>
  <c r="BF24" i="85"/>
  <c r="BI24" i="85"/>
  <c r="BD25" i="85"/>
  <c r="BC26" i="85"/>
  <c r="BC25" i="84"/>
  <c r="BD24" i="84"/>
  <c r="BF23" i="84"/>
  <c r="BI23" i="84"/>
  <c r="BH23" i="84"/>
  <c r="BG23" i="84"/>
  <c r="BI20" i="83"/>
  <c r="BF20" i="83"/>
  <c r="BG20" i="83"/>
  <c r="BH20" i="83"/>
  <c r="BC22" i="83"/>
  <c r="BD21" i="83"/>
  <c r="S10" i="78"/>
  <c r="R5" i="78"/>
  <c r="U5" i="78"/>
  <c r="S8" i="78"/>
  <c r="P9" i="78"/>
  <c r="AA14" i="78"/>
  <c r="BF14" i="81"/>
  <c r="BG14" i="81"/>
  <c r="BI14" i="81"/>
  <c r="BH14" i="81"/>
  <c r="BC16" i="81"/>
  <c r="BD15" i="81"/>
  <c r="O5" i="78"/>
  <c r="P12" i="78"/>
  <c r="P14" i="78"/>
  <c r="P13" i="78"/>
  <c r="S12" i="78"/>
  <c r="S14" i="78"/>
  <c r="P11" i="78"/>
  <c r="P10" i="78"/>
  <c r="BI13" i="80"/>
  <c r="BH13" i="80"/>
  <c r="BG13" i="80"/>
  <c r="BF13" i="80"/>
  <c r="BC15" i="80"/>
  <c r="BD14" i="80"/>
  <c r="BG12" i="78"/>
  <c r="BI12" i="78"/>
  <c r="BF12" i="78"/>
  <c r="BH12" i="78"/>
  <c r="BC14" i="78"/>
  <c r="BD13" i="78"/>
  <c r="BC14" i="79"/>
  <c r="BD13" i="79"/>
  <c r="BI12" i="79"/>
  <c r="BG12" i="79"/>
  <c r="BH12" i="79"/>
  <c r="BF12" i="79"/>
  <c r="AM12" i="76"/>
  <c r="AH12" i="76"/>
  <c r="AG12" i="76"/>
  <c r="AM28" i="76"/>
  <c r="AH28" i="76"/>
  <c r="AG28" i="76"/>
  <c r="AH42" i="76"/>
  <c r="AG42" i="76"/>
  <c r="AG35" i="76"/>
  <c r="AH35" i="76"/>
  <c r="AH24" i="76"/>
  <c r="AG24" i="76"/>
  <c r="AM45" i="76"/>
  <c r="AM29" i="76"/>
  <c r="AH18" i="76"/>
  <c r="AG18" i="76"/>
  <c r="AM22" i="76"/>
  <c r="AG39" i="76"/>
  <c r="AH39" i="76"/>
  <c r="AH30" i="76"/>
  <c r="AG30" i="76"/>
  <c r="AG11" i="76"/>
  <c r="AH11" i="76"/>
  <c r="AH37" i="76"/>
  <c r="AG37" i="76"/>
  <c r="AG27" i="76"/>
  <c r="AH27" i="76"/>
  <c r="AM7" i="76"/>
  <c r="AM33" i="76"/>
  <c r="AH34" i="76"/>
  <c r="AG34" i="76"/>
  <c r="AH41" i="76"/>
  <c r="AG41" i="76"/>
  <c r="AM42" i="76"/>
  <c r="AM30" i="76"/>
  <c r="AM11" i="76"/>
  <c r="AM17" i="76"/>
  <c r="AM48" i="76"/>
  <c r="AH21" i="76"/>
  <c r="AG21" i="76"/>
  <c r="AM40" i="76"/>
  <c r="AH15" i="76"/>
  <c r="AG15" i="76"/>
  <c r="AM20" i="76"/>
  <c r="AH10" i="76"/>
  <c r="AG10" i="76"/>
  <c r="AM43" i="76"/>
  <c r="AM49" i="76"/>
  <c r="AG33" i="76"/>
  <c r="AH33" i="76"/>
  <c r="AM34" i="76"/>
  <c r="AM24" i="76"/>
  <c r="AM47" i="76"/>
  <c r="AM46" i="76"/>
  <c r="AH32" i="76"/>
  <c r="AG32" i="76"/>
  <c r="AM16" i="76"/>
  <c r="AH26" i="76"/>
  <c r="AG26" i="76"/>
  <c r="AM41" i="76"/>
  <c r="R16" i="76" a="1"/>
  <c r="R16" i="76" s="1"/>
  <c r="R13" i="76"/>
  <c r="S13" i="76" s="1"/>
  <c r="U12" i="76"/>
  <c r="V12" i="76" s="1"/>
  <c r="O11" i="76"/>
  <c r="R9" i="76"/>
  <c r="O16" i="76" a="1"/>
  <c r="O16" i="76" s="1"/>
  <c r="R11" i="76"/>
  <c r="U10" i="76"/>
  <c r="V10" i="76" s="1"/>
  <c r="U9" i="76"/>
  <c r="V9" i="76" s="1"/>
  <c r="U16" i="76" a="1"/>
  <c r="U16" i="76" s="1"/>
  <c r="U11" i="76"/>
  <c r="V11" i="76" s="1"/>
  <c r="R10" i="76"/>
  <c r="O8" i="76"/>
  <c r="U13" i="76"/>
  <c r="V13" i="76" s="1"/>
  <c r="R12" i="76"/>
  <c r="O10" i="76"/>
  <c r="O9" i="76"/>
  <c r="U8" i="76"/>
  <c r="O13" i="76"/>
  <c r="O12" i="76"/>
  <c r="R8" i="76"/>
  <c r="AG31" i="76"/>
  <c r="AH31" i="76"/>
  <c r="AM38" i="76"/>
  <c r="AH61" i="76"/>
  <c r="AG61" i="76"/>
  <c r="AM9" i="76"/>
  <c r="AH49" i="76"/>
  <c r="AG49" i="76"/>
  <c r="AM52" i="76"/>
  <c r="AM25" i="76"/>
  <c r="AH14" i="76"/>
  <c r="AG14" i="76"/>
  <c r="AG19" i="76"/>
  <c r="AH19" i="76"/>
  <c r="AM23" i="76"/>
  <c r="AH17" i="76"/>
  <c r="AG17" i="76"/>
  <c r="AH48" i="76"/>
  <c r="AG48" i="76"/>
  <c r="AM21" i="76"/>
  <c r="AH40" i="76"/>
  <c r="AG40" i="76"/>
  <c r="AM15" i="76"/>
  <c r="AH20" i="76"/>
  <c r="AG20" i="76"/>
  <c r="AM10" i="76"/>
  <c r="AG43" i="76"/>
  <c r="AH43" i="76"/>
  <c r="AM44" i="76"/>
  <c r="AM51" i="76"/>
  <c r="AM50" i="76"/>
  <c r="AM36" i="76"/>
  <c r="AH13" i="76"/>
  <c r="AG13" i="76"/>
  <c r="AH47" i="76"/>
  <c r="AG47" i="76"/>
  <c r="AG46" i="76"/>
  <c r="AH46" i="76"/>
  <c r="AM32" i="76"/>
  <c r="AG16" i="76"/>
  <c r="AH16" i="76"/>
  <c r="AM26" i="76"/>
  <c r="AH52" i="76"/>
  <c r="AG52" i="76"/>
  <c r="AG25" i="76"/>
  <c r="AH25" i="76"/>
  <c r="AM14" i="76"/>
  <c r="AM19" i="76"/>
  <c r="AG23" i="76"/>
  <c r="AH23" i="76"/>
  <c r="AM35" i="76"/>
  <c r="AM31" i="76"/>
  <c r="AM37" i="76"/>
  <c r="AH38" i="76"/>
  <c r="AG38" i="76"/>
  <c r="AM27" i="76"/>
  <c r="AM61" i="76"/>
  <c r="AG7" i="76"/>
  <c r="AH7" i="76"/>
  <c r="AG9" i="76"/>
  <c r="AH9" i="76"/>
  <c r="AH44" i="76"/>
  <c r="AG44" i="76"/>
  <c r="AH51" i="76"/>
  <c r="AG51" i="76"/>
  <c r="AG50" i="76"/>
  <c r="AH50" i="76"/>
  <c r="AH36" i="76"/>
  <c r="AG36" i="76"/>
  <c r="AM13" i="76"/>
  <c r="AH45" i="76"/>
  <c r="AG45" i="76"/>
  <c r="AH29" i="76"/>
  <c r="AG29" i="76"/>
  <c r="AM18" i="76"/>
  <c r="AH22" i="76"/>
  <c r="AG22" i="76"/>
  <c r="AM39" i="76"/>
  <c r="BD7" i="76"/>
  <c r="BD8" i="76"/>
  <c r="BD10" i="76"/>
  <c r="BC11" i="76"/>
  <c r="BD9" i="76"/>
  <c r="AY55" i="75"/>
  <c r="AY58" i="75"/>
  <c r="AL53" i="75"/>
  <c r="AK53" i="75"/>
  <c r="AM53" i="75" s="1"/>
  <c r="AL67" i="75"/>
  <c r="AK67" i="75"/>
  <c r="AM67" i="75" s="1"/>
  <c r="AL54" i="75"/>
  <c r="AK54" i="75"/>
  <c r="AM54" i="75" s="1"/>
  <c r="AL65" i="75"/>
  <c r="AK65" i="75"/>
  <c r="AM65" i="75" s="1"/>
  <c r="AL64" i="75"/>
  <c r="AK64" i="75"/>
  <c r="AM64" i="75" s="1"/>
  <c r="AL60" i="75"/>
  <c r="AK60" i="75"/>
  <c r="AM60" i="75" s="1"/>
  <c r="AK59" i="75"/>
  <c r="AM59" i="75" s="1"/>
  <c r="AL59" i="75"/>
  <c r="AL63" i="75"/>
  <c r="AK63" i="75"/>
  <c r="AM63" i="75" s="1"/>
  <c r="AM20" i="75"/>
  <c r="AH20" i="75"/>
  <c r="AG20" i="75"/>
  <c r="AL55" i="75"/>
  <c r="AK55" i="75"/>
  <c r="AM55" i="75" s="1"/>
  <c r="AK66" i="75"/>
  <c r="AM66" i="75" s="1"/>
  <c r="AL66" i="75"/>
  <c r="AL56" i="75"/>
  <c r="AK56" i="75"/>
  <c r="AM56" i="75" s="1"/>
  <c r="AH18" i="75"/>
  <c r="AG18" i="75"/>
  <c r="AK62" i="75"/>
  <c r="AM62" i="75" s="1"/>
  <c r="AL62" i="75"/>
  <c r="AL57" i="75"/>
  <c r="AK57" i="75"/>
  <c r="AM57" i="75" s="1"/>
  <c r="AL58" i="75"/>
  <c r="AK58" i="75"/>
  <c r="AM58" i="75" s="1"/>
  <c r="AM18" i="75"/>
  <c r="AY17" i="75"/>
  <c r="AY7" i="75"/>
  <c r="AY52" i="75"/>
  <c r="AY43" i="75"/>
  <c r="AY14" i="75"/>
  <c r="AY15" i="75"/>
  <c r="AY8" i="75"/>
  <c r="AY28" i="75"/>
  <c r="AY10" i="75"/>
  <c r="AY50" i="75"/>
  <c r="AY32" i="75"/>
  <c r="AY11" i="75"/>
  <c r="AY33" i="75"/>
  <c r="AY47" i="75"/>
  <c r="AY13" i="75"/>
  <c r="AY57" i="75"/>
  <c r="AY51" i="75"/>
  <c r="AY24" i="75"/>
  <c r="AY18" i="75"/>
  <c r="AY40" i="75"/>
  <c r="AY36" i="75"/>
  <c r="AY9" i="75"/>
  <c r="AY12" i="75"/>
  <c r="AY62" i="75"/>
  <c r="AY29" i="75"/>
  <c r="AY30" i="75"/>
  <c r="AY63" i="75"/>
  <c r="AY48" i="75"/>
  <c r="AY31" i="75"/>
  <c r="AY21" i="75"/>
  <c r="AY38" i="75"/>
  <c r="AY61" i="75"/>
  <c r="L5" i="75"/>
  <c r="M14" i="75"/>
  <c r="C77" i="75"/>
  <c r="AY49" i="75"/>
  <c r="M12" i="75"/>
  <c r="M9" i="75"/>
  <c r="AY25" i="75"/>
  <c r="AY59" i="75"/>
  <c r="AY39" i="75"/>
  <c r="AY41" i="75"/>
  <c r="AY26" i="75"/>
  <c r="AY54" i="75"/>
  <c r="AY22" i="75"/>
  <c r="AY34" i="75"/>
  <c r="AY23" i="75"/>
  <c r="AY42" i="75"/>
  <c r="Y14" i="75"/>
  <c r="M8" i="75"/>
  <c r="M10" i="75"/>
  <c r="M11" i="75"/>
  <c r="AY53" i="75"/>
  <c r="AY44" i="75"/>
  <c r="AY20" i="75"/>
  <c r="AY19" i="75"/>
  <c r="AY60" i="75"/>
  <c r="AY46" i="75"/>
  <c r="AY56" i="75"/>
  <c r="AY35" i="75"/>
  <c r="AY37" i="75"/>
  <c r="AY16" i="75"/>
  <c r="AY27" i="75"/>
  <c r="AY45" i="75"/>
  <c r="BC10" i="75"/>
  <c r="AW11" i="74"/>
  <c r="AX11" i="74" s="1"/>
  <c r="AW10" i="74"/>
  <c r="AX10" i="74" s="1"/>
  <c r="AW15" i="74"/>
  <c r="AX15" i="74" s="1"/>
  <c r="AW49" i="74"/>
  <c r="AX49" i="74" s="1"/>
  <c r="AW60" i="74"/>
  <c r="AX60" i="74" s="1"/>
  <c r="AW57" i="74"/>
  <c r="AX57" i="74" s="1"/>
  <c r="AW55" i="74"/>
  <c r="AW53" i="74"/>
  <c r="AX53" i="74" s="1"/>
  <c r="AW61" i="74"/>
  <c r="AX61" i="74" s="1"/>
  <c r="AW47" i="74"/>
  <c r="AX47" i="74" s="1"/>
  <c r="AW45" i="74"/>
  <c r="AX45" i="74" s="1"/>
  <c r="AW44" i="74"/>
  <c r="AX44" i="74" s="1"/>
  <c r="AW43" i="74"/>
  <c r="AX43" i="74" s="1"/>
  <c r="AW41" i="74"/>
  <c r="AX41" i="74" s="1"/>
  <c r="AW39" i="74"/>
  <c r="AX39" i="74" s="1"/>
  <c r="AW37" i="74"/>
  <c r="AX37" i="74" s="1"/>
  <c r="AW35" i="74"/>
  <c r="AX35" i="74" s="1"/>
  <c r="AW33" i="74"/>
  <c r="AX33" i="74" s="1"/>
  <c r="AW31" i="74"/>
  <c r="AX31" i="74" s="1"/>
  <c r="AW25" i="74"/>
  <c r="AX25" i="74" s="1"/>
  <c r="AW21" i="74"/>
  <c r="AX21" i="74" s="1"/>
  <c r="AW7" i="74"/>
  <c r="AX7" i="74" s="1"/>
  <c r="AW27" i="74"/>
  <c r="AX27" i="74" s="1"/>
  <c r="AW19" i="74"/>
  <c r="AX19" i="74" s="1"/>
  <c r="AW17" i="74"/>
  <c r="AX17" i="74" s="1"/>
  <c r="AW23" i="74"/>
  <c r="AX23" i="74" s="1"/>
  <c r="AW14" i="74"/>
  <c r="AX14" i="74" s="1"/>
  <c r="AW9" i="74"/>
  <c r="AX9" i="74" s="1"/>
  <c r="L14" i="74"/>
  <c r="M9" i="74" s="1"/>
  <c r="BC8" i="74"/>
  <c r="AW8" i="74"/>
  <c r="AX8" i="74" s="1"/>
  <c r="AW12" i="74"/>
  <c r="AX12" i="74" s="1"/>
  <c r="AW13" i="74"/>
  <c r="AX13" i="74" s="1"/>
  <c r="AW26" i="74"/>
  <c r="AX26" i="74" s="1"/>
  <c r="AW29" i="74"/>
  <c r="AX29" i="74" s="1"/>
  <c r="AW24" i="74"/>
  <c r="AX24" i="74" s="1"/>
  <c r="AW32" i="74"/>
  <c r="AX32" i="74" s="1"/>
  <c r="AW36" i="74"/>
  <c r="AX36" i="74" s="1"/>
  <c r="AW40" i="74"/>
  <c r="AX40" i="74" s="1"/>
  <c r="AW22" i="74"/>
  <c r="AX22" i="74" s="1"/>
  <c r="AW16" i="74"/>
  <c r="AX16" i="74" s="1"/>
  <c r="AW18" i="74"/>
  <c r="AX18" i="74" s="1"/>
  <c r="AW20" i="74"/>
  <c r="AX20" i="74" s="1"/>
  <c r="AW28" i="74"/>
  <c r="AX28" i="74" s="1"/>
  <c r="AW30" i="74"/>
  <c r="AX30" i="74" s="1"/>
  <c r="AW34" i="74"/>
  <c r="AX34" i="74" s="1"/>
  <c r="AW38" i="74"/>
  <c r="AX38" i="74" s="1"/>
  <c r="AW42" i="74"/>
  <c r="AX42" i="74" s="1"/>
  <c r="AW46" i="74"/>
  <c r="AX46" i="74" s="1"/>
  <c r="AW54" i="74"/>
  <c r="AX54" i="74" s="1"/>
  <c r="AW58" i="74"/>
  <c r="AX58" i="74" s="1"/>
  <c r="AW63" i="74"/>
  <c r="AX63" i="74" s="1"/>
  <c r="AW48" i="74"/>
  <c r="AX48" i="74" s="1"/>
  <c r="AX55" i="74"/>
  <c r="AW52" i="74"/>
  <c r="AX52" i="74" s="1"/>
  <c r="AW56" i="74"/>
  <c r="AX56" i="74" s="1"/>
  <c r="AW51" i="74"/>
  <c r="AX51" i="74" s="1"/>
  <c r="AW50" i="74"/>
  <c r="AX50" i="74" s="1"/>
  <c r="AW59" i="74"/>
  <c r="AX59" i="74" s="1"/>
  <c r="AW62" i="74"/>
  <c r="AX62" i="74" s="1"/>
  <c r="CE7" i="7"/>
  <c r="CE31" i="7"/>
  <c r="CE21" i="7"/>
  <c r="CE11" i="7"/>
  <c r="AL13" i="75"/>
  <c r="AK13" i="75"/>
  <c r="AM13" i="75" l="1"/>
  <c r="AH13" i="75"/>
  <c r="AG13" i="75"/>
  <c r="BD26" i="85"/>
  <c r="BC27" i="85"/>
  <c r="BI25" i="85"/>
  <c r="BH25" i="85"/>
  <c r="BG25" i="85"/>
  <c r="BF25" i="85"/>
  <c r="BG24" i="84"/>
  <c r="BF24" i="84"/>
  <c r="BI24" i="84"/>
  <c r="BH24" i="84"/>
  <c r="BC26" i="84"/>
  <c r="BD25" i="84"/>
  <c r="BH21" i="83"/>
  <c r="BI21" i="83"/>
  <c r="BG21" i="83"/>
  <c r="BF21" i="83"/>
  <c r="BD22" i="83"/>
  <c r="BC23" i="83"/>
  <c r="BG15" i="81"/>
  <c r="BI15" i="81"/>
  <c r="BH15" i="81"/>
  <c r="BF15" i="81"/>
  <c r="BC17" i="81"/>
  <c r="BD16" i="81"/>
  <c r="BH14" i="80"/>
  <c r="BG14" i="80"/>
  <c r="BF14" i="80"/>
  <c r="BI14" i="80"/>
  <c r="BD15" i="80"/>
  <c r="BC16" i="80"/>
  <c r="BC15" i="78"/>
  <c r="BD14" i="78"/>
  <c r="BG13" i="78"/>
  <c r="BI13" i="78"/>
  <c r="BH13" i="78"/>
  <c r="BF13" i="78"/>
  <c r="BI13" i="79"/>
  <c r="BG13" i="79"/>
  <c r="BH13" i="79"/>
  <c r="BF13" i="79"/>
  <c r="BC15" i="79"/>
  <c r="BD14" i="79"/>
  <c r="BD9" i="75"/>
  <c r="BH9" i="75" s="1"/>
  <c r="BI8" i="76"/>
  <c r="BF8" i="76"/>
  <c r="BH8" i="76"/>
  <c r="BG8" i="76"/>
  <c r="AA9" i="76"/>
  <c r="O14" i="76"/>
  <c r="P9" i="76" s="1"/>
  <c r="AA8" i="76"/>
  <c r="AA11" i="76"/>
  <c r="BI10" i="76"/>
  <c r="BH10" i="76"/>
  <c r="BF10" i="76"/>
  <c r="BG10" i="76"/>
  <c r="U14" i="76"/>
  <c r="V8" i="76"/>
  <c r="R14" i="76"/>
  <c r="S8" i="76" s="1"/>
  <c r="BI9" i="76"/>
  <c r="BH9" i="76"/>
  <c r="BG9" i="76"/>
  <c r="BF9" i="76"/>
  <c r="BI7" i="76"/>
  <c r="BH7" i="76"/>
  <c r="BF7" i="76"/>
  <c r="BG7" i="76"/>
  <c r="AA12" i="76"/>
  <c r="AA10" i="76"/>
  <c r="BD11" i="76"/>
  <c r="BC12" i="76"/>
  <c r="AA13" i="76"/>
  <c r="BD10" i="75"/>
  <c r="BC11" i="75"/>
  <c r="BD7" i="75"/>
  <c r="BD8" i="75"/>
  <c r="AY50" i="74"/>
  <c r="AY34" i="74"/>
  <c r="AY46" i="74"/>
  <c r="AY30" i="74"/>
  <c r="AY18" i="74"/>
  <c r="AY12" i="74"/>
  <c r="AY27" i="74"/>
  <c r="AY51" i="74"/>
  <c r="AY16" i="74"/>
  <c r="AY8" i="74"/>
  <c r="AY52" i="74"/>
  <c r="AY62" i="74"/>
  <c r="AY42" i="74"/>
  <c r="AY38" i="74"/>
  <c r="AY22" i="74"/>
  <c r="AY11" i="74"/>
  <c r="AY39" i="74"/>
  <c r="AY31" i="74"/>
  <c r="AY32" i="74"/>
  <c r="AY29" i="74"/>
  <c r="AY9" i="74"/>
  <c r="AY60" i="74"/>
  <c r="AY43" i="74"/>
  <c r="AY48" i="74"/>
  <c r="AY44" i="74"/>
  <c r="AY35" i="74"/>
  <c r="AY23" i="74"/>
  <c r="AY36" i="74"/>
  <c r="AY53" i="74"/>
  <c r="AY26" i="74"/>
  <c r="M8" i="74"/>
  <c r="AY17" i="74"/>
  <c r="AY21" i="74"/>
  <c r="AY61" i="74"/>
  <c r="AY10" i="74"/>
  <c r="AY19" i="74"/>
  <c r="AY13" i="74"/>
  <c r="M14" i="74"/>
  <c r="L5" i="74"/>
  <c r="AY54" i="74"/>
  <c r="AY63" i="74"/>
  <c r="AY56" i="74"/>
  <c r="AY59" i="74"/>
  <c r="AY41" i="74"/>
  <c r="AY33" i="74"/>
  <c r="AY20" i="74"/>
  <c r="AY24" i="74"/>
  <c r="AY15" i="74"/>
  <c r="BC9" i="74"/>
  <c r="C77" i="74"/>
  <c r="AY25" i="74"/>
  <c r="AY49" i="74"/>
  <c r="M11" i="74"/>
  <c r="AY45" i="74"/>
  <c r="M10" i="74"/>
  <c r="AY55" i="74"/>
  <c r="AY40" i="74"/>
  <c r="AY14" i="74"/>
  <c r="AY58" i="74"/>
  <c r="AY47" i="74"/>
  <c r="AY37" i="74"/>
  <c r="AY28" i="74"/>
  <c r="AY57" i="74"/>
  <c r="M12" i="74"/>
  <c r="AY7" i="74"/>
  <c r="Y14" i="74"/>
  <c r="BP62" i="5"/>
  <c r="BO62" i="5"/>
  <c r="BN62" i="5"/>
  <c r="BP61" i="5"/>
  <c r="BP63" i="5" s="1"/>
  <c r="BO61" i="5"/>
  <c r="BO63" i="5" s="1"/>
  <c r="BN61" i="5"/>
  <c r="BN63" i="5" s="1"/>
  <c r="BQ57" i="5"/>
  <c r="BP57" i="5"/>
  <c r="BO57" i="5"/>
  <c r="BN57" i="5"/>
  <c r="BQ56" i="5"/>
  <c r="BQ58" i="5" s="1"/>
  <c r="BP56" i="5"/>
  <c r="BO56" i="5"/>
  <c r="BN56" i="5"/>
  <c r="BQ47" i="5"/>
  <c r="BP47" i="5"/>
  <c r="BO47" i="5"/>
  <c r="BN47" i="5"/>
  <c r="BQ46" i="5"/>
  <c r="BQ52" i="5" s="1"/>
  <c r="S13" i="9" s="1"/>
  <c r="BP46" i="5"/>
  <c r="BP52" i="5" s="1"/>
  <c r="BO46" i="5"/>
  <c r="BO52" i="5" s="1"/>
  <c r="BN46" i="5"/>
  <c r="BN52" i="5" s="1"/>
  <c r="BQ45" i="5"/>
  <c r="BP45" i="5"/>
  <c r="BO45" i="5"/>
  <c r="BN45" i="5"/>
  <c r="BQ44" i="5"/>
  <c r="BQ51" i="5" s="1"/>
  <c r="S12" i="9" s="1"/>
  <c r="BP44" i="5"/>
  <c r="BP51" i="5" s="1"/>
  <c r="BP53" i="5" s="1"/>
  <c r="BO44" i="5"/>
  <c r="BO51" i="5" s="1"/>
  <c r="BO53" i="5" s="1"/>
  <c r="BN44" i="5"/>
  <c r="BN51" i="5" s="1"/>
  <c r="BN53" i="5" s="1"/>
  <c r="BQ43" i="5"/>
  <c r="BP43" i="5"/>
  <c r="BO43" i="5"/>
  <c r="BN43" i="5"/>
  <c r="BQ42" i="5"/>
  <c r="BQ50" i="5" s="1"/>
  <c r="S11" i="9" s="1"/>
  <c r="BP42" i="5"/>
  <c r="BP50" i="5" s="1"/>
  <c r="BO42" i="5"/>
  <c r="BO50" i="5" s="1"/>
  <c r="BN42" i="5"/>
  <c r="BN50" i="5" s="1"/>
  <c r="BQ40" i="5"/>
  <c r="BP40" i="5"/>
  <c r="BO40" i="5"/>
  <c r="BN40" i="5"/>
  <c r="AL22" i="75"/>
  <c r="E40" i="75"/>
  <c r="AK8" i="75"/>
  <c r="G11" i="74"/>
  <c r="AJ34" i="74"/>
  <c r="AL19" i="75"/>
  <c r="AJ33" i="74"/>
  <c r="AJ31" i="74"/>
  <c r="AK12" i="75"/>
  <c r="E32" i="75"/>
  <c r="AK34" i="75"/>
  <c r="AJ12" i="74"/>
  <c r="E34" i="75"/>
  <c r="AJ66" i="74"/>
  <c r="G9" i="74"/>
  <c r="E37" i="75"/>
  <c r="G49" i="74"/>
  <c r="AK42" i="75"/>
  <c r="AJ47" i="74"/>
  <c r="AJ26" i="74"/>
  <c r="AK38" i="75"/>
  <c r="G14" i="74"/>
  <c r="E29" i="75"/>
  <c r="AJ53" i="74"/>
  <c r="AK48" i="75"/>
  <c r="AJ45" i="74"/>
  <c r="E61" i="75"/>
  <c r="AL43" i="75"/>
  <c r="AL23" i="75"/>
  <c r="AK52" i="75"/>
  <c r="AK7" i="75"/>
  <c r="E18" i="75"/>
  <c r="AJ49" i="74"/>
  <c r="E25" i="75"/>
  <c r="G40" i="74"/>
  <c r="G30" i="74"/>
  <c r="G38" i="74"/>
  <c r="AJ21" i="74"/>
  <c r="G23" i="74"/>
  <c r="G21" i="74"/>
  <c r="AK24" i="75"/>
  <c r="AL33" i="75"/>
  <c r="AK61" i="75"/>
  <c r="E14" i="75"/>
  <c r="AK21" i="75"/>
  <c r="AL31" i="75"/>
  <c r="AJ65" i="74"/>
  <c r="G18" i="74"/>
  <c r="G39" i="74"/>
  <c r="AK15" i="75"/>
  <c r="E49" i="75"/>
  <c r="G20" i="74"/>
  <c r="AL17" i="75"/>
  <c r="E47" i="75"/>
  <c r="AJ15" i="74"/>
  <c r="AL21" i="75"/>
  <c r="E22" i="75"/>
  <c r="AK29" i="75"/>
  <c r="E46" i="75"/>
  <c r="E51" i="75"/>
  <c r="AJ62" i="74"/>
  <c r="AL8" i="75"/>
  <c r="E38" i="75"/>
  <c r="G27" i="74"/>
  <c r="AK44" i="75"/>
  <c r="AK10" i="75"/>
  <c r="AJ23" i="74"/>
  <c r="AJ46" i="74"/>
  <c r="E8" i="75"/>
  <c r="AJ64" i="74"/>
  <c r="G52" i="74"/>
  <c r="AJ43" i="74"/>
  <c r="E52" i="75"/>
  <c r="AL45" i="75"/>
  <c r="AJ61" i="74"/>
  <c r="AJ58" i="74"/>
  <c r="AJ37" i="74"/>
  <c r="AJ19" i="74"/>
  <c r="AJ10" i="74"/>
  <c r="AL11" i="75"/>
  <c r="AL41" i="75"/>
  <c r="AJ29" i="74"/>
  <c r="AK22" i="75"/>
  <c r="AJ54" i="74"/>
  <c r="AJ63" i="74"/>
  <c r="G33" i="74"/>
  <c r="E36" i="75"/>
  <c r="AL12" i="75"/>
  <c r="AJ30" i="74"/>
  <c r="AL61" i="75"/>
  <c r="G50" i="74"/>
  <c r="AL34" i="75"/>
  <c r="AK49" i="75"/>
  <c r="AK14" i="75"/>
  <c r="AJ39" i="74"/>
  <c r="AJ7" i="74"/>
  <c r="AL42" i="75"/>
  <c r="E12" i="75"/>
  <c r="AJ16" i="74"/>
  <c r="AJ36" i="74"/>
  <c r="AL36" i="75"/>
  <c r="AK31" i="75"/>
  <c r="G45" i="74"/>
  <c r="E16" i="75"/>
  <c r="AJ44" i="74"/>
  <c r="AL9" i="75"/>
  <c r="G43" i="74"/>
  <c r="AJ14" i="74"/>
  <c r="E28" i="75"/>
  <c r="G34" i="74"/>
  <c r="G16" i="74"/>
  <c r="G29" i="74"/>
  <c r="E48" i="75"/>
  <c r="G8" i="74"/>
  <c r="G12" i="74"/>
  <c r="E43" i="75"/>
  <c r="AL48" i="75"/>
  <c r="AK11" i="75"/>
  <c r="G19" i="74"/>
  <c r="AL52" i="75"/>
  <c r="AJ9" i="74"/>
  <c r="AK19" i="75"/>
  <c r="E17" i="75"/>
  <c r="G35" i="74"/>
  <c r="AK46" i="75"/>
  <c r="E45" i="75"/>
  <c r="E44" i="75"/>
  <c r="G15" i="74"/>
  <c r="AJ51" i="74"/>
  <c r="AL35" i="75"/>
  <c r="AK16" i="75"/>
  <c r="AJ55" i="74"/>
  <c r="AL50" i="75"/>
  <c r="AL7" i="75"/>
  <c r="AK26" i="75"/>
  <c r="AJ52" i="74"/>
  <c r="AJ50" i="74"/>
  <c r="AJ8" i="74"/>
  <c r="AJ32" i="74"/>
  <c r="AK9" i="75"/>
  <c r="AL10" i="75"/>
  <c r="AL27" i="75"/>
  <c r="AL14" i="75"/>
  <c r="AL49" i="75"/>
  <c r="E27" i="75"/>
  <c r="AL28" i="75"/>
  <c r="AJ41" i="74"/>
  <c r="G25" i="74"/>
  <c r="AL47" i="75"/>
  <c r="AK30" i="75"/>
  <c r="G22" i="74"/>
  <c r="G24" i="74"/>
  <c r="AK32" i="75"/>
  <c r="G46" i="74"/>
  <c r="AK45" i="75"/>
  <c r="AJ13" i="74"/>
  <c r="G47" i="74"/>
  <c r="E31" i="75"/>
  <c r="E39" i="75"/>
  <c r="AJ40" i="74"/>
  <c r="G48" i="74"/>
  <c r="AL51" i="75"/>
  <c r="AK27" i="75"/>
  <c r="E9" i="75"/>
  <c r="G26" i="74"/>
  <c r="AK17" i="75"/>
  <c r="AJ42" i="74"/>
  <c r="AL30" i="75"/>
  <c r="AJ38" i="74"/>
  <c r="AJ25" i="74"/>
  <c r="AK47" i="75"/>
  <c r="AK37" i="75"/>
  <c r="AJ11" i="74"/>
  <c r="AL40" i="75"/>
  <c r="G36" i="74"/>
  <c r="AJ20" i="74"/>
  <c r="G13" i="74"/>
  <c r="AK39" i="75"/>
  <c r="AL37" i="75"/>
  <c r="AJ24" i="74"/>
  <c r="G61" i="74"/>
  <c r="AJ28" i="74"/>
  <c r="E10" i="75"/>
  <c r="AJ60" i="74"/>
  <c r="AJ59" i="74"/>
  <c r="E24" i="75"/>
  <c r="G37" i="74"/>
  <c r="AJ56" i="74"/>
  <c r="AJ57" i="74"/>
  <c r="AJ18" i="74"/>
  <c r="E7" i="75"/>
  <c r="AL26" i="75"/>
  <c r="AL44" i="75"/>
  <c r="AL46" i="75"/>
  <c r="AL32" i="75"/>
  <c r="AK28" i="75"/>
  <c r="AK43" i="75"/>
  <c r="AK33" i="75"/>
  <c r="E41" i="75"/>
  <c r="E35" i="75"/>
  <c r="AL38" i="75"/>
  <c r="G44" i="74"/>
  <c r="AJ35" i="74"/>
  <c r="AK25" i="75"/>
  <c r="AL29" i="75"/>
  <c r="E50" i="75"/>
  <c r="E26" i="75"/>
  <c r="G28" i="74"/>
  <c r="G32" i="74"/>
  <c r="E11" i="75"/>
  <c r="AJ67" i="74"/>
  <c r="AL24" i="75"/>
  <c r="AK23" i="75"/>
  <c r="AK36" i="75"/>
  <c r="E13" i="75"/>
  <c r="G51" i="74"/>
  <c r="G42" i="74"/>
  <c r="AL25" i="75"/>
  <c r="AK35" i="75"/>
  <c r="AJ22" i="74"/>
  <c r="G31" i="74"/>
  <c r="AL39" i="75"/>
  <c r="AK40" i="75"/>
  <c r="G10" i="74"/>
  <c r="AJ27" i="74"/>
  <c r="E30" i="75"/>
  <c r="E33" i="75"/>
  <c r="AK41" i="75"/>
  <c r="AL15" i="75"/>
  <c r="AK50" i="75"/>
  <c r="E23" i="75"/>
  <c r="G17" i="74"/>
  <c r="AK51" i="75"/>
  <c r="G41" i="74"/>
  <c r="AJ48" i="74"/>
  <c r="AL16" i="75"/>
  <c r="E42" i="75"/>
  <c r="E7" i="74"/>
  <c r="AJ17" i="74"/>
  <c r="E19" i="75"/>
  <c r="E20" i="75"/>
  <c r="E21" i="75"/>
  <c r="BA7" i="7"/>
  <c r="BO58" i="5" l="1"/>
  <c r="BP58" i="5"/>
  <c r="BC28" i="85"/>
  <c r="BD27" i="85"/>
  <c r="BF26" i="85"/>
  <c r="BI26" i="85"/>
  <c r="BH26" i="85"/>
  <c r="BG26" i="85"/>
  <c r="BH25" i="84"/>
  <c r="BG25" i="84"/>
  <c r="BF25" i="84"/>
  <c r="BI25" i="84"/>
  <c r="BD26" i="84"/>
  <c r="BC27" i="84"/>
  <c r="BG22" i="83"/>
  <c r="BH22" i="83"/>
  <c r="BI22" i="83"/>
  <c r="BF22" i="83"/>
  <c r="BD23" i="83"/>
  <c r="BC24" i="83"/>
  <c r="BH16" i="81"/>
  <c r="BG16" i="81"/>
  <c r="BF16" i="81"/>
  <c r="BI16" i="81"/>
  <c r="BD17" i="81"/>
  <c r="BC18" i="81"/>
  <c r="BI9" i="75"/>
  <c r="BF9" i="75"/>
  <c r="BG9" i="75"/>
  <c r="BC17" i="80"/>
  <c r="BD16" i="80"/>
  <c r="BI15" i="80"/>
  <c r="BH15" i="80"/>
  <c r="BG15" i="80"/>
  <c r="BF15" i="80"/>
  <c r="AM38" i="75"/>
  <c r="AM47" i="75"/>
  <c r="AH8" i="75"/>
  <c r="AG8" i="75"/>
  <c r="AM12" i="75"/>
  <c r="AM39" i="75"/>
  <c r="AH34" i="75"/>
  <c r="AG34" i="75"/>
  <c r="AK54" i="74"/>
  <c r="AM54" i="74" s="1"/>
  <c r="AL54" i="74"/>
  <c r="AK58" i="74"/>
  <c r="AM58" i="74" s="1"/>
  <c r="AL58" i="74"/>
  <c r="AG49" i="75"/>
  <c r="AH49" i="75"/>
  <c r="AM46" i="75"/>
  <c r="AL67" i="74"/>
  <c r="AK67" i="74"/>
  <c r="AM67" i="74" s="1"/>
  <c r="U11" i="75"/>
  <c r="V11" i="75" s="1"/>
  <c r="O16" i="75" a="1"/>
  <c r="O16" i="75" s="1"/>
  <c r="U13" i="75"/>
  <c r="V13" i="75" s="1"/>
  <c r="O13" i="75"/>
  <c r="P13" i="75" s="1"/>
  <c r="U9" i="75"/>
  <c r="V9" i="75" s="1"/>
  <c r="U16" i="75" a="1"/>
  <c r="U16" i="75" s="1"/>
  <c r="O10" i="75"/>
  <c r="U8" i="75"/>
  <c r="V8" i="75" s="1"/>
  <c r="O9" i="75"/>
  <c r="O12" i="75"/>
  <c r="O8" i="75"/>
  <c r="R11" i="75"/>
  <c r="U12" i="75"/>
  <c r="V12" i="75" s="1"/>
  <c r="R13" i="75"/>
  <c r="S13" i="75" s="1"/>
  <c r="R12" i="75"/>
  <c r="R16" i="75" a="1"/>
  <c r="R16" i="75" s="1"/>
  <c r="R10" i="75"/>
  <c r="R8" i="75"/>
  <c r="O11" i="75"/>
  <c r="U10" i="75"/>
  <c r="V10" i="75" s="1"/>
  <c r="R9" i="75"/>
  <c r="AM48" i="75"/>
  <c r="AG15" i="75"/>
  <c r="AH15" i="75"/>
  <c r="AH61" i="75"/>
  <c r="AG61" i="75"/>
  <c r="AM30" i="75"/>
  <c r="AH35" i="75"/>
  <c r="AG35" i="75"/>
  <c r="AM24" i="75"/>
  <c r="AH10" i="75"/>
  <c r="AG10" i="75"/>
  <c r="AM61" i="75"/>
  <c r="AM51" i="75"/>
  <c r="AH42" i="75"/>
  <c r="AG42" i="75"/>
  <c r="AM35" i="75"/>
  <c r="AG40" i="75"/>
  <c r="AH40" i="75"/>
  <c r="AG48" i="75"/>
  <c r="AH48" i="75"/>
  <c r="AH47" i="75"/>
  <c r="AG47" i="75"/>
  <c r="AG41" i="75"/>
  <c r="AH41" i="75"/>
  <c r="AG44" i="75"/>
  <c r="AH44" i="75"/>
  <c r="AM45" i="75"/>
  <c r="AM44" i="75"/>
  <c r="AG19" i="75"/>
  <c r="AH19" i="75"/>
  <c r="AM41" i="75"/>
  <c r="AL63" i="74"/>
  <c r="AK63" i="74"/>
  <c r="AM63" i="74" s="1"/>
  <c r="AH11" i="75"/>
  <c r="AG11" i="75"/>
  <c r="AM42" i="75"/>
  <c r="AG31" i="75"/>
  <c r="AH31" i="75"/>
  <c r="AH28" i="75"/>
  <c r="AG28" i="75"/>
  <c r="AM11" i="75"/>
  <c r="AL60" i="74"/>
  <c r="AK60" i="74"/>
  <c r="AM60" i="74" s="1"/>
  <c r="AG51" i="75"/>
  <c r="AH51" i="75"/>
  <c r="AM36" i="75"/>
  <c r="AM43" i="75"/>
  <c r="AG43" i="75"/>
  <c r="AH43" i="75"/>
  <c r="AH7" i="75"/>
  <c r="AG7" i="75"/>
  <c r="AM22" i="75"/>
  <c r="AM14" i="75"/>
  <c r="AM21" i="75"/>
  <c r="AG27" i="75"/>
  <c r="AH27" i="75"/>
  <c r="AM10" i="75"/>
  <c r="AG52" i="75"/>
  <c r="AH52" i="75"/>
  <c r="AM29" i="75"/>
  <c r="AM37" i="75"/>
  <c r="AL53" i="74"/>
  <c r="AK53" i="74"/>
  <c r="AM53" i="74" s="1"/>
  <c r="AH24" i="75"/>
  <c r="AG24" i="75"/>
  <c r="AM27" i="75"/>
  <c r="AH9" i="75"/>
  <c r="AG9" i="75"/>
  <c r="AH26" i="75"/>
  <c r="AG26" i="75"/>
  <c r="AG37" i="75"/>
  <c r="AH37" i="75"/>
  <c r="AM7" i="75"/>
  <c r="AM40" i="75"/>
  <c r="AL59" i="74"/>
  <c r="AK59" i="74"/>
  <c r="AM59" i="74" s="1"/>
  <c r="AH14" i="75"/>
  <c r="AG14" i="75"/>
  <c r="AM23" i="75"/>
  <c r="AG12" i="75"/>
  <c r="AH12" i="75"/>
  <c r="AM19" i="75"/>
  <c r="AH21" i="75"/>
  <c r="AG21" i="75"/>
  <c r="AG22" i="75"/>
  <c r="AH22" i="75"/>
  <c r="AM52" i="75"/>
  <c r="AM32" i="75"/>
  <c r="AL64" i="74"/>
  <c r="AK64" i="74"/>
  <c r="AM64" i="74" s="1"/>
  <c r="AG16" i="75"/>
  <c r="AH16" i="75"/>
  <c r="AM15" i="75"/>
  <c r="AM9" i="75"/>
  <c r="AL57" i="74"/>
  <c r="AK57" i="74"/>
  <c r="AM57" i="74" s="1"/>
  <c r="AM25" i="75"/>
  <c r="AH36" i="75"/>
  <c r="AG36" i="75"/>
  <c r="AL65" i="74"/>
  <c r="AK65" i="74"/>
  <c r="AM65" i="74" s="1"/>
  <c r="AM16" i="75"/>
  <c r="AK62" i="74"/>
  <c r="AM62" i="74" s="1"/>
  <c r="AL62" i="74"/>
  <c r="AH30" i="75"/>
  <c r="AG30" i="75"/>
  <c r="AK55" i="74"/>
  <c r="AM55" i="74" s="1"/>
  <c r="AL55" i="74"/>
  <c r="AM34" i="75"/>
  <c r="AK56" i="74"/>
  <c r="AM56" i="74" s="1"/>
  <c r="AL56" i="74"/>
  <c r="AH38" i="75"/>
  <c r="AG38" i="75"/>
  <c r="AH46" i="75"/>
  <c r="AG46" i="75"/>
  <c r="AM26" i="75"/>
  <c r="AG32" i="75"/>
  <c r="AH32" i="75"/>
  <c r="AM8" i="75"/>
  <c r="AL66" i="74"/>
  <c r="AK66" i="74"/>
  <c r="AM66" i="74" s="1"/>
  <c r="AM49" i="75"/>
  <c r="AM31" i="75"/>
  <c r="AH23" i="75"/>
  <c r="AG23" i="75"/>
  <c r="AH39" i="75"/>
  <c r="AG39" i="75"/>
  <c r="AH25" i="75"/>
  <c r="AG25" i="75"/>
  <c r="AM50" i="75"/>
  <c r="AM28" i="75"/>
  <c r="AM17" i="75"/>
  <c r="AG50" i="75"/>
  <c r="AH50" i="75"/>
  <c r="AH33" i="75"/>
  <c r="AG33" i="75"/>
  <c r="AM33" i="75"/>
  <c r="AG17" i="75"/>
  <c r="AH17" i="75"/>
  <c r="AG45" i="75"/>
  <c r="AH45" i="75"/>
  <c r="AH29" i="75"/>
  <c r="AG29" i="75"/>
  <c r="BC16" i="78"/>
  <c r="BD15" i="78"/>
  <c r="BF14" i="78"/>
  <c r="BH14" i="78"/>
  <c r="BI14" i="78"/>
  <c r="BG14" i="78"/>
  <c r="BH14" i="79"/>
  <c r="BF14" i="79"/>
  <c r="BI14" i="79"/>
  <c r="BG14" i="79"/>
  <c r="BD15" i="79"/>
  <c r="BC16" i="79"/>
  <c r="S14" i="9"/>
  <c r="P12" i="76"/>
  <c r="P11" i="76"/>
  <c r="P13" i="76"/>
  <c r="P10" i="76"/>
  <c r="P8" i="76"/>
  <c r="AA14" i="76"/>
  <c r="S14" i="76"/>
  <c r="R5" i="76"/>
  <c r="S11" i="76"/>
  <c r="BD12" i="76"/>
  <c r="BC13" i="76"/>
  <c r="S10" i="76"/>
  <c r="O5" i="76"/>
  <c r="P14" i="76"/>
  <c r="S12" i="76"/>
  <c r="BI11" i="76"/>
  <c r="BG11" i="76"/>
  <c r="BH11" i="76"/>
  <c r="BF11" i="76"/>
  <c r="U5" i="76"/>
  <c r="V14" i="76"/>
  <c r="S9" i="76"/>
  <c r="BG8" i="75"/>
  <c r="BF8" i="75"/>
  <c r="BI8" i="75"/>
  <c r="BH8" i="75"/>
  <c r="BG10" i="75"/>
  <c r="BF10" i="75"/>
  <c r="BI10" i="75"/>
  <c r="BH10" i="75"/>
  <c r="BG7" i="75"/>
  <c r="BF7" i="75"/>
  <c r="BI7" i="75"/>
  <c r="BH7" i="75"/>
  <c r="BC12" i="75"/>
  <c r="BD11" i="75"/>
  <c r="BD8" i="74"/>
  <c r="BF8" i="74" s="1"/>
  <c r="BD7" i="74"/>
  <c r="BD9" i="74"/>
  <c r="BC10" i="74"/>
  <c r="BQ53" i="5"/>
  <c r="BN58" i="5"/>
  <c r="BQ61" i="5"/>
  <c r="S11" i="10" s="1"/>
  <c r="BQ62" i="5"/>
  <c r="S12" i="10" s="1"/>
  <c r="C68" i="73"/>
  <c r="B68" i="73" s="1"/>
  <c r="AH67" i="73"/>
  <c r="AG67" i="73"/>
  <c r="AF67" i="73"/>
  <c r="AH66" i="73"/>
  <c r="AG66" i="73"/>
  <c r="AF66" i="73"/>
  <c r="AH65" i="73"/>
  <c r="AG65" i="73"/>
  <c r="AF65" i="73"/>
  <c r="AH64" i="73"/>
  <c r="AG64" i="73"/>
  <c r="AF64" i="73"/>
  <c r="AV63" i="73"/>
  <c r="AH63" i="73"/>
  <c r="AG63" i="73"/>
  <c r="AF63" i="73"/>
  <c r="AV62" i="73"/>
  <c r="AH62" i="73"/>
  <c r="AG62" i="73"/>
  <c r="AF62" i="73"/>
  <c r="G62" i="73"/>
  <c r="AV61" i="73"/>
  <c r="AV60" i="73"/>
  <c r="AH60" i="73"/>
  <c r="AG60" i="73"/>
  <c r="AF60" i="73"/>
  <c r="AF61" i="73" s="1"/>
  <c r="G60" i="73"/>
  <c r="E60" i="73" s="1"/>
  <c r="AV59" i="73"/>
  <c r="AH59" i="73"/>
  <c r="AG59" i="73"/>
  <c r="AF59" i="73"/>
  <c r="G59" i="73"/>
  <c r="E59" i="73" s="1"/>
  <c r="AV58" i="73"/>
  <c r="AH58" i="73"/>
  <c r="AG58" i="73"/>
  <c r="AF58" i="73"/>
  <c r="G58" i="73"/>
  <c r="AV57" i="73"/>
  <c r="AH57" i="73"/>
  <c r="AG57" i="73"/>
  <c r="AF57" i="73"/>
  <c r="G57" i="73"/>
  <c r="AV56" i="73"/>
  <c r="AH56" i="73"/>
  <c r="AG56" i="73"/>
  <c r="AF56" i="73"/>
  <c r="G56" i="73"/>
  <c r="AV55" i="73"/>
  <c r="AH55" i="73"/>
  <c r="AG55" i="73"/>
  <c r="AF55" i="73"/>
  <c r="G55" i="73"/>
  <c r="AV54" i="73"/>
  <c r="AH54" i="73"/>
  <c r="AG54" i="73"/>
  <c r="AF54" i="73"/>
  <c r="G54" i="73"/>
  <c r="AV53" i="73"/>
  <c r="AV52" i="73"/>
  <c r="AV51" i="73"/>
  <c r="AV50" i="73"/>
  <c r="AV49" i="73"/>
  <c r="AV48" i="73"/>
  <c r="AV47" i="73"/>
  <c r="AV46" i="73"/>
  <c r="AV45" i="73"/>
  <c r="AV44" i="73"/>
  <c r="AV43" i="73"/>
  <c r="AV42" i="73"/>
  <c r="AV41" i="73"/>
  <c r="AV40" i="73"/>
  <c r="AV39" i="73"/>
  <c r="AV38" i="73"/>
  <c r="AV37" i="73"/>
  <c r="AV36" i="73"/>
  <c r="AV35" i="73"/>
  <c r="AV34" i="73"/>
  <c r="AV33" i="73"/>
  <c r="AV32" i="73"/>
  <c r="AV31" i="73"/>
  <c r="AV30" i="73"/>
  <c r="AV29" i="73"/>
  <c r="AV28" i="73"/>
  <c r="AV27" i="73"/>
  <c r="AV26" i="73"/>
  <c r="AV25" i="73"/>
  <c r="AV24" i="73"/>
  <c r="AV23" i="73"/>
  <c r="AV22" i="73"/>
  <c r="AV21" i="73"/>
  <c r="AV20" i="73"/>
  <c r="AV19" i="73"/>
  <c r="AV18" i="73"/>
  <c r="AV17" i="73"/>
  <c r="AV16" i="73"/>
  <c r="L16" i="73" a="1"/>
  <c r="L16" i="73" s="1"/>
  <c r="AV15" i="73"/>
  <c r="AV14" i="73"/>
  <c r="AV13" i="73"/>
  <c r="L13" i="73"/>
  <c r="M13" i="73" s="1"/>
  <c r="AV12" i="73"/>
  <c r="L12" i="73"/>
  <c r="AV11" i="73"/>
  <c r="L11" i="73"/>
  <c r="AV10" i="73"/>
  <c r="L10" i="73"/>
  <c r="AV9" i="73"/>
  <c r="L9" i="73"/>
  <c r="AV8" i="73"/>
  <c r="L8" i="73"/>
  <c r="BC7" i="73"/>
  <c r="BC8" i="73" s="1"/>
  <c r="AV7" i="73"/>
  <c r="AF7" i="73"/>
  <c r="AF8" i="73" s="1"/>
  <c r="AF9" i="73" s="1"/>
  <c r="AF10" i="73" s="1"/>
  <c r="AF11" i="73" s="1"/>
  <c r="AF12" i="73" s="1"/>
  <c r="AF13" i="73" s="1"/>
  <c r="AF14" i="73" s="1"/>
  <c r="AF15" i="73" s="1"/>
  <c r="AF16" i="73" s="1"/>
  <c r="AF17" i="73" s="1"/>
  <c r="AF18" i="73" s="1"/>
  <c r="AF19" i="73" s="1"/>
  <c r="AF20" i="73" s="1"/>
  <c r="AF21" i="73" s="1"/>
  <c r="AF22" i="73" s="1"/>
  <c r="AF23" i="73" s="1"/>
  <c r="AF24" i="73" s="1"/>
  <c r="AF25" i="73" s="1"/>
  <c r="AF26" i="73" s="1"/>
  <c r="AF27" i="73" s="1"/>
  <c r="AF28" i="73" s="1"/>
  <c r="AF29" i="73" s="1"/>
  <c r="AF30" i="73" s="1"/>
  <c r="AF31" i="73" s="1"/>
  <c r="AF32" i="73" s="1"/>
  <c r="AF33" i="73" s="1"/>
  <c r="AF34" i="73" s="1"/>
  <c r="AF35" i="73" s="1"/>
  <c r="AF36" i="73" s="1"/>
  <c r="AF37" i="73" s="1"/>
  <c r="AF38" i="73" s="1"/>
  <c r="AF39" i="73" s="1"/>
  <c r="AF40" i="73" s="1"/>
  <c r="AF41" i="73" s="1"/>
  <c r="AF42" i="73" s="1"/>
  <c r="AF43" i="73" s="1"/>
  <c r="AF44" i="73" s="1"/>
  <c r="AF45" i="73" s="1"/>
  <c r="AF46" i="73" s="1"/>
  <c r="AF47" i="73" s="1"/>
  <c r="AF48" i="73" s="1"/>
  <c r="AF49" i="73" s="1"/>
  <c r="AF50" i="73" s="1"/>
  <c r="AF51" i="73" s="1"/>
  <c r="AF52" i="73" s="1"/>
  <c r="AF53" i="73" s="1"/>
  <c r="AL4" i="73"/>
  <c r="AL2" i="73" s="1"/>
  <c r="AK4" i="73"/>
  <c r="AK2" i="73" s="1"/>
  <c r="AJ4" i="73"/>
  <c r="AJ2" i="73" s="1"/>
  <c r="G3" i="73"/>
  <c r="E2" i="73"/>
  <c r="E3" i="73" s="1"/>
  <c r="A1" i="73"/>
  <c r="AK51" i="74"/>
  <c r="G30" i="73"/>
  <c r="AL23" i="74"/>
  <c r="AK18" i="74"/>
  <c r="E41" i="74"/>
  <c r="E43" i="74"/>
  <c r="AL33" i="74"/>
  <c r="E35" i="74"/>
  <c r="E29" i="74"/>
  <c r="AK12" i="74"/>
  <c r="AL32" i="74"/>
  <c r="AK15" i="74"/>
  <c r="AL36" i="74"/>
  <c r="E10" i="74"/>
  <c r="AL35" i="74"/>
  <c r="E61" i="74"/>
  <c r="AL37" i="74"/>
  <c r="AL42" i="74"/>
  <c r="AK36" i="74"/>
  <c r="AL21" i="74"/>
  <c r="E20" i="74"/>
  <c r="E25" i="74"/>
  <c r="E23" i="74"/>
  <c r="AL40" i="74"/>
  <c r="AL14" i="74"/>
  <c r="AL34" i="74"/>
  <c r="E39" i="74"/>
  <c r="AK19" i="74"/>
  <c r="AL43" i="74"/>
  <c r="E45" i="74"/>
  <c r="AL7" i="74"/>
  <c r="AK21" i="74"/>
  <c r="E19" i="74"/>
  <c r="AK25" i="74"/>
  <c r="AK22" i="74"/>
  <c r="E40" i="74"/>
  <c r="AK13" i="74"/>
  <c r="AL8" i="74"/>
  <c r="E8" i="74"/>
  <c r="E21" i="74"/>
  <c r="AL15" i="74"/>
  <c r="E14" i="74"/>
  <c r="AK26" i="74"/>
  <c r="E31" i="74"/>
  <c r="AK20" i="74"/>
  <c r="AK35" i="74"/>
  <c r="E28" i="74"/>
  <c r="AL51" i="74"/>
  <c r="E38" i="74"/>
  <c r="G51" i="73"/>
  <c r="E37" i="74"/>
  <c r="E44" i="74"/>
  <c r="E15" i="74"/>
  <c r="AK23" i="74"/>
  <c r="AK38" i="74"/>
  <c r="AK61" i="74"/>
  <c r="AK39" i="74"/>
  <c r="AK49" i="74"/>
  <c r="AL9" i="74"/>
  <c r="AK27" i="74"/>
  <c r="AL38" i="74"/>
  <c r="AL18" i="74"/>
  <c r="AL41" i="74"/>
  <c r="AL17" i="74"/>
  <c r="AK46" i="74"/>
  <c r="AK14" i="74"/>
  <c r="E36" i="74"/>
  <c r="E42" i="74"/>
  <c r="E49" i="74"/>
  <c r="AL22" i="74"/>
  <c r="AK40" i="74"/>
  <c r="AL39" i="74"/>
  <c r="AL11" i="74"/>
  <c r="E30" i="74"/>
  <c r="E50" i="74"/>
  <c r="AK31" i="74"/>
  <c r="E9" i="74"/>
  <c r="AL13" i="74"/>
  <c r="AK43" i="74"/>
  <c r="AL52" i="74"/>
  <c r="E47" i="74"/>
  <c r="AL48" i="74"/>
  <c r="E34" i="74"/>
  <c r="AK48" i="74"/>
  <c r="E24" i="74"/>
  <c r="AK9" i="74"/>
  <c r="AK30" i="74"/>
  <c r="AK8" i="74"/>
  <c r="AK17" i="74"/>
  <c r="E17" i="74"/>
  <c r="AK47" i="74"/>
  <c r="AK50" i="74"/>
  <c r="AK16" i="74"/>
  <c r="AL50" i="74"/>
  <c r="AK41" i="74"/>
  <c r="AK37" i="74"/>
  <c r="AK28" i="74"/>
  <c r="AL29" i="74"/>
  <c r="AK44" i="74"/>
  <c r="E46" i="74"/>
  <c r="E22" i="74"/>
  <c r="E51" i="74"/>
  <c r="AL46" i="74"/>
  <c r="AL47" i="74"/>
  <c r="AL12" i="74"/>
  <c r="AL20" i="74"/>
  <c r="AL30" i="74"/>
  <c r="AL19" i="74"/>
  <c r="AK10" i="74"/>
  <c r="AL31" i="74"/>
  <c r="AK42" i="74"/>
  <c r="AL27" i="74"/>
  <c r="AL26" i="74"/>
  <c r="E48" i="74"/>
  <c r="E11" i="74"/>
  <c r="E13" i="74"/>
  <c r="E26" i="74"/>
  <c r="AK7" i="74"/>
  <c r="AL44" i="74"/>
  <c r="E16" i="74"/>
  <c r="AK34" i="74"/>
  <c r="G26" i="73"/>
  <c r="AL25" i="74"/>
  <c r="E27" i="74"/>
  <c r="AL28" i="74"/>
  <c r="AL45" i="74"/>
  <c r="E18" i="74"/>
  <c r="E32" i="74"/>
  <c r="E52" i="74"/>
  <c r="E33" i="74"/>
  <c r="AK45" i="74"/>
  <c r="AL61" i="74"/>
  <c r="E12" i="74"/>
  <c r="AL24" i="74"/>
  <c r="AL16" i="74"/>
  <c r="AK32" i="74"/>
  <c r="AK52" i="74"/>
  <c r="AK29" i="74"/>
  <c r="AK33" i="74"/>
  <c r="AL10" i="74"/>
  <c r="AK24" i="74"/>
  <c r="AL49" i="74"/>
  <c r="AK11" i="74"/>
  <c r="E6" i="73"/>
  <c r="BA11" i="7"/>
  <c r="BG27" i="85" l="1"/>
  <c r="BF27" i="85"/>
  <c r="BI27" i="85"/>
  <c r="BH27" i="85"/>
  <c r="BC29" i="85"/>
  <c r="BD28" i="85"/>
  <c r="BD27" i="84"/>
  <c r="BC28" i="84"/>
  <c r="BI26" i="84"/>
  <c r="BH26" i="84"/>
  <c r="BG26" i="84"/>
  <c r="BF26" i="84"/>
  <c r="BF23" i="83"/>
  <c r="BG23" i="83"/>
  <c r="BH23" i="83"/>
  <c r="BI23" i="83"/>
  <c r="BC25" i="83"/>
  <c r="BD24" i="83"/>
  <c r="BC19" i="81"/>
  <c r="BD18" i="81"/>
  <c r="BI17" i="81"/>
  <c r="BH17" i="81"/>
  <c r="BG17" i="81"/>
  <c r="BF17" i="81"/>
  <c r="AA9" i="75"/>
  <c r="R14" i="75"/>
  <c r="S9" i="75" s="1"/>
  <c r="O14" i="75"/>
  <c r="P14" i="75" s="1"/>
  <c r="AA12" i="75"/>
  <c r="AA8" i="75"/>
  <c r="BI8" i="74"/>
  <c r="AA11" i="75"/>
  <c r="U14" i="75"/>
  <c r="V14" i="75" s="1"/>
  <c r="AA13" i="75"/>
  <c r="BG8" i="74"/>
  <c r="AA10" i="75"/>
  <c r="BG16" i="80"/>
  <c r="BF16" i="80"/>
  <c r="BI16" i="80"/>
  <c r="BH16" i="80"/>
  <c r="BC18" i="80"/>
  <c r="BD17" i="80"/>
  <c r="AH16" i="74"/>
  <c r="AG16" i="74"/>
  <c r="AM42" i="74"/>
  <c r="AH10" i="74"/>
  <c r="AG10" i="74"/>
  <c r="AM19" i="74"/>
  <c r="AG21" i="74"/>
  <c r="AH21" i="74"/>
  <c r="AH13" i="74"/>
  <c r="AG13" i="74"/>
  <c r="AM34" i="74"/>
  <c r="AM31" i="74"/>
  <c r="AM48" i="74"/>
  <c r="AG22" i="74"/>
  <c r="AH22" i="74"/>
  <c r="AM36" i="74"/>
  <c r="AG40" i="74"/>
  <c r="AH40" i="74"/>
  <c r="AM20" i="74"/>
  <c r="AM23" i="74"/>
  <c r="AH47" i="74"/>
  <c r="AG47" i="74"/>
  <c r="AG49" i="74"/>
  <c r="AH49" i="74"/>
  <c r="AG26" i="74"/>
  <c r="AH26" i="74"/>
  <c r="AG17" i="74"/>
  <c r="AH17" i="74"/>
  <c r="AM25" i="74"/>
  <c r="AG39" i="74"/>
  <c r="AH39" i="74"/>
  <c r="AH14" i="74"/>
  <c r="AG14" i="74"/>
  <c r="AM45" i="74"/>
  <c r="AM52" i="74"/>
  <c r="AG37" i="74"/>
  <c r="AH37" i="74"/>
  <c r="AG28" i="74"/>
  <c r="AH28" i="74"/>
  <c r="AM9" i="74"/>
  <c r="AG11" i="74"/>
  <c r="AH11" i="74"/>
  <c r="AM10" i="74"/>
  <c r="AM13" i="74"/>
  <c r="AH34" i="74"/>
  <c r="AG34" i="74"/>
  <c r="AG31" i="74"/>
  <c r="AH31" i="74"/>
  <c r="AM30" i="74"/>
  <c r="AG38" i="74"/>
  <c r="AH38" i="74"/>
  <c r="AM22" i="74"/>
  <c r="AM12" i="74"/>
  <c r="AG20" i="74"/>
  <c r="AH20" i="74"/>
  <c r="AM24" i="74"/>
  <c r="AH44" i="74"/>
  <c r="AG44" i="74"/>
  <c r="AM47" i="74"/>
  <c r="AM49" i="74"/>
  <c r="AM26" i="74"/>
  <c r="AM50" i="74"/>
  <c r="AH51" i="74"/>
  <c r="AG51" i="74"/>
  <c r="AG61" i="74"/>
  <c r="AH61" i="74"/>
  <c r="AM35" i="74"/>
  <c r="AM14" i="74"/>
  <c r="AG45" i="74"/>
  <c r="AH45" i="74"/>
  <c r="AH52" i="74"/>
  <c r="AG52" i="74"/>
  <c r="AM37" i="74"/>
  <c r="AM28" i="74"/>
  <c r="AH9" i="74"/>
  <c r="AG9" i="74"/>
  <c r="AM11" i="74"/>
  <c r="AM29" i="74"/>
  <c r="AM18" i="74"/>
  <c r="AH30" i="74"/>
  <c r="AG30" i="74"/>
  <c r="AM38" i="74"/>
  <c r="AH12" i="74"/>
  <c r="AG12" i="74"/>
  <c r="AM43" i="74"/>
  <c r="AG15" i="74"/>
  <c r="AH15" i="74"/>
  <c r="AG24" i="74"/>
  <c r="AH24" i="74"/>
  <c r="AM44" i="74"/>
  <c r="AH32" i="74"/>
  <c r="AG32" i="74"/>
  <c r="AG8" i="74"/>
  <c r="AH8" i="74"/>
  <c r="AM46" i="74"/>
  <c r="AH50" i="74"/>
  <c r="AG50" i="74"/>
  <c r="AM7" i="74"/>
  <c r="AM51" i="74"/>
  <c r="AM61" i="74"/>
  <c r="AG33" i="74"/>
  <c r="AH33" i="74"/>
  <c r="AH35" i="74"/>
  <c r="AG35" i="74"/>
  <c r="AM41" i="74"/>
  <c r="AM27" i="74"/>
  <c r="AM16" i="74"/>
  <c r="AG42" i="74"/>
  <c r="AH42" i="74"/>
  <c r="AG29" i="74"/>
  <c r="AH29" i="74"/>
  <c r="AG19" i="74"/>
  <c r="AH19" i="74"/>
  <c r="AM21" i="74"/>
  <c r="AG18" i="74"/>
  <c r="AH18" i="74"/>
  <c r="U13" i="74"/>
  <c r="V13" i="74" s="1"/>
  <c r="R12" i="74"/>
  <c r="U16" i="74" a="1"/>
  <c r="U16" i="74" s="1"/>
  <c r="O12" i="74"/>
  <c r="U9" i="74"/>
  <c r="V9" i="74" s="1"/>
  <c r="U8" i="74"/>
  <c r="V8" i="74" s="1"/>
  <c r="O11" i="74"/>
  <c r="R13" i="74"/>
  <c r="S13" i="74" s="1"/>
  <c r="R11" i="74"/>
  <c r="R8" i="74"/>
  <c r="U10" i="74"/>
  <c r="V10" i="74" s="1"/>
  <c r="U11" i="74"/>
  <c r="V11" i="74" s="1"/>
  <c r="O10" i="74"/>
  <c r="R16" i="74" a="1"/>
  <c r="R16" i="74" s="1"/>
  <c r="R10" i="74"/>
  <c r="O8" i="74"/>
  <c r="O9" i="74"/>
  <c r="U12" i="74"/>
  <c r="V12" i="74" s="1"/>
  <c r="O16" i="74" a="1"/>
  <c r="O16" i="74" s="1"/>
  <c r="O13" i="74"/>
  <c r="P13" i="74" s="1"/>
  <c r="R9" i="74"/>
  <c r="AH48" i="74"/>
  <c r="AG48" i="74"/>
  <c r="AH36" i="74"/>
  <c r="AG36" i="74"/>
  <c r="AG43" i="74"/>
  <c r="AH43" i="74"/>
  <c r="AM40" i="74"/>
  <c r="AM15" i="74"/>
  <c r="AH23" i="74"/>
  <c r="AG23" i="74"/>
  <c r="AM32" i="74"/>
  <c r="AM8" i="74"/>
  <c r="AG46" i="74"/>
  <c r="AH46" i="74"/>
  <c r="AH7" i="74"/>
  <c r="AG7" i="74"/>
  <c r="AM17" i="74"/>
  <c r="AH25" i="74"/>
  <c r="AG25" i="74"/>
  <c r="AM33" i="74"/>
  <c r="AM39" i="74"/>
  <c r="AH41" i="74"/>
  <c r="AG41" i="74"/>
  <c r="AH27" i="74"/>
  <c r="AG27" i="74"/>
  <c r="BH8" i="74"/>
  <c r="BG15" i="78"/>
  <c r="BI15" i="78"/>
  <c r="BH15" i="78"/>
  <c r="BF15" i="78"/>
  <c r="BD16" i="78"/>
  <c r="BC17" i="78"/>
  <c r="BD16" i="79"/>
  <c r="BC17" i="79"/>
  <c r="BI15" i="79"/>
  <c r="BG15" i="79"/>
  <c r="BH15" i="79"/>
  <c r="BF15" i="79"/>
  <c r="BC14" i="76"/>
  <c r="BD13" i="76"/>
  <c r="BI12" i="76"/>
  <c r="BH12" i="76"/>
  <c r="BF12" i="76"/>
  <c r="BG12" i="76"/>
  <c r="BG11" i="75"/>
  <c r="BF11" i="75"/>
  <c r="BI11" i="75"/>
  <c r="BH11" i="75"/>
  <c r="BD12" i="75"/>
  <c r="BC13" i="75"/>
  <c r="BI9" i="74"/>
  <c r="BG9" i="74"/>
  <c r="BF9" i="74"/>
  <c r="BH9" i="74"/>
  <c r="BI7" i="74"/>
  <c r="BG7" i="74"/>
  <c r="BH7" i="74"/>
  <c r="BF7" i="74"/>
  <c r="BD10" i="74"/>
  <c r="BC11" i="74"/>
  <c r="S14" i="10"/>
  <c r="S13" i="10" s="1"/>
  <c r="BQ63" i="5"/>
  <c r="AW10" i="73"/>
  <c r="AX10" i="73" s="1"/>
  <c r="AW57" i="73"/>
  <c r="AX57" i="73" s="1"/>
  <c r="AW11" i="73"/>
  <c r="AX11" i="73" s="1"/>
  <c r="AW34" i="73"/>
  <c r="AX34" i="73" s="1"/>
  <c r="AW60" i="73"/>
  <c r="AW14" i="73"/>
  <c r="AX14" i="73" s="1"/>
  <c r="AW42" i="73"/>
  <c r="AX42" i="73" s="1"/>
  <c r="AW33" i="73"/>
  <c r="AX33" i="73" s="1"/>
  <c r="BC9" i="73"/>
  <c r="AW37" i="73"/>
  <c r="AX37" i="73" s="1"/>
  <c r="AW44" i="73"/>
  <c r="AX44" i="73" s="1"/>
  <c r="AW50" i="73"/>
  <c r="AX50" i="73" s="1"/>
  <c r="AW61" i="73"/>
  <c r="AX61" i="73" s="1"/>
  <c r="AW43" i="73"/>
  <c r="AX43" i="73" s="1"/>
  <c r="AW39" i="73"/>
  <c r="AX39" i="73" s="1"/>
  <c r="AW46" i="73"/>
  <c r="AX46" i="73" s="1"/>
  <c r="AW35" i="73"/>
  <c r="AX35" i="73" s="1"/>
  <c r="AW53" i="73"/>
  <c r="AX53" i="73" s="1"/>
  <c r="AW49" i="73"/>
  <c r="AX49" i="73" s="1"/>
  <c r="AW18" i="73"/>
  <c r="AX18" i="73" s="1"/>
  <c r="AW20" i="73"/>
  <c r="AX20" i="73" s="1"/>
  <c r="AW26" i="73"/>
  <c r="AX26" i="73" s="1"/>
  <c r="AW28" i="73"/>
  <c r="AX28" i="73" s="1"/>
  <c r="AW40" i="73"/>
  <c r="AX40" i="73" s="1"/>
  <c r="AW7" i="73"/>
  <c r="AX7" i="73" s="1"/>
  <c r="AW8" i="73"/>
  <c r="AX8" i="73" s="1"/>
  <c r="AW9" i="73"/>
  <c r="AX9" i="73" s="1"/>
  <c r="AW12" i="73"/>
  <c r="AX12" i="73" s="1"/>
  <c r="AW38" i="73"/>
  <c r="AX38" i="73" s="1"/>
  <c r="AW41" i="73"/>
  <c r="AX41" i="73" s="1"/>
  <c r="AW52" i="73"/>
  <c r="AX52" i="73" s="1"/>
  <c r="AW58" i="73"/>
  <c r="AX58" i="73" s="1"/>
  <c r="AW59" i="73"/>
  <c r="AX59" i="73" s="1"/>
  <c r="AW16" i="73"/>
  <c r="AX16" i="73" s="1"/>
  <c r="AW22" i="73"/>
  <c r="AX22" i="73" s="1"/>
  <c r="AW24" i="73"/>
  <c r="AX24" i="73" s="1"/>
  <c r="AW30" i="73"/>
  <c r="AX30" i="73" s="1"/>
  <c r="AW13" i="73"/>
  <c r="AX13" i="73" s="1"/>
  <c r="L14" i="73"/>
  <c r="M11" i="73" s="1"/>
  <c r="AW15" i="73"/>
  <c r="AX15" i="73" s="1"/>
  <c r="AW17" i="73"/>
  <c r="AX17" i="73" s="1"/>
  <c r="AW19" i="73"/>
  <c r="AX19" i="73" s="1"/>
  <c r="AW21" i="73"/>
  <c r="AX21" i="73" s="1"/>
  <c r="AW23" i="73"/>
  <c r="AX23" i="73" s="1"/>
  <c r="AW25" i="73"/>
  <c r="AX25" i="73" s="1"/>
  <c r="AW27" i="73"/>
  <c r="AX27" i="73" s="1"/>
  <c r="AW29" i="73"/>
  <c r="AX29" i="73" s="1"/>
  <c r="AW31" i="73"/>
  <c r="AX31" i="73" s="1"/>
  <c r="AW36" i="73"/>
  <c r="AX36" i="73" s="1"/>
  <c r="AX60" i="73"/>
  <c r="AW48" i="73"/>
  <c r="AX48" i="73" s="1"/>
  <c r="AW63" i="73"/>
  <c r="AX63" i="73" s="1"/>
  <c r="AW32" i="73"/>
  <c r="AX32" i="73" s="1"/>
  <c r="AW45" i="73"/>
  <c r="AX45" i="73" s="1"/>
  <c r="AW51" i="73"/>
  <c r="AX51" i="73" s="1"/>
  <c r="AW56" i="73"/>
  <c r="AX56" i="73" s="1"/>
  <c r="AW62" i="73"/>
  <c r="AX62" i="73" s="1"/>
  <c r="AW47" i="73"/>
  <c r="AX47" i="73" s="1"/>
  <c r="AW54" i="73"/>
  <c r="AX54" i="73" s="1"/>
  <c r="AW55" i="73"/>
  <c r="AX55" i="73" s="1"/>
  <c r="C68" i="71"/>
  <c r="B68" i="71" s="1"/>
  <c r="AH67" i="71"/>
  <c r="AG67" i="71"/>
  <c r="AF67" i="71"/>
  <c r="AH66" i="71"/>
  <c r="AG66" i="71"/>
  <c r="AF66" i="71"/>
  <c r="AH65" i="71"/>
  <c r="AG65" i="71"/>
  <c r="AF65" i="71"/>
  <c r="AH64" i="71"/>
  <c r="AG64" i="71"/>
  <c r="AF64" i="71"/>
  <c r="AV63" i="71"/>
  <c r="AH63" i="71"/>
  <c r="AG63" i="71"/>
  <c r="AF63" i="71"/>
  <c r="AV62" i="71"/>
  <c r="AH62" i="71"/>
  <c r="AG62" i="71"/>
  <c r="AF62" i="71"/>
  <c r="G62" i="71"/>
  <c r="AV61" i="71"/>
  <c r="AV60" i="71"/>
  <c r="AH60" i="71"/>
  <c r="AG60" i="71"/>
  <c r="AF60" i="71"/>
  <c r="AF61" i="71" s="1"/>
  <c r="G60" i="71"/>
  <c r="E60" i="71" s="1"/>
  <c r="AV59" i="71"/>
  <c r="AH59" i="71"/>
  <c r="AG59" i="71"/>
  <c r="AF59" i="71"/>
  <c r="G59" i="71"/>
  <c r="E59" i="71" s="1"/>
  <c r="AV58" i="71"/>
  <c r="AH58" i="71"/>
  <c r="AG58" i="71"/>
  <c r="AF58" i="71"/>
  <c r="G58" i="71"/>
  <c r="AV57" i="71"/>
  <c r="AH57" i="71"/>
  <c r="AG57" i="71"/>
  <c r="AF57" i="71"/>
  <c r="G57" i="71"/>
  <c r="AV56" i="71"/>
  <c r="AH56" i="71"/>
  <c r="AG56" i="71"/>
  <c r="AF56" i="71"/>
  <c r="G56" i="71"/>
  <c r="AV55" i="71"/>
  <c r="AH55" i="71"/>
  <c r="AG55" i="71"/>
  <c r="AF55" i="71"/>
  <c r="G55" i="71"/>
  <c r="E55" i="71" s="1"/>
  <c r="AV54" i="71"/>
  <c r="AV53" i="71"/>
  <c r="AV52" i="71"/>
  <c r="AV51" i="71"/>
  <c r="AV50" i="71"/>
  <c r="AV49" i="71"/>
  <c r="AV48" i="71"/>
  <c r="AV47" i="71"/>
  <c r="AV46" i="71"/>
  <c r="AV45" i="71"/>
  <c r="AV44" i="71"/>
  <c r="AV43" i="71"/>
  <c r="AV42" i="71"/>
  <c r="AV41" i="71"/>
  <c r="AV40" i="71"/>
  <c r="AV39" i="71"/>
  <c r="AV38" i="71"/>
  <c r="AV37" i="71"/>
  <c r="AV36" i="71"/>
  <c r="AV35" i="71"/>
  <c r="AV34" i="71"/>
  <c r="AV33" i="71"/>
  <c r="AV32" i="71"/>
  <c r="AV31" i="71"/>
  <c r="AV30" i="71"/>
  <c r="AV29" i="71"/>
  <c r="AV28" i="71"/>
  <c r="AV27" i="71"/>
  <c r="AV26" i="71"/>
  <c r="AV25" i="71"/>
  <c r="AV24" i="71"/>
  <c r="AV23" i="71"/>
  <c r="AV22" i="71"/>
  <c r="AV21" i="71"/>
  <c r="AV20" i="71"/>
  <c r="AV19" i="71"/>
  <c r="AV18" i="71"/>
  <c r="AV17" i="71"/>
  <c r="AV16" i="71"/>
  <c r="L16" i="71" a="1"/>
  <c r="L16" i="71" s="1"/>
  <c r="AV15" i="71"/>
  <c r="AV14" i="71"/>
  <c r="AV13" i="71"/>
  <c r="L13" i="71"/>
  <c r="AV12" i="71"/>
  <c r="L12" i="71"/>
  <c r="AV11" i="71"/>
  <c r="L11" i="71"/>
  <c r="AV10" i="71"/>
  <c r="L10" i="71"/>
  <c r="AV9" i="71"/>
  <c r="L9" i="71"/>
  <c r="AV8" i="71"/>
  <c r="L8" i="71"/>
  <c r="BC7" i="71"/>
  <c r="AV7" i="71"/>
  <c r="AF7" i="71"/>
  <c r="AF8" i="71" s="1"/>
  <c r="AF9" i="71" s="1"/>
  <c r="AF10" i="71" s="1"/>
  <c r="AF11" i="71" s="1"/>
  <c r="AF12" i="71" s="1"/>
  <c r="AF13" i="71" s="1"/>
  <c r="AF14" i="71" s="1"/>
  <c r="AF15" i="71" s="1"/>
  <c r="AF16" i="71" s="1"/>
  <c r="AF17" i="71" s="1"/>
  <c r="AF18" i="71" s="1"/>
  <c r="AF19" i="71" s="1"/>
  <c r="AF20" i="71" s="1"/>
  <c r="AF21" i="71" s="1"/>
  <c r="AF22" i="71" s="1"/>
  <c r="AF23" i="71" s="1"/>
  <c r="AF24" i="71" s="1"/>
  <c r="AF25" i="71" s="1"/>
  <c r="AF26" i="71" s="1"/>
  <c r="AF27" i="71" s="1"/>
  <c r="AF28" i="71" s="1"/>
  <c r="AF29" i="71" s="1"/>
  <c r="AF30" i="71" s="1"/>
  <c r="AF31" i="71" s="1"/>
  <c r="AF32" i="71" s="1"/>
  <c r="AF33" i="71" s="1"/>
  <c r="AF34" i="71" s="1"/>
  <c r="AF35" i="71" s="1"/>
  <c r="AF36" i="71" s="1"/>
  <c r="AF37" i="71" s="1"/>
  <c r="AF38" i="71" s="1"/>
  <c r="AF39" i="71" s="1"/>
  <c r="AF40" i="71" s="1"/>
  <c r="AF41" i="71" s="1"/>
  <c r="AF42" i="71" s="1"/>
  <c r="AF43" i="71" s="1"/>
  <c r="AF44" i="71" s="1"/>
  <c r="AF45" i="71" s="1"/>
  <c r="AF46" i="71" s="1"/>
  <c r="AF47" i="71" s="1"/>
  <c r="AF48" i="71" s="1"/>
  <c r="AF49" i="71" s="1"/>
  <c r="AF50" i="71" s="1"/>
  <c r="AF51" i="71" s="1"/>
  <c r="AF52" i="71" s="1"/>
  <c r="AF53" i="71" s="1"/>
  <c r="AF54" i="71" s="1"/>
  <c r="AL4" i="71"/>
  <c r="AL2" i="71" s="1"/>
  <c r="AK4" i="71"/>
  <c r="AK2" i="71" s="1"/>
  <c r="AJ4" i="71"/>
  <c r="AJ2" i="71" s="1"/>
  <c r="G3" i="71"/>
  <c r="E2" i="71"/>
  <c r="E3" i="71" s="1"/>
  <c r="A1" i="71"/>
  <c r="G53" i="73"/>
  <c r="AJ65" i="73"/>
  <c r="AJ11" i="73"/>
  <c r="G17" i="73"/>
  <c r="G41" i="73"/>
  <c r="E51" i="73"/>
  <c r="G8" i="73"/>
  <c r="AJ30" i="73"/>
  <c r="AJ63" i="73"/>
  <c r="G18" i="73"/>
  <c r="AJ47" i="73"/>
  <c r="AJ29" i="73"/>
  <c r="AJ18" i="73"/>
  <c r="AJ64" i="73"/>
  <c r="AJ35" i="73"/>
  <c r="G42" i="73"/>
  <c r="AJ62" i="73"/>
  <c r="AJ43" i="73"/>
  <c r="AJ24" i="73"/>
  <c r="AJ55" i="73"/>
  <c r="AJ20" i="73"/>
  <c r="G20" i="73"/>
  <c r="AJ31" i="73"/>
  <c r="G39" i="73"/>
  <c r="G9" i="73"/>
  <c r="G25" i="73"/>
  <c r="AJ56" i="73"/>
  <c r="AJ28" i="73"/>
  <c r="AJ37" i="73"/>
  <c r="G34" i="73"/>
  <c r="AJ60" i="73"/>
  <c r="E26" i="73"/>
  <c r="E30" i="73"/>
  <c r="AJ21" i="73"/>
  <c r="AJ41" i="73"/>
  <c r="G11" i="73"/>
  <c r="AJ42" i="73"/>
  <c r="AJ53" i="73"/>
  <c r="AJ38" i="73"/>
  <c r="AJ52" i="73"/>
  <c r="G47" i="73"/>
  <c r="AJ66" i="73"/>
  <c r="AJ13" i="73"/>
  <c r="G46" i="73"/>
  <c r="G27" i="73"/>
  <c r="G22" i="73"/>
  <c r="G61" i="73"/>
  <c r="G38" i="73"/>
  <c r="AJ50" i="73"/>
  <c r="AJ49" i="73"/>
  <c r="G48" i="73"/>
  <c r="AJ36" i="73"/>
  <c r="AJ34" i="73"/>
  <c r="G44" i="73"/>
  <c r="AJ14" i="73"/>
  <c r="AJ19" i="73"/>
  <c r="AJ57" i="73"/>
  <c r="G50" i="73"/>
  <c r="G35" i="73"/>
  <c r="G37" i="73"/>
  <c r="G31" i="73"/>
  <c r="AJ67" i="73"/>
  <c r="G19" i="73"/>
  <c r="G36" i="73"/>
  <c r="AJ12" i="73"/>
  <c r="AJ23" i="73"/>
  <c r="AJ32" i="73"/>
  <c r="G7" i="73"/>
  <c r="AJ9" i="73"/>
  <c r="G14" i="73"/>
  <c r="G10" i="73"/>
  <c r="G28" i="73"/>
  <c r="AJ51" i="73"/>
  <c r="AJ44" i="73"/>
  <c r="AJ48" i="73"/>
  <c r="G41" i="71"/>
  <c r="AJ15" i="73"/>
  <c r="AJ54" i="73"/>
  <c r="AJ39" i="73"/>
  <c r="AJ10" i="73"/>
  <c r="G32" i="73"/>
  <c r="AJ25" i="73"/>
  <c r="AJ46" i="73"/>
  <c r="E6" i="71"/>
  <c r="G43" i="73"/>
  <c r="G45" i="73"/>
  <c r="AJ17" i="73"/>
  <c r="AJ33" i="73"/>
  <c r="AJ7" i="73"/>
  <c r="AJ22" i="73"/>
  <c r="G21" i="73"/>
  <c r="G13" i="73"/>
  <c r="G24" i="73"/>
  <c r="G16" i="73"/>
  <c r="G49" i="73"/>
  <c r="AJ26" i="73"/>
  <c r="AJ16" i="73"/>
  <c r="AJ61" i="73"/>
  <c r="AJ27" i="73"/>
  <c r="G33" i="73"/>
  <c r="G52" i="73"/>
  <c r="G29" i="73"/>
  <c r="G40" i="73"/>
  <c r="G12" i="73"/>
  <c r="AJ58" i="73"/>
  <c r="AJ40" i="73"/>
  <c r="G23" i="73"/>
  <c r="G15" i="73"/>
  <c r="AJ45" i="73"/>
  <c r="AJ59" i="73"/>
  <c r="AJ8" i="73"/>
  <c r="BH28" i="85" l="1"/>
  <c r="BG28" i="85"/>
  <c r="BI28" i="85"/>
  <c r="BF28" i="85"/>
  <c r="BD29" i="85"/>
  <c r="BC30" i="85"/>
  <c r="BC29" i="84"/>
  <c r="BD28" i="84"/>
  <c r="BF27" i="84"/>
  <c r="BI27" i="84"/>
  <c r="BH27" i="84"/>
  <c r="BG27" i="84"/>
  <c r="BI24" i="83"/>
  <c r="BF24" i="83"/>
  <c r="BH24" i="83"/>
  <c r="BG24" i="83"/>
  <c r="BC26" i="83"/>
  <c r="BD25" i="83"/>
  <c r="S11" i="75"/>
  <c r="S10" i="75"/>
  <c r="R5" i="75"/>
  <c r="BF18" i="81"/>
  <c r="BG18" i="81"/>
  <c r="BI18" i="81"/>
  <c r="BH18" i="81"/>
  <c r="BC20" i="81"/>
  <c r="BD19" i="81"/>
  <c r="P8" i="75"/>
  <c r="P9" i="75"/>
  <c r="P12" i="75"/>
  <c r="P10" i="75"/>
  <c r="P11" i="75"/>
  <c r="O5" i="75"/>
  <c r="S12" i="75"/>
  <c r="AA9" i="74"/>
  <c r="S14" i="75"/>
  <c r="S8" i="75"/>
  <c r="AA12" i="74"/>
  <c r="AA14" i="75"/>
  <c r="AA11" i="74"/>
  <c r="U5" i="75"/>
  <c r="O14" i="74"/>
  <c r="P12" i="74" s="1"/>
  <c r="U14" i="74"/>
  <c r="U5" i="74" s="1"/>
  <c r="AA13" i="74"/>
  <c r="AA8" i="74"/>
  <c r="R14" i="74"/>
  <c r="S12" i="74" s="1"/>
  <c r="AA10" i="74"/>
  <c r="BH17" i="80"/>
  <c r="BG17" i="80"/>
  <c r="BI17" i="80"/>
  <c r="BF17" i="80"/>
  <c r="BD18" i="80"/>
  <c r="BC19" i="80"/>
  <c r="BI16" i="78"/>
  <c r="BH16" i="78"/>
  <c r="BG16" i="78"/>
  <c r="BF16" i="78"/>
  <c r="BD17" i="78"/>
  <c r="BC18" i="78"/>
  <c r="BC18" i="79"/>
  <c r="BD17" i="79"/>
  <c r="BF16" i="79"/>
  <c r="BI16" i="79"/>
  <c r="BH16" i="79"/>
  <c r="BG16" i="79"/>
  <c r="BI13" i="76"/>
  <c r="BH13" i="76"/>
  <c r="BF13" i="76"/>
  <c r="BG13" i="76"/>
  <c r="BC15" i="76"/>
  <c r="BD14" i="76"/>
  <c r="BG12" i="75"/>
  <c r="BF12" i="75"/>
  <c r="BI12" i="75"/>
  <c r="BH12" i="75"/>
  <c r="BC14" i="75"/>
  <c r="BD13" i="75"/>
  <c r="BD11" i="74"/>
  <c r="BC12" i="74"/>
  <c r="BI10" i="74"/>
  <c r="BG10" i="74"/>
  <c r="BF10" i="74"/>
  <c r="BH10" i="74"/>
  <c r="C77" i="73"/>
  <c r="AY55" i="73"/>
  <c r="AY31" i="73"/>
  <c r="AL60" i="73"/>
  <c r="AK60" i="73"/>
  <c r="AM60" i="73" s="1"/>
  <c r="AK63" i="73"/>
  <c r="AM63" i="73" s="1"/>
  <c r="AL63" i="73"/>
  <c r="AL64" i="73"/>
  <c r="AK64" i="73"/>
  <c r="AM64" i="73" s="1"/>
  <c r="AL54" i="73"/>
  <c r="AK54" i="73"/>
  <c r="AM54" i="73" s="1"/>
  <c r="AL62" i="73"/>
  <c r="AK62" i="73"/>
  <c r="AM62" i="73" s="1"/>
  <c r="AL66" i="73"/>
  <c r="AK66" i="73"/>
  <c r="AM66" i="73" s="1"/>
  <c r="AK65" i="73"/>
  <c r="AM65" i="73" s="1"/>
  <c r="AL65" i="73"/>
  <c r="AL59" i="73"/>
  <c r="AK59" i="73"/>
  <c r="AM59" i="73" s="1"/>
  <c r="AK56" i="73"/>
  <c r="AM56" i="73" s="1"/>
  <c r="AL56" i="73"/>
  <c r="AL57" i="73"/>
  <c r="AK57" i="73"/>
  <c r="AM57" i="73" s="1"/>
  <c r="AL55" i="73"/>
  <c r="AK55" i="73"/>
  <c r="AM55" i="73" s="1"/>
  <c r="AL67" i="73"/>
  <c r="AK67" i="73"/>
  <c r="AM67" i="73" s="1"/>
  <c r="AK58" i="73"/>
  <c r="AM58" i="73" s="1"/>
  <c r="AL58" i="73"/>
  <c r="AY45" i="73"/>
  <c r="AY22" i="73"/>
  <c r="AY8" i="73"/>
  <c r="AY10" i="73"/>
  <c r="AY44" i="73"/>
  <c r="AY23" i="73"/>
  <c r="AY30" i="73"/>
  <c r="AY41" i="73"/>
  <c r="AY12" i="73"/>
  <c r="AY40" i="73"/>
  <c r="AY54" i="73"/>
  <c r="AY51" i="73"/>
  <c r="AY48" i="73"/>
  <c r="AY59" i="73"/>
  <c r="AY18" i="73"/>
  <c r="AY33" i="73"/>
  <c r="AY62" i="73"/>
  <c r="AY36" i="73"/>
  <c r="AY52" i="73"/>
  <c r="AY37" i="73"/>
  <c r="AY14" i="73"/>
  <c r="AY15" i="73"/>
  <c r="AY27" i="73"/>
  <c r="AY26" i="73"/>
  <c r="AY39" i="73"/>
  <c r="BC10" i="73"/>
  <c r="AY57" i="73"/>
  <c r="AY29" i="73"/>
  <c r="L5" i="73"/>
  <c r="Y14" i="73"/>
  <c r="M14" i="73"/>
  <c r="M10" i="73"/>
  <c r="AY53" i="73"/>
  <c r="M9" i="73"/>
  <c r="M8" i="73"/>
  <c r="AY9" i="73"/>
  <c r="AY56" i="73"/>
  <c r="AY13" i="73"/>
  <c r="AY28" i="73"/>
  <c r="AY35" i="73"/>
  <c r="AY61" i="73"/>
  <c r="AY32" i="73"/>
  <c r="AY60" i="73"/>
  <c r="AY24" i="73"/>
  <c r="AY38" i="73"/>
  <c r="AY19" i="73"/>
  <c r="AY49" i="73"/>
  <c r="AY63" i="73"/>
  <c r="AY21" i="73"/>
  <c r="AY20" i="73"/>
  <c r="AY43" i="73"/>
  <c r="AY42" i="73"/>
  <c r="AY11" i="73"/>
  <c r="AY47" i="73"/>
  <c r="AY25" i="73"/>
  <c r="AY17" i="73"/>
  <c r="AY7" i="73"/>
  <c r="AY16" i="73"/>
  <c r="AY58" i="73"/>
  <c r="AY46" i="73"/>
  <c r="AY50" i="73"/>
  <c r="AY34" i="73"/>
  <c r="M12" i="73"/>
  <c r="AW34" i="71"/>
  <c r="AX34" i="71" s="1"/>
  <c r="AW14" i="71"/>
  <c r="AX14" i="71" s="1"/>
  <c r="AW17" i="71"/>
  <c r="AX17" i="71" s="1"/>
  <c r="AW26" i="71"/>
  <c r="AX26" i="71" s="1"/>
  <c r="AW29" i="71"/>
  <c r="AX29" i="71" s="1"/>
  <c r="AW16" i="71"/>
  <c r="AX16" i="71" s="1"/>
  <c r="AW19" i="71"/>
  <c r="AX19" i="71" s="1"/>
  <c r="AW21" i="71"/>
  <c r="AX21" i="71" s="1"/>
  <c r="AW24" i="71"/>
  <c r="AX24" i="71" s="1"/>
  <c r="AW32" i="71"/>
  <c r="AX32" i="71" s="1"/>
  <c r="AW61" i="71"/>
  <c r="AX61" i="71" s="1"/>
  <c r="AW62" i="71"/>
  <c r="AX62" i="71" s="1"/>
  <c r="AW59" i="71"/>
  <c r="AX59" i="71" s="1"/>
  <c r="AW51" i="71"/>
  <c r="AX51" i="71" s="1"/>
  <c r="AW47" i="71"/>
  <c r="AX47" i="71" s="1"/>
  <c r="AW49" i="71"/>
  <c r="AX49" i="71" s="1"/>
  <c r="AW43" i="71"/>
  <c r="AX43" i="71" s="1"/>
  <c r="AW39" i="71"/>
  <c r="AX39" i="71" s="1"/>
  <c r="AW35" i="71"/>
  <c r="AX35" i="71" s="1"/>
  <c r="AW58" i="71"/>
  <c r="AX58" i="71" s="1"/>
  <c r="AW53" i="71"/>
  <c r="AX53" i="71" s="1"/>
  <c r="AW45" i="71"/>
  <c r="AX45" i="71" s="1"/>
  <c r="AW56" i="71"/>
  <c r="AW63" i="71"/>
  <c r="AX63" i="71" s="1"/>
  <c r="AW38" i="71"/>
  <c r="AX38" i="71" s="1"/>
  <c r="AW31" i="71"/>
  <c r="AX31" i="71" s="1"/>
  <c r="AW27" i="71"/>
  <c r="AX27" i="71" s="1"/>
  <c r="AW23" i="71"/>
  <c r="AX23" i="71" s="1"/>
  <c r="BC8" i="71"/>
  <c r="L14" i="71"/>
  <c r="AW7" i="71"/>
  <c r="AX7" i="71" s="1"/>
  <c r="AW8" i="71"/>
  <c r="AX8" i="71" s="1"/>
  <c r="AW9" i="71"/>
  <c r="AX9" i="71" s="1"/>
  <c r="AW10" i="71"/>
  <c r="AX10" i="71" s="1"/>
  <c r="AW11" i="71"/>
  <c r="AX11" i="71" s="1"/>
  <c r="AW12" i="71"/>
  <c r="AX12" i="71" s="1"/>
  <c r="AW13" i="71"/>
  <c r="AX13" i="71" s="1"/>
  <c r="AW15" i="71"/>
  <c r="AX15" i="71" s="1"/>
  <c r="AW18" i="71"/>
  <c r="AX18" i="71" s="1"/>
  <c r="AW20" i="71"/>
  <c r="AX20" i="71" s="1"/>
  <c r="AW22" i="71"/>
  <c r="AX22" i="71" s="1"/>
  <c r="AW30" i="71"/>
  <c r="AX30" i="71" s="1"/>
  <c r="AW37" i="71"/>
  <c r="AX37" i="71" s="1"/>
  <c r="AW42" i="71"/>
  <c r="AX42" i="71" s="1"/>
  <c r="AW57" i="71"/>
  <c r="AX57" i="71" s="1"/>
  <c r="AW25" i="71"/>
  <c r="AX25" i="71" s="1"/>
  <c r="AW28" i="71"/>
  <c r="AX28" i="71" s="1"/>
  <c r="AW40" i="71"/>
  <c r="AX40" i="71" s="1"/>
  <c r="AW50" i="71"/>
  <c r="AX50" i="71" s="1"/>
  <c r="AW33" i="71"/>
  <c r="AX33" i="71" s="1"/>
  <c r="AW41" i="71"/>
  <c r="AX41" i="71" s="1"/>
  <c r="AW36" i="71"/>
  <c r="AX36" i="71" s="1"/>
  <c r="AW48" i="71"/>
  <c r="AX48" i="71" s="1"/>
  <c r="AW44" i="71"/>
  <c r="AX44" i="71" s="1"/>
  <c r="AW46" i="71"/>
  <c r="AX46" i="71" s="1"/>
  <c r="AW54" i="71"/>
  <c r="AX54" i="71" s="1"/>
  <c r="AW52" i="71"/>
  <c r="AX52" i="71" s="1"/>
  <c r="AW55" i="71"/>
  <c r="AX55" i="71" s="1"/>
  <c r="AX56" i="71"/>
  <c r="AW60" i="71"/>
  <c r="AX60" i="71" s="1"/>
  <c r="H13" i="28"/>
  <c r="H12" i="28"/>
  <c r="H11" i="28"/>
  <c r="H10" i="28"/>
  <c r="H9" i="28"/>
  <c r="H8" i="28"/>
  <c r="G54" i="71"/>
  <c r="AL53" i="73"/>
  <c r="AK53" i="73"/>
  <c r="G8" i="71"/>
  <c r="G11" i="71"/>
  <c r="G10" i="71"/>
  <c r="G9" i="71"/>
  <c r="E7" i="73"/>
  <c r="E41" i="73"/>
  <c r="G14" i="71"/>
  <c r="E34" i="73"/>
  <c r="BD30" i="85" l="1"/>
  <c r="BC31" i="85"/>
  <c r="BI29" i="85"/>
  <c r="BH29" i="85"/>
  <c r="BG29" i="85"/>
  <c r="BF29" i="85"/>
  <c r="BG28" i="84"/>
  <c r="BF28" i="84"/>
  <c r="BI28" i="84"/>
  <c r="BH28" i="84"/>
  <c r="BC30" i="84"/>
  <c r="BD29" i="84"/>
  <c r="BH25" i="83"/>
  <c r="BI25" i="83"/>
  <c r="BF25" i="83"/>
  <c r="BG25" i="83"/>
  <c r="BD26" i="83"/>
  <c r="BC27" i="83"/>
  <c r="BG19" i="81"/>
  <c r="BI19" i="81"/>
  <c r="BH19" i="81"/>
  <c r="BF19" i="81"/>
  <c r="BD20" i="81"/>
  <c r="BC21" i="81"/>
  <c r="S9" i="74"/>
  <c r="P14" i="74"/>
  <c r="S11" i="74"/>
  <c r="S8" i="74"/>
  <c r="O5" i="74"/>
  <c r="P9" i="74"/>
  <c r="P8" i="74"/>
  <c r="V14" i="74"/>
  <c r="R5" i="74"/>
  <c r="P10" i="74"/>
  <c r="S14" i="74"/>
  <c r="P11" i="74"/>
  <c r="AA14" i="74"/>
  <c r="S10" i="74"/>
  <c r="BD19" i="80"/>
  <c r="BC20" i="80"/>
  <c r="BI18" i="80"/>
  <c r="BH18" i="80"/>
  <c r="BG18" i="80"/>
  <c r="BF18" i="80"/>
  <c r="BC19" i="78"/>
  <c r="BD18" i="78"/>
  <c r="BF17" i="78"/>
  <c r="BI17" i="78"/>
  <c r="BH17" i="78"/>
  <c r="BG17" i="78"/>
  <c r="BG17" i="79"/>
  <c r="BF17" i="79"/>
  <c r="BI17" i="79"/>
  <c r="BH17" i="79"/>
  <c r="BC19" i="79"/>
  <c r="BD18" i="79"/>
  <c r="BH14" i="76"/>
  <c r="BG14" i="76"/>
  <c r="BF14" i="76"/>
  <c r="BI14" i="76"/>
  <c r="BD15" i="76"/>
  <c r="BC16" i="76"/>
  <c r="BG13" i="75"/>
  <c r="BF13" i="75"/>
  <c r="BI13" i="75"/>
  <c r="BH13" i="75"/>
  <c r="BD14" i="75"/>
  <c r="BC15" i="75"/>
  <c r="BD12" i="74"/>
  <c r="BC13" i="74"/>
  <c r="BI11" i="74"/>
  <c r="BG11" i="74"/>
  <c r="BF11" i="74"/>
  <c r="BH11" i="74"/>
  <c r="BD9" i="73"/>
  <c r="BH9" i="73" s="1"/>
  <c r="AM53" i="73"/>
  <c r="AH53" i="73"/>
  <c r="AG53" i="73"/>
  <c r="BD8" i="73"/>
  <c r="BD7" i="73"/>
  <c r="BC11" i="73"/>
  <c r="BD10" i="73"/>
  <c r="AY37" i="71"/>
  <c r="AY13" i="71"/>
  <c r="AY9" i="71"/>
  <c r="AY26" i="71"/>
  <c r="AY18" i="71"/>
  <c r="AY12" i="71"/>
  <c r="AY8" i="71"/>
  <c r="AY63" i="71"/>
  <c r="AY24" i="71"/>
  <c r="AY41" i="71"/>
  <c r="AY11" i="71"/>
  <c r="AY21" i="71"/>
  <c r="AY33" i="71"/>
  <c r="AY15" i="71"/>
  <c r="AY10" i="71"/>
  <c r="AY45" i="71"/>
  <c r="AY48" i="71"/>
  <c r="AY34" i="71"/>
  <c r="AY28" i="71"/>
  <c r="AY22" i="71"/>
  <c r="L5" i="71"/>
  <c r="M14" i="71"/>
  <c r="AY31" i="71"/>
  <c r="AY39" i="71"/>
  <c r="AY51" i="71"/>
  <c r="AY61" i="71"/>
  <c r="M9" i="71"/>
  <c r="M10" i="71"/>
  <c r="AY46" i="71"/>
  <c r="AY53" i="71"/>
  <c r="AY38" i="71"/>
  <c r="AY17" i="71"/>
  <c r="C77" i="71"/>
  <c r="AY16" i="71"/>
  <c r="BC9" i="71"/>
  <c r="AY43" i="71"/>
  <c r="AY59" i="71"/>
  <c r="M8" i="71"/>
  <c r="AY55" i="71"/>
  <c r="AY40" i="71"/>
  <c r="AY60" i="71"/>
  <c r="AY52" i="71"/>
  <c r="AY44" i="71"/>
  <c r="AY42" i="71"/>
  <c r="AY58" i="71"/>
  <c r="AY7" i="71"/>
  <c r="AY57" i="71"/>
  <c r="AY30" i="71"/>
  <c r="AY23" i="71"/>
  <c r="AY62" i="71"/>
  <c r="AY32" i="71"/>
  <c r="AY29" i="71"/>
  <c r="M13" i="71"/>
  <c r="AY14" i="71"/>
  <c r="AY49" i="71"/>
  <c r="AY56" i="71"/>
  <c r="AY54" i="71"/>
  <c r="AY36" i="71"/>
  <c r="AY50" i="71"/>
  <c r="AY20" i="71"/>
  <c r="AY25" i="71"/>
  <c r="Y14" i="71"/>
  <c r="AY27" i="71"/>
  <c r="AY35" i="71"/>
  <c r="AY47" i="71"/>
  <c r="AY19" i="71"/>
  <c r="M11" i="71"/>
  <c r="M12" i="71"/>
  <c r="C68" i="70"/>
  <c r="B68" i="70" s="1"/>
  <c r="AH67" i="70"/>
  <c r="AG67" i="70"/>
  <c r="AF67" i="70"/>
  <c r="AH66" i="70"/>
  <c r="AG66" i="70"/>
  <c r="AF66" i="70"/>
  <c r="AH65" i="70"/>
  <c r="AG65" i="70"/>
  <c r="AF65" i="70"/>
  <c r="AH64" i="70"/>
  <c r="AG64" i="70"/>
  <c r="AF64" i="70"/>
  <c r="AV63" i="70"/>
  <c r="AH63" i="70"/>
  <c r="AG63" i="70"/>
  <c r="AF63" i="70"/>
  <c r="AV62" i="70"/>
  <c r="AH62" i="70"/>
  <c r="AG62" i="70"/>
  <c r="AF62" i="70"/>
  <c r="G62" i="70"/>
  <c r="AV61" i="70"/>
  <c r="AV60" i="70"/>
  <c r="AH60" i="70"/>
  <c r="AG60" i="70"/>
  <c r="AF60" i="70"/>
  <c r="AF61" i="70" s="1"/>
  <c r="G60" i="70"/>
  <c r="E60" i="70" s="1"/>
  <c r="AV59" i="70"/>
  <c r="AH59" i="70"/>
  <c r="AG59" i="70"/>
  <c r="AF59" i="70"/>
  <c r="G59" i="70"/>
  <c r="E59" i="70" s="1"/>
  <c r="AV58" i="70"/>
  <c r="AH58" i="70"/>
  <c r="AG58" i="70"/>
  <c r="AF58" i="70"/>
  <c r="G58" i="70"/>
  <c r="AV57" i="70"/>
  <c r="AH57" i="70"/>
  <c r="AG57" i="70"/>
  <c r="AF57" i="70"/>
  <c r="G57" i="70"/>
  <c r="AV56" i="70"/>
  <c r="AH56" i="70"/>
  <c r="AG56" i="70"/>
  <c r="AF56" i="70"/>
  <c r="G56" i="70"/>
  <c r="AV55" i="70"/>
  <c r="AH55" i="70"/>
  <c r="AG55" i="70"/>
  <c r="AF55" i="70"/>
  <c r="G55" i="70"/>
  <c r="E55" i="70" s="1"/>
  <c r="AV54" i="70"/>
  <c r="AV53" i="70"/>
  <c r="AV52" i="70"/>
  <c r="AV51" i="70"/>
  <c r="AV50" i="70"/>
  <c r="AV49" i="70"/>
  <c r="AV48" i="70"/>
  <c r="AV47" i="70"/>
  <c r="AV46" i="70"/>
  <c r="AV45" i="70"/>
  <c r="AV44" i="70"/>
  <c r="AV43" i="70"/>
  <c r="AV42" i="70"/>
  <c r="AV41" i="70"/>
  <c r="AV40" i="70"/>
  <c r="AV39" i="70"/>
  <c r="AV38" i="70"/>
  <c r="AV37" i="70"/>
  <c r="AV36" i="70"/>
  <c r="AV35" i="70"/>
  <c r="AV34" i="70"/>
  <c r="AV33" i="70"/>
  <c r="AV32" i="70"/>
  <c r="AV31" i="70"/>
  <c r="AV30" i="70"/>
  <c r="AV29" i="70"/>
  <c r="AV28" i="70"/>
  <c r="AV27" i="70"/>
  <c r="AV26" i="70"/>
  <c r="AV25" i="70"/>
  <c r="AV24" i="70"/>
  <c r="AV23" i="70"/>
  <c r="AV22" i="70"/>
  <c r="AV21" i="70"/>
  <c r="AV20" i="70"/>
  <c r="AV19" i="70"/>
  <c r="AV18" i="70"/>
  <c r="AV17" i="70"/>
  <c r="AV16" i="70"/>
  <c r="L16" i="70" a="1"/>
  <c r="L16" i="70" s="1"/>
  <c r="AV15" i="70"/>
  <c r="AV14" i="70"/>
  <c r="AV13" i="70"/>
  <c r="L13" i="70"/>
  <c r="AV12" i="70"/>
  <c r="L12" i="70"/>
  <c r="AV11" i="70"/>
  <c r="L11" i="70"/>
  <c r="AV10" i="70"/>
  <c r="L10" i="70"/>
  <c r="AV9" i="70"/>
  <c r="L9" i="70"/>
  <c r="AV8" i="70"/>
  <c r="L8" i="70"/>
  <c r="BC7" i="70"/>
  <c r="AV7" i="70"/>
  <c r="AF7" i="70"/>
  <c r="AF8" i="70" s="1"/>
  <c r="AF9" i="70" s="1"/>
  <c r="AF10" i="70" s="1"/>
  <c r="AF11" i="70" s="1"/>
  <c r="AF12" i="70" s="1"/>
  <c r="AF13" i="70" s="1"/>
  <c r="AF14" i="70" s="1"/>
  <c r="AF15" i="70" s="1"/>
  <c r="AF16" i="70" s="1"/>
  <c r="AF17" i="70" s="1"/>
  <c r="AF18" i="70" s="1"/>
  <c r="AF19" i="70" s="1"/>
  <c r="AF20" i="70" s="1"/>
  <c r="AF21" i="70" s="1"/>
  <c r="AF22" i="70" s="1"/>
  <c r="AF23" i="70" s="1"/>
  <c r="AF24" i="70" s="1"/>
  <c r="AF25" i="70" s="1"/>
  <c r="AF26" i="70" s="1"/>
  <c r="AF27" i="70" s="1"/>
  <c r="AF28" i="70" s="1"/>
  <c r="AF29" i="70" s="1"/>
  <c r="AF30" i="70" s="1"/>
  <c r="AF31" i="70" s="1"/>
  <c r="AF32" i="70" s="1"/>
  <c r="AF33" i="70" s="1"/>
  <c r="AF34" i="70" s="1"/>
  <c r="AF35" i="70" s="1"/>
  <c r="AF36" i="70" s="1"/>
  <c r="AF37" i="70" s="1"/>
  <c r="AF38" i="70" s="1"/>
  <c r="AF39" i="70" s="1"/>
  <c r="AF40" i="70" s="1"/>
  <c r="AF41" i="70" s="1"/>
  <c r="AF42" i="70" s="1"/>
  <c r="AF43" i="70" s="1"/>
  <c r="AF44" i="70" s="1"/>
  <c r="AF45" i="70" s="1"/>
  <c r="AF46" i="70" s="1"/>
  <c r="AF47" i="70" s="1"/>
  <c r="AF48" i="70" s="1"/>
  <c r="AF49" i="70" s="1"/>
  <c r="AF50" i="70" s="1"/>
  <c r="AF51" i="70" s="1"/>
  <c r="AF52" i="70" s="1"/>
  <c r="AF53" i="70" s="1"/>
  <c r="AF54" i="70" s="1"/>
  <c r="AL4" i="70"/>
  <c r="AK4" i="70"/>
  <c r="AK2" i="70" s="1"/>
  <c r="AJ4" i="70"/>
  <c r="AJ2" i="70" s="1"/>
  <c r="G3" i="70"/>
  <c r="AL2" i="70"/>
  <c r="E2" i="70"/>
  <c r="E3" i="70" s="1"/>
  <c r="A1" i="70"/>
  <c r="AL51" i="73"/>
  <c r="E44" i="73"/>
  <c r="E13" i="73"/>
  <c r="AL26" i="73"/>
  <c r="AJ37" i="71"/>
  <c r="AJ66" i="71"/>
  <c r="AL33" i="73"/>
  <c r="AJ67" i="71"/>
  <c r="AJ8" i="71"/>
  <c r="AK16" i="73"/>
  <c r="AL38" i="73"/>
  <c r="E38" i="73"/>
  <c r="AJ18" i="71"/>
  <c r="AL47" i="73"/>
  <c r="AK8" i="73"/>
  <c r="E11" i="71"/>
  <c r="AL42" i="73"/>
  <c r="E36" i="73"/>
  <c r="AL50" i="73"/>
  <c r="AJ62" i="71"/>
  <c r="AK10" i="73"/>
  <c r="AJ43" i="71"/>
  <c r="AK34" i="73"/>
  <c r="AL19" i="73"/>
  <c r="AK35" i="73"/>
  <c r="AL36" i="73"/>
  <c r="E37" i="73"/>
  <c r="E45" i="73"/>
  <c r="AK12" i="73"/>
  <c r="AL8" i="73"/>
  <c r="AL10" i="73"/>
  <c r="AJ16" i="71"/>
  <c r="AJ61" i="71"/>
  <c r="G49" i="71"/>
  <c r="G38" i="71"/>
  <c r="AL23" i="73"/>
  <c r="G23" i="71"/>
  <c r="E33" i="73"/>
  <c r="AK51" i="73"/>
  <c r="AL28" i="73"/>
  <c r="E47" i="73"/>
  <c r="AJ20" i="71"/>
  <c r="AL7" i="73"/>
  <c r="G27" i="71"/>
  <c r="E39" i="73"/>
  <c r="G45" i="71"/>
  <c r="E16" i="73"/>
  <c r="E18" i="73"/>
  <c r="G39" i="71"/>
  <c r="AL22" i="73"/>
  <c r="AJ44" i="71"/>
  <c r="AL9" i="73"/>
  <c r="AJ38" i="71"/>
  <c r="E50" i="73"/>
  <c r="AJ63" i="71"/>
  <c r="G16" i="71"/>
  <c r="AJ46" i="71"/>
  <c r="AL14" i="73"/>
  <c r="E9" i="71"/>
  <c r="AJ29" i="71"/>
  <c r="AK32" i="73"/>
  <c r="AK23" i="73"/>
  <c r="G48" i="71"/>
  <c r="E17" i="73"/>
  <c r="E27" i="73"/>
  <c r="E9" i="73"/>
  <c r="AJ50" i="71"/>
  <c r="G50" i="71"/>
  <c r="AJ17" i="71"/>
  <c r="E32" i="73"/>
  <c r="AK29" i="73"/>
  <c r="E11" i="73"/>
  <c r="AK61" i="73"/>
  <c r="E6" i="70"/>
  <c r="AK28" i="73"/>
  <c r="AJ11" i="71"/>
  <c r="AJ39" i="71"/>
  <c r="AL34" i="73"/>
  <c r="AL43" i="73"/>
  <c r="E10" i="73"/>
  <c r="AJ45" i="71"/>
  <c r="AK20" i="73"/>
  <c r="E21" i="73"/>
  <c r="AJ7" i="71"/>
  <c r="AJ55" i="71"/>
  <c r="E24" i="73"/>
  <c r="AJ21" i="71"/>
  <c r="G31" i="71"/>
  <c r="G17" i="71"/>
  <c r="AK31" i="73"/>
  <c r="AJ10" i="71"/>
  <c r="AK44" i="73"/>
  <c r="AJ9" i="71"/>
  <c r="E8" i="73"/>
  <c r="G52" i="71"/>
  <c r="AJ23" i="71"/>
  <c r="AL52" i="73"/>
  <c r="AL41" i="73"/>
  <c r="G30" i="71"/>
  <c r="AJ42" i="71"/>
  <c r="AJ49" i="71"/>
  <c r="AJ40" i="71"/>
  <c r="AK43" i="73"/>
  <c r="AK14" i="73"/>
  <c r="AJ25" i="71"/>
  <c r="AK48" i="73"/>
  <c r="G12" i="71"/>
  <c r="E19" i="73"/>
  <c r="E12" i="73"/>
  <c r="AJ33" i="71"/>
  <c r="E29" i="73"/>
  <c r="AL17" i="73"/>
  <c r="AK42" i="73"/>
  <c r="G47" i="71"/>
  <c r="AJ34" i="71"/>
  <c r="E41" i="71"/>
  <c r="AK46" i="73"/>
  <c r="AJ24" i="71"/>
  <c r="G26" i="71"/>
  <c r="AJ48" i="71"/>
  <c r="E28" i="73"/>
  <c r="AK41" i="73"/>
  <c r="E48" i="73"/>
  <c r="AJ35" i="71"/>
  <c r="AK27" i="73"/>
  <c r="AL25" i="73"/>
  <c r="E61" i="73"/>
  <c r="E25" i="73"/>
  <c r="E8" i="71"/>
  <c r="AJ14" i="71"/>
  <c r="AL35" i="73"/>
  <c r="AK52" i="73"/>
  <c r="AL13" i="73"/>
  <c r="G22" i="71"/>
  <c r="AK26" i="73"/>
  <c r="AK37" i="73"/>
  <c r="AL11" i="73"/>
  <c r="G46" i="71"/>
  <c r="E22" i="73"/>
  <c r="G34" i="71"/>
  <c r="AJ28" i="71"/>
  <c r="AL45" i="73"/>
  <c r="AJ32" i="71"/>
  <c r="AK18" i="73"/>
  <c r="G28" i="71"/>
  <c r="G20" i="71"/>
  <c r="AL37" i="73"/>
  <c r="AJ31" i="71"/>
  <c r="AK30" i="73"/>
  <c r="G18" i="71"/>
  <c r="AJ57" i="71"/>
  <c r="AJ19" i="71"/>
  <c r="AJ64" i="71"/>
  <c r="AJ12" i="71"/>
  <c r="AL61" i="73"/>
  <c r="E15" i="73"/>
  <c r="AL49" i="73"/>
  <c r="G51" i="71"/>
  <c r="G23" i="70"/>
  <c r="AJ36" i="71"/>
  <c r="AK11" i="73"/>
  <c r="AK13" i="73"/>
  <c r="G7" i="71"/>
  <c r="E31" i="73"/>
  <c r="AL29" i="73"/>
  <c r="AJ56" i="71"/>
  <c r="AL15" i="73"/>
  <c r="E43" i="73"/>
  <c r="AJ58" i="71"/>
  <c r="AL30" i="73"/>
  <c r="AK45" i="73"/>
  <c r="AK21" i="73"/>
  <c r="AK25" i="73"/>
  <c r="AK17" i="73"/>
  <c r="AL44" i="73"/>
  <c r="AJ60" i="71"/>
  <c r="AL40" i="73"/>
  <c r="G37" i="71"/>
  <c r="G53" i="71"/>
  <c r="AL27" i="73"/>
  <c r="E23" i="73"/>
  <c r="G19" i="71"/>
  <c r="AJ26" i="71"/>
  <c r="AK40" i="73"/>
  <c r="G24" i="71"/>
  <c r="G21" i="71"/>
  <c r="G13" i="71"/>
  <c r="G32" i="71"/>
  <c r="G44" i="71"/>
  <c r="E14" i="71"/>
  <c r="AJ47" i="71"/>
  <c r="G61" i="71"/>
  <c r="E35" i="73"/>
  <c r="AK9" i="73"/>
  <c r="E42" i="73"/>
  <c r="AK19" i="73"/>
  <c r="AK50" i="73"/>
  <c r="G43" i="71"/>
  <c r="G42" i="71"/>
  <c r="G36" i="71"/>
  <c r="AL18" i="73"/>
  <c r="AL32" i="73"/>
  <c r="AK36" i="73"/>
  <c r="AJ27" i="71"/>
  <c r="AL12" i="73"/>
  <c r="AL20" i="73"/>
  <c r="G33" i="71"/>
  <c r="AK22" i="73"/>
  <c r="E20" i="73"/>
  <c r="AJ53" i="71"/>
  <c r="G25" i="71"/>
  <c r="E52" i="73"/>
  <c r="AK15" i="73"/>
  <c r="G35" i="71"/>
  <c r="AK38" i="73"/>
  <c r="AL16" i="73"/>
  <c r="E49" i="73"/>
  <c r="AK39" i="73"/>
  <c r="AJ22" i="71"/>
  <c r="AK24" i="73"/>
  <c r="AJ15" i="71"/>
  <c r="AL24" i="73"/>
  <c r="AJ54" i="71"/>
  <c r="AJ51" i="71"/>
  <c r="AL46" i="73"/>
  <c r="AJ41" i="71"/>
  <c r="G29" i="71"/>
  <c r="AJ59" i="71"/>
  <c r="AL39" i="73"/>
  <c r="AK49" i="73"/>
  <c r="AK33" i="73"/>
  <c r="AL21" i="73"/>
  <c r="AL31" i="73"/>
  <c r="E10" i="71"/>
  <c r="AJ65" i="71"/>
  <c r="AK7" i="73"/>
  <c r="AK47" i="73"/>
  <c r="G15" i="71"/>
  <c r="G40" i="71"/>
  <c r="AJ30" i="71"/>
  <c r="E46" i="73"/>
  <c r="AJ13" i="71"/>
  <c r="AL48" i="73"/>
  <c r="AJ52" i="71"/>
  <c r="E14" i="73"/>
  <c r="E40" i="73"/>
  <c r="BC32" i="85" l="1"/>
  <c r="BD31" i="85"/>
  <c r="BF30" i="85"/>
  <c r="BI30" i="85"/>
  <c r="BH30" i="85"/>
  <c r="BG30" i="85"/>
  <c r="BH29" i="84"/>
  <c r="BG29" i="84"/>
  <c r="BF29" i="84"/>
  <c r="BI29" i="84"/>
  <c r="BC31" i="84"/>
  <c r="BD30" i="84"/>
  <c r="BG26" i="83"/>
  <c r="BH26" i="83"/>
  <c r="BI26" i="83"/>
  <c r="BF26" i="83"/>
  <c r="BD27" i="83"/>
  <c r="BC28" i="83"/>
  <c r="BD21" i="81"/>
  <c r="BC22" i="81"/>
  <c r="BH20" i="81"/>
  <c r="BI20" i="81"/>
  <c r="BG20" i="81"/>
  <c r="BF20" i="81"/>
  <c r="AK62" i="71"/>
  <c r="AM62" i="71" s="1"/>
  <c r="AL62" i="71"/>
  <c r="AL64" i="71"/>
  <c r="AK64" i="71"/>
  <c r="AM64" i="71" s="1"/>
  <c r="AM21" i="73"/>
  <c r="AH49" i="73"/>
  <c r="AG49" i="73"/>
  <c r="AG7" i="73"/>
  <c r="AH7" i="73"/>
  <c r="AL54" i="71"/>
  <c r="AK54" i="71"/>
  <c r="AM54" i="71" s="1"/>
  <c r="AL63" i="71"/>
  <c r="AK63" i="71"/>
  <c r="AM63" i="71" s="1"/>
  <c r="AL58" i="71"/>
  <c r="AK58" i="71"/>
  <c r="AM58" i="71" s="1"/>
  <c r="AM52" i="73"/>
  <c r="AH25" i="73"/>
  <c r="AG25" i="73"/>
  <c r="AM50" i="73"/>
  <c r="AL65" i="71"/>
  <c r="AK65" i="71"/>
  <c r="AM65" i="71" s="1"/>
  <c r="AL38" i="71"/>
  <c r="AH38" i="71" s="1"/>
  <c r="AK38" i="71"/>
  <c r="AM38" i="71" s="1"/>
  <c r="AM16" i="73"/>
  <c r="AH41" i="73"/>
  <c r="AG41" i="73"/>
  <c r="AH19" i="73"/>
  <c r="AG19" i="73"/>
  <c r="AM29" i="73"/>
  <c r="AH31" i="73"/>
  <c r="AG31" i="73"/>
  <c r="AL56" i="71"/>
  <c r="AK56" i="71"/>
  <c r="AM56" i="71" s="1"/>
  <c r="AH13" i="73"/>
  <c r="AG13" i="73"/>
  <c r="AH33" i="73"/>
  <c r="AG33" i="73"/>
  <c r="AM36" i="73"/>
  <c r="AL60" i="71"/>
  <c r="AK60" i="71"/>
  <c r="AM60" i="71" s="1"/>
  <c r="AG29" i="73"/>
  <c r="AH29" i="73"/>
  <c r="AG47" i="73"/>
  <c r="AH47" i="73"/>
  <c r="AH38" i="73"/>
  <c r="AG38" i="73"/>
  <c r="AL67" i="71"/>
  <c r="AK67" i="71"/>
  <c r="AM67" i="71" s="1"/>
  <c r="AH32" i="73"/>
  <c r="AG32" i="73"/>
  <c r="AG26" i="73"/>
  <c r="AH26" i="73"/>
  <c r="AM22" i="73"/>
  <c r="AM48" i="73"/>
  <c r="AG30" i="73"/>
  <c r="AH30" i="73"/>
  <c r="AM49" i="73"/>
  <c r="AM17" i="73"/>
  <c r="AM42" i="73"/>
  <c r="AM25" i="73"/>
  <c r="AH12" i="73"/>
  <c r="AG12" i="73"/>
  <c r="AH34" i="73"/>
  <c r="AG34" i="73"/>
  <c r="AM43" i="73"/>
  <c r="AH44" i="73"/>
  <c r="AG44" i="73"/>
  <c r="AM41" i="73"/>
  <c r="AM46" i="73"/>
  <c r="AM34" i="73"/>
  <c r="AM40" i="73"/>
  <c r="AK59" i="71"/>
  <c r="AM59" i="71" s="1"/>
  <c r="AL59" i="71"/>
  <c r="AH23" i="73"/>
  <c r="AG23" i="73"/>
  <c r="AH28" i="73"/>
  <c r="AG28" i="73"/>
  <c r="AH37" i="73"/>
  <c r="AG37" i="73"/>
  <c r="AG21" i="73"/>
  <c r="AH21" i="73"/>
  <c r="AM61" i="73"/>
  <c r="AG52" i="73"/>
  <c r="AH52" i="73"/>
  <c r="AM10" i="73"/>
  <c r="R16" i="73" a="1"/>
  <c r="R16" i="73" s="1"/>
  <c r="O9" i="73"/>
  <c r="U16" i="73" a="1"/>
  <c r="U16" i="73" s="1"/>
  <c r="O16" i="73" a="1"/>
  <c r="O16" i="73" s="1"/>
  <c r="U11" i="73"/>
  <c r="V11" i="73" s="1"/>
  <c r="R10" i="73"/>
  <c r="O11" i="73"/>
  <c r="R12" i="73"/>
  <c r="U9" i="73"/>
  <c r="V9" i="73" s="1"/>
  <c r="U10" i="73"/>
  <c r="V10" i="73" s="1"/>
  <c r="U12" i="73"/>
  <c r="V12" i="73" s="1"/>
  <c r="O12" i="73"/>
  <c r="O13" i="73"/>
  <c r="P13" i="73" s="1"/>
  <c r="R13" i="73"/>
  <c r="S13" i="73" s="1"/>
  <c r="U13" i="73"/>
  <c r="V13" i="73" s="1"/>
  <c r="R8" i="73"/>
  <c r="U8" i="73"/>
  <c r="O8" i="73"/>
  <c r="R9" i="73"/>
  <c r="O10" i="73"/>
  <c r="R11" i="73"/>
  <c r="AG22" i="73"/>
  <c r="AH22" i="73"/>
  <c r="AM37" i="73"/>
  <c r="AH27" i="73"/>
  <c r="AG27" i="73"/>
  <c r="AG18" i="73"/>
  <c r="AH18" i="73"/>
  <c r="AG36" i="73"/>
  <c r="AH36" i="73"/>
  <c r="AM28" i="73"/>
  <c r="AG17" i="73"/>
  <c r="AH17" i="73"/>
  <c r="AH43" i="73"/>
  <c r="AG43" i="73"/>
  <c r="AM13" i="73"/>
  <c r="AM35" i="73"/>
  <c r="AM30" i="73"/>
  <c r="AM8" i="73"/>
  <c r="AM31" i="73"/>
  <c r="AM27" i="73"/>
  <c r="AM18" i="73"/>
  <c r="AM47" i="73"/>
  <c r="AL57" i="71"/>
  <c r="AK57" i="71"/>
  <c r="AM57" i="71" s="1"/>
  <c r="AM15" i="73"/>
  <c r="AH50" i="73"/>
  <c r="AG50" i="73"/>
  <c r="AM14" i="73"/>
  <c r="AM11" i="73"/>
  <c r="AH8" i="73"/>
  <c r="AG8" i="73"/>
  <c r="AH16" i="73"/>
  <c r="AG16" i="73"/>
  <c r="AM19" i="73"/>
  <c r="AM33" i="73"/>
  <c r="AG46" i="73"/>
  <c r="AH46" i="73"/>
  <c r="AG9" i="73"/>
  <c r="AH9" i="73"/>
  <c r="AG39" i="73"/>
  <c r="AH39" i="73"/>
  <c r="AM24" i="73"/>
  <c r="AH35" i="73"/>
  <c r="AG35" i="73"/>
  <c r="AM51" i="73"/>
  <c r="AM38" i="73"/>
  <c r="AH14" i="73"/>
  <c r="AG14" i="73"/>
  <c r="AM20" i="73"/>
  <c r="AH11" i="73"/>
  <c r="AG11" i="73"/>
  <c r="AM26" i="73"/>
  <c r="AH15" i="73"/>
  <c r="AG15" i="73"/>
  <c r="AG51" i="73"/>
  <c r="AH51" i="73"/>
  <c r="AH10" i="73"/>
  <c r="AG10" i="73"/>
  <c r="AK55" i="71"/>
  <c r="AM55" i="71" s="1"/>
  <c r="AL55" i="71"/>
  <c r="AK66" i="71"/>
  <c r="AM66" i="71" s="1"/>
  <c r="AL66" i="71"/>
  <c r="AM23" i="73"/>
  <c r="AM39" i="73"/>
  <c r="AH20" i="73"/>
  <c r="AG20" i="73"/>
  <c r="AM45" i="73"/>
  <c r="AH45" i="73"/>
  <c r="AG45" i="73"/>
  <c r="AM32" i="73"/>
  <c r="AM12" i="73"/>
  <c r="AM7" i="73"/>
  <c r="AM44" i="73"/>
  <c r="AH61" i="73"/>
  <c r="AG61" i="73"/>
  <c r="AH24" i="73"/>
  <c r="AG24" i="73"/>
  <c r="AM9" i="73"/>
  <c r="AG40" i="73"/>
  <c r="AH40" i="73"/>
  <c r="AG42" i="73"/>
  <c r="AH42" i="73"/>
  <c r="AH48" i="73"/>
  <c r="AG48" i="73"/>
  <c r="BI9" i="73"/>
  <c r="BF9" i="73"/>
  <c r="BG9" i="73"/>
  <c r="BC21" i="80"/>
  <c r="BD20" i="80"/>
  <c r="BF19" i="80"/>
  <c r="BI19" i="80"/>
  <c r="BH19" i="80"/>
  <c r="BG19" i="80"/>
  <c r="BG18" i="78"/>
  <c r="BF18" i="78"/>
  <c r="BI18" i="78"/>
  <c r="BH18" i="78"/>
  <c r="BC20" i="78"/>
  <c r="BD19" i="78"/>
  <c r="BH18" i="79"/>
  <c r="BG18" i="79"/>
  <c r="BF18" i="79"/>
  <c r="BI18" i="79"/>
  <c r="BC20" i="79"/>
  <c r="BD19" i="79"/>
  <c r="BD16" i="76"/>
  <c r="BC17" i="76"/>
  <c r="BI15" i="76"/>
  <c r="BH15" i="76"/>
  <c r="BG15" i="76"/>
  <c r="BF15" i="76"/>
  <c r="BC16" i="75"/>
  <c r="BD15" i="75"/>
  <c r="BF14" i="75"/>
  <c r="BI14" i="75"/>
  <c r="BH14" i="75"/>
  <c r="BG14" i="75"/>
  <c r="BC14" i="74"/>
  <c r="BD13" i="74"/>
  <c r="BI12" i="74"/>
  <c r="BG12" i="74"/>
  <c r="BF12" i="74"/>
  <c r="BH12" i="74"/>
  <c r="BD11" i="73"/>
  <c r="BC12" i="73"/>
  <c r="BF7" i="73"/>
  <c r="BI7" i="73"/>
  <c r="BH7" i="73"/>
  <c r="BG7" i="73"/>
  <c r="BF8" i="73"/>
  <c r="BI8" i="73"/>
  <c r="BH8" i="73"/>
  <c r="BG8" i="73"/>
  <c r="BG10" i="73"/>
  <c r="BH10" i="73"/>
  <c r="BI10" i="73"/>
  <c r="BF10" i="73"/>
  <c r="AW8" i="70"/>
  <c r="AX8" i="70" s="1"/>
  <c r="AH54" i="71"/>
  <c r="AG54" i="71"/>
  <c r="BD7" i="71"/>
  <c r="BD8" i="71"/>
  <c r="BD9" i="71"/>
  <c r="BC10" i="71"/>
  <c r="L14" i="70"/>
  <c r="M14" i="70" s="1"/>
  <c r="AW19" i="70"/>
  <c r="AX19" i="70" s="1"/>
  <c r="AW56" i="70"/>
  <c r="Y14" i="70"/>
  <c r="M8" i="70"/>
  <c r="AW9" i="70"/>
  <c r="AX9" i="70" s="1"/>
  <c r="AW13" i="70"/>
  <c r="AX13" i="70" s="1"/>
  <c r="AW15" i="70"/>
  <c r="AX15" i="70" s="1"/>
  <c r="AW27" i="70"/>
  <c r="AX27" i="70" s="1"/>
  <c r="BC8" i="70"/>
  <c r="AW25" i="70"/>
  <c r="AX25" i="70" s="1"/>
  <c r="AW60" i="70"/>
  <c r="AX60" i="70" s="1"/>
  <c r="AW52" i="70"/>
  <c r="AX52" i="70" s="1"/>
  <c r="M9" i="70"/>
  <c r="AW11" i="70"/>
  <c r="AX11" i="70" s="1"/>
  <c r="AW23" i="70"/>
  <c r="AX23" i="70" s="1"/>
  <c r="AW34" i="70"/>
  <c r="AX34" i="70" s="1"/>
  <c r="AW46" i="70"/>
  <c r="AX46" i="70" s="1"/>
  <c r="AW51" i="70"/>
  <c r="AX51" i="70" s="1"/>
  <c r="AW47" i="70"/>
  <c r="AX47" i="70" s="1"/>
  <c r="AW62" i="70"/>
  <c r="AX62" i="70" s="1"/>
  <c r="AW58" i="70"/>
  <c r="AW40" i="70"/>
  <c r="AX40" i="70" s="1"/>
  <c r="AW36" i="70"/>
  <c r="AX36" i="70" s="1"/>
  <c r="AW50" i="70"/>
  <c r="AX50" i="70" s="1"/>
  <c r="AW43" i="70"/>
  <c r="AX43" i="70" s="1"/>
  <c r="AW39" i="70"/>
  <c r="AX39" i="70" s="1"/>
  <c r="AW35" i="70"/>
  <c r="AX35" i="70" s="1"/>
  <c r="AW28" i="70"/>
  <c r="AX28" i="70" s="1"/>
  <c r="AW54" i="70"/>
  <c r="AX54" i="70" s="1"/>
  <c r="AW38" i="70"/>
  <c r="AX38" i="70" s="1"/>
  <c r="AW30" i="70"/>
  <c r="AX30" i="70" s="1"/>
  <c r="AW26" i="70"/>
  <c r="AX26" i="70" s="1"/>
  <c r="AW21" i="70"/>
  <c r="AX21" i="70" s="1"/>
  <c r="AW17" i="70"/>
  <c r="AX17" i="70" s="1"/>
  <c r="AW59" i="70"/>
  <c r="AX59" i="70" s="1"/>
  <c r="AW32" i="70"/>
  <c r="AX32" i="70" s="1"/>
  <c r="AW7" i="70"/>
  <c r="AX7" i="70" s="1"/>
  <c r="C77" i="70"/>
  <c r="AW10" i="70"/>
  <c r="AX10" i="70" s="1"/>
  <c r="AW12" i="70"/>
  <c r="AX12" i="70" s="1"/>
  <c r="AW14" i="70"/>
  <c r="AX14" i="70" s="1"/>
  <c r="AW16" i="70"/>
  <c r="AX16" i="70" s="1"/>
  <c r="AW18" i="70"/>
  <c r="AX18" i="70" s="1"/>
  <c r="AW20" i="70"/>
  <c r="AX20" i="70" s="1"/>
  <c r="AW22" i="70"/>
  <c r="AX22" i="70" s="1"/>
  <c r="AW42" i="70"/>
  <c r="AX42" i="70" s="1"/>
  <c r="AW31" i="70"/>
  <c r="AX31" i="70" s="1"/>
  <c r="AW44" i="70"/>
  <c r="AX44" i="70" s="1"/>
  <c r="AW55" i="70"/>
  <c r="AX55" i="70" s="1"/>
  <c r="AW24" i="70"/>
  <c r="AX24" i="70" s="1"/>
  <c r="AW29" i="70"/>
  <c r="AX29" i="70" s="1"/>
  <c r="AW49" i="70"/>
  <c r="AX49" i="70" s="1"/>
  <c r="AW33" i="70"/>
  <c r="AX33" i="70" s="1"/>
  <c r="AW37" i="70"/>
  <c r="AX37" i="70" s="1"/>
  <c r="AX41" i="70"/>
  <c r="AW41" i="70"/>
  <c r="AW48" i="70"/>
  <c r="AX48" i="70" s="1"/>
  <c r="AW63" i="70"/>
  <c r="AX63" i="70" s="1"/>
  <c r="AW45" i="70"/>
  <c r="AX45" i="70" s="1"/>
  <c r="AW53" i="70"/>
  <c r="AX53" i="70" s="1"/>
  <c r="AX58" i="70"/>
  <c r="AX56" i="70"/>
  <c r="AW57" i="70"/>
  <c r="AX57" i="70" s="1"/>
  <c r="AW61" i="70"/>
  <c r="AX61" i="70" s="1"/>
  <c r="C68" i="69"/>
  <c r="B68" i="69" s="1"/>
  <c r="AH67" i="69"/>
  <c r="AG67" i="69"/>
  <c r="AF67" i="69"/>
  <c r="AH66" i="69"/>
  <c r="AG66" i="69"/>
  <c r="AF66" i="69"/>
  <c r="AH65" i="69"/>
  <c r="AG65" i="69"/>
  <c r="AF65" i="69"/>
  <c r="AH64" i="69"/>
  <c r="AG64" i="69"/>
  <c r="AF64" i="69"/>
  <c r="AV63" i="69"/>
  <c r="AH63" i="69"/>
  <c r="AG63" i="69"/>
  <c r="AF63" i="69"/>
  <c r="AV62" i="69"/>
  <c r="AH62" i="69"/>
  <c r="AG62" i="69"/>
  <c r="AF62" i="69"/>
  <c r="G62" i="69"/>
  <c r="AV61" i="69"/>
  <c r="AV60" i="69"/>
  <c r="AH60" i="69"/>
  <c r="AG60" i="69"/>
  <c r="AF60" i="69"/>
  <c r="AF61" i="69" s="1"/>
  <c r="G60" i="69"/>
  <c r="E60" i="69" s="1"/>
  <c r="AV59" i="69"/>
  <c r="AH59" i="69"/>
  <c r="AG59" i="69"/>
  <c r="AF59" i="69"/>
  <c r="G59" i="69"/>
  <c r="E59" i="69" s="1"/>
  <c r="AV58" i="69"/>
  <c r="AH58" i="69"/>
  <c r="AG58" i="69"/>
  <c r="AF58" i="69"/>
  <c r="G58" i="69"/>
  <c r="AV57" i="69"/>
  <c r="AH57" i="69"/>
  <c r="AG57" i="69"/>
  <c r="AF57" i="69"/>
  <c r="G57" i="69"/>
  <c r="AV56" i="69"/>
  <c r="AH56" i="69"/>
  <c r="AG56" i="69"/>
  <c r="AF56" i="69"/>
  <c r="G56" i="69"/>
  <c r="AV55" i="69"/>
  <c r="AH55" i="69"/>
  <c r="AG55" i="69"/>
  <c r="AF55" i="69"/>
  <c r="G55" i="69"/>
  <c r="E55" i="69" s="1"/>
  <c r="AV54" i="69"/>
  <c r="AV53" i="69"/>
  <c r="AV52" i="69"/>
  <c r="AV51" i="69"/>
  <c r="AV50" i="69"/>
  <c r="AV49" i="69"/>
  <c r="AV48" i="69"/>
  <c r="AV47" i="69"/>
  <c r="AV46" i="69"/>
  <c r="AV45" i="69"/>
  <c r="AV44" i="69"/>
  <c r="AV43" i="69"/>
  <c r="AV42" i="69"/>
  <c r="AV41" i="69"/>
  <c r="AV40" i="69"/>
  <c r="AV39" i="69"/>
  <c r="AV38" i="69"/>
  <c r="AV37" i="69"/>
  <c r="AV36" i="69"/>
  <c r="AV35" i="69"/>
  <c r="AV34" i="69"/>
  <c r="AV33" i="69"/>
  <c r="AV32" i="69"/>
  <c r="AV31" i="69"/>
  <c r="AV30" i="69"/>
  <c r="AV29" i="69"/>
  <c r="AV28" i="69"/>
  <c r="AV27" i="69"/>
  <c r="AV26" i="69"/>
  <c r="AV25" i="69"/>
  <c r="AV24" i="69"/>
  <c r="AV23" i="69"/>
  <c r="AV22" i="69"/>
  <c r="AV21" i="69"/>
  <c r="AV20" i="69"/>
  <c r="AV19" i="69"/>
  <c r="AV18" i="69"/>
  <c r="AV17" i="69"/>
  <c r="AV16" i="69"/>
  <c r="L16" i="69" a="1"/>
  <c r="L16" i="69" s="1"/>
  <c r="AV15" i="69"/>
  <c r="AV14" i="69"/>
  <c r="AV13" i="69"/>
  <c r="L13" i="69"/>
  <c r="AV12" i="69"/>
  <c r="L12" i="69"/>
  <c r="AV11" i="69"/>
  <c r="L11" i="69"/>
  <c r="AV10" i="69"/>
  <c r="L10" i="69"/>
  <c r="AV9" i="69"/>
  <c r="L9" i="69"/>
  <c r="AV8" i="69"/>
  <c r="L8" i="69"/>
  <c r="BC7" i="69"/>
  <c r="BC8" i="69" s="1"/>
  <c r="AV7" i="69"/>
  <c r="AF7" i="69"/>
  <c r="AF8" i="69" s="1"/>
  <c r="AF9" i="69" s="1"/>
  <c r="AF10" i="69" s="1"/>
  <c r="AF11" i="69" s="1"/>
  <c r="AF12" i="69" s="1"/>
  <c r="AF13" i="69" s="1"/>
  <c r="AF14" i="69" s="1"/>
  <c r="AF15" i="69" s="1"/>
  <c r="AF16" i="69" s="1"/>
  <c r="AF17" i="69" s="1"/>
  <c r="AF18" i="69" s="1"/>
  <c r="AF19" i="69" s="1"/>
  <c r="AF20" i="69" s="1"/>
  <c r="AF21" i="69" s="1"/>
  <c r="AF22" i="69" s="1"/>
  <c r="AF23" i="69" s="1"/>
  <c r="AF24" i="69" s="1"/>
  <c r="AF25" i="69" s="1"/>
  <c r="AF26" i="69" s="1"/>
  <c r="AF27" i="69" s="1"/>
  <c r="AF28" i="69" s="1"/>
  <c r="AF29" i="69" s="1"/>
  <c r="AF30" i="69" s="1"/>
  <c r="AF31" i="69" s="1"/>
  <c r="AF32" i="69" s="1"/>
  <c r="AF33" i="69" s="1"/>
  <c r="AF34" i="69" s="1"/>
  <c r="AF35" i="69" s="1"/>
  <c r="AF36" i="69" s="1"/>
  <c r="AF37" i="69" s="1"/>
  <c r="AF38" i="69" s="1"/>
  <c r="AF39" i="69" s="1"/>
  <c r="AF40" i="69" s="1"/>
  <c r="AF41" i="69" s="1"/>
  <c r="AF42" i="69" s="1"/>
  <c r="AF43" i="69" s="1"/>
  <c r="AF44" i="69" s="1"/>
  <c r="AF45" i="69" s="1"/>
  <c r="AF46" i="69" s="1"/>
  <c r="AF47" i="69" s="1"/>
  <c r="AF48" i="69" s="1"/>
  <c r="AF49" i="69" s="1"/>
  <c r="AF50" i="69" s="1"/>
  <c r="AF51" i="69" s="1"/>
  <c r="AF52" i="69" s="1"/>
  <c r="AF53" i="69" s="1"/>
  <c r="AF54" i="69" s="1"/>
  <c r="AL4" i="69"/>
  <c r="AL2" i="69" s="1"/>
  <c r="AK4" i="69"/>
  <c r="AK2" i="69" s="1"/>
  <c r="AJ4" i="69"/>
  <c r="AJ2" i="69" s="1"/>
  <c r="G3" i="69"/>
  <c r="E2" i="69"/>
  <c r="E3" i="69" s="1"/>
  <c r="A1" i="69"/>
  <c r="BG31" i="85" l="1"/>
  <c r="BF31" i="85"/>
  <c r="BI31" i="85"/>
  <c r="BH31" i="85"/>
  <c r="BC33" i="85"/>
  <c r="BD32" i="85"/>
  <c r="BI30" i="84"/>
  <c r="BH30" i="84"/>
  <c r="BG30" i="84"/>
  <c r="BF30" i="84"/>
  <c r="BD31" i="84"/>
  <c r="BC32" i="84"/>
  <c r="BF27" i="83"/>
  <c r="BG27" i="83"/>
  <c r="BI27" i="83"/>
  <c r="BH27" i="83"/>
  <c r="BC29" i="83"/>
  <c r="BD28" i="83"/>
  <c r="AG38" i="71"/>
  <c r="BC23" i="81"/>
  <c r="BD22" i="81"/>
  <c r="BI21" i="81"/>
  <c r="BG21" i="81"/>
  <c r="BF21" i="81"/>
  <c r="BH21" i="81"/>
  <c r="M11" i="70"/>
  <c r="AA10" i="73"/>
  <c r="AA12" i="73"/>
  <c r="U14" i="73"/>
  <c r="V14" i="73" s="1"/>
  <c r="AA8" i="73"/>
  <c r="V8" i="73"/>
  <c r="AA13" i="73"/>
  <c r="R14" i="73"/>
  <c r="S8" i="73" s="1"/>
  <c r="O14" i="73"/>
  <c r="P12" i="73" s="1"/>
  <c r="AA9" i="73"/>
  <c r="AA11" i="73"/>
  <c r="BG20" i="80"/>
  <c r="BF20" i="80"/>
  <c r="BI20" i="80"/>
  <c r="BH20" i="80"/>
  <c r="BC22" i="80"/>
  <c r="BD21" i="80"/>
  <c r="M10" i="70"/>
  <c r="BH19" i="78"/>
  <c r="BG19" i="78"/>
  <c r="BF19" i="78"/>
  <c r="BI19" i="78"/>
  <c r="BD20" i="78"/>
  <c r="BC21" i="78"/>
  <c r="BI19" i="79"/>
  <c r="BH19" i="79"/>
  <c r="BG19" i="79"/>
  <c r="BF19" i="79"/>
  <c r="BC21" i="79"/>
  <c r="BD20" i="79"/>
  <c r="M13" i="70"/>
  <c r="BF16" i="76"/>
  <c r="BI16" i="76"/>
  <c r="BH16" i="76"/>
  <c r="BG16" i="76"/>
  <c r="BC18" i="76"/>
  <c r="BD17" i="76"/>
  <c r="BG15" i="75"/>
  <c r="BF15" i="75"/>
  <c r="BI15" i="75"/>
  <c r="BH15" i="75"/>
  <c r="BD16" i="75"/>
  <c r="BC17" i="75"/>
  <c r="BI13" i="74"/>
  <c r="BH13" i="74"/>
  <c r="BG13" i="74"/>
  <c r="BF13" i="74"/>
  <c r="BC15" i="74"/>
  <c r="BD14" i="74"/>
  <c r="BC13" i="73"/>
  <c r="BD12" i="73"/>
  <c r="BG11" i="73"/>
  <c r="BI11" i="73"/>
  <c r="BF11" i="73"/>
  <c r="BH11" i="73"/>
  <c r="BF9" i="71"/>
  <c r="BI9" i="71"/>
  <c r="BG9" i="71"/>
  <c r="BH9" i="71"/>
  <c r="BF8" i="71"/>
  <c r="BI8" i="71"/>
  <c r="BH8" i="71"/>
  <c r="BG8" i="71"/>
  <c r="BD10" i="71"/>
  <c r="BC11" i="71"/>
  <c r="BF7" i="71"/>
  <c r="BI7" i="71"/>
  <c r="BH7" i="71"/>
  <c r="BG7" i="71"/>
  <c r="M12" i="70"/>
  <c r="L5" i="70"/>
  <c r="AY49" i="70"/>
  <c r="AY10" i="70"/>
  <c r="AW8" i="69"/>
  <c r="AY52" i="70"/>
  <c r="AY61" i="70"/>
  <c r="AY37" i="70"/>
  <c r="AY29" i="70"/>
  <c r="AY23" i="70"/>
  <c r="AY48" i="70"/>
  <c r="AY42" i="70"/>
  <c r="AY45" i="70"/>
  <c r="AY25" i="70"/>
  <c r="AY13" i="70"/>
  <c r="AY34" i="70"/>
  <c r="AY9" i="70"/>
  <c r="AY53" i="70"/>
  <c r="AY63" i="70"/>
  <c r="AY41" i="70"/>
  <c r="AY30" i="70"/>
  <c r="AY44" i="70"/>
  <c r="AY26" i="70"/>
  <c r="AY18" i="70"/>
  <c r="AY7" i="70"/>
  <c r="AY59" i="70"/>
  <c r="AY35" i="70"/>
  <c r="AY47" i="70"/>
  <c r="AY19" i="70"/>
  <c r="BC9" i="70"/>
  <c r="AY11" i="70"/>
  <c r="AY56" i="70"/>
  <c r="AY24" i="70"/>
  <c r="AY38" i="70"/>
  <c r="AY17" i="70"/>
  <c r="AY39" i="70"/>
  <c r="AY51" i="70"/>
  <c r="AY60" i="70"/>
  <c r="AY15" i="70"/>
  <c r="AY8" i="70"/>
  <c r="AY55" i="70"/>
  <c r="AY33" i="70"/>
  <c r="AY32" i="70"/>
  <c r="AY28" i="70"/>
  <c r="AY50" i="70"/>
  <c r="AY62" i="70"/>
  <c r="AY46" i="70"/>
  <c r="AY57" i="70"/>
  <c r="AY22" i="70"/>
  <c r="AY14" i="70"/>
  <c r="AY12" i="70"/>
  <c r="AY36" i="70"/>
  <c r="AY40" i="70"/>
  <c r="AY27" i="70"/>
  <c r="AY58" i="70"/>
  <c r="AY31" i="70"/>
  <c r="AY20" i="70"/>
  <c r="AY16" i="70"/>
  <c r="AY21" i="70"/>
  <c r="AY54" i="70"/>
  <c r="AY43" i="70"/>
  <c r="AW60" i="69"/>
  <c r="AW58" i="69"/>
  <c r="AX58" i="69" s="1"/>
  <c r="AW57" i="69"/>
  <c r="AX57" i="69" s="1"/>
  <c r="AW56" i="69"/>
  <c r="AX56" i="69" s="1"/>
  <c r="AW55" i="69"/>
  <c r="AX55" i="69" s="1"/>
  <c r="AW47" i="69"/>
  <c r="AX47" i="69" s="1"/>
  <c r="AW63" i="69"/>
  <c r="AX63" i="69" s="1"/>
  <c r="AW53" i="69"/>
  <c r="AW45" i="69"/>
  <c r="AX45" i="69" s="1"/>
  <c r="AW40" i="69"/>
  <c r="AX40" i="69" s="1"/>
  <c r="AW51" i="69"/>
  <c r="AX51" i="69" s="1"/>
  <c r="AW36" i="69"/>
  <c r="AX36" i="69" s="1"/>
  <c r="AW32" i="69"/>
  <c r="AX32" i="69" s="1"/>
  <c r="AW28" i="69"/>
  <c r="AX28" i="69" s="1"/>
  <c r="AW26" i="69"/>
  <c r="AX26" i="69" s="1"/>
  <c r="AW23" i="69"/>
  <c r="AX23" i="69" s="1"/>
  <c r="AW18" i="69"/>
  <c r="AW24" i="69"/>
  <c r="AX24" i="69" s="1"/>
  <c r="AW16" i="69"/>
  <c r="AX16" i="69" s="1"/>
  <c r="AW14" i="69"/>
  <c r="AX14" i="69" s="1"/>
  <c r="AW17" i="69"/>
  <c r="AX17" i="69" s="1"/>
  <c r="AW59" i="69"/>
  <c r="AX59" i="69" s="1"/>
  <c r="AW7" i="69"/>
  <c r="AX7" i="69" s="1"/>
  <c r="AX8" i="69"/>
  <c r="BC9" i="69"/>
  <c r="L14" i="69"/>
  <c r="AW35" i="69"/>
  <c r="AX35" i="69" s="1"/>
  <c r="AW10" i="69"/>
  <c r="AX10" i="69" s="1"/>
  <c r="AW12" i="69"/>
  <c r="AX12" i="69" s="1"/>
  <c r="AW19" i="69"/>
  <c r="AX19" i="69" s="1"/>
  <c r="AW20" i="69"/>
  <c r="AX20" i="69" s="1"/>
  <c r="AW22" i="69"/>
  <c r="AX22" i="69" s="1"/>
  <c r="AW27" i="69"/>
  <c r="AX27" i="69" s="1"/>
  <c r="AW42" i="69"/>
  <c r="AX42" i="69" s="1"/>
  <c r="AW9" i="69"/>
  <c r="AX9" i="69" s="1"/>
  <c r="AW11" i="69"/>
  <c r="AX11" i="69" s="1"/>
  <c r="AW13" i="69"/>
  <c r="AX13" i="69" s="1"/>
  <c r="AW15" i="69"/>
  <c r="AX15" i="69" s="1"/>
  <c r="AW25" i="69"/>
  <c r="AX25" i="69" s="1"/>
  <c r="AW31" i="69"/>
  <c r="AX31" i="69" s="1"/>
  <c r="AW49" i="69"/>
  <c r="AX49" i="69" s="1"/>
  <c r="AW54" i="69"/>
  <c r="AX54" i="69" s="1"/>
  <c r="AX18" i="69"/>
  <c r="AW21" i="69"/>
  <c r="AX21" i="69" s="1"/>
  <c r="AW38" i="69"/>
  <c r="AX38" i="69" s="1"/>
  <c r="AW46" i="69"/>
  <c r="AX46" i="69" s="1"/>
  <c r="AW52" i="69"/>
  <c r="AX52" i="69" s="1"/>
  <c r="AW30" i="69"/>
  <c r="AX30" i="69" s="1"/>
  <c r="AW34" i="69"/>
  <c r="AX34" i="69" s="1"/>
  <c r="AW39" i="69"/>
  <c r="AW29" i="69"/>
  <c r="AX29" i="69" s="1"/>
  <c r="AW33" i="69"/>
  <c r="AX33" i="69" s="1"/>
  <c r="AW43" i="69"/>
  <c r="AX43" i="69" s="1"/>
  <c r="AW37" i="69"/>
  <c r="AX37" i="69" s="1"/>
  <c r="AW41" i="69"/>
  <c r="AX41" i="69" s="1"/>
  <c r="AW44" i="69"/>
  <c r="AX44" i="69" s="1"/>
  <c r="AW48" i="69"/>
  <c r="AX48" i="69" s="1"/>
  <c r="AX39" i="69"/>
  <c r="AW50" i="69"/>
  <c r="AX50" i="69" s="1"/>
  <c r="AX60" i="69"/>
  <c r="AX53" i="69"/>
  <c r="AW61" i="69"/>
  <c r="AX61" i="69" s="1"/>
  <c r="AW62" i="69"/>
  <c r="AX62" i="69" s="1"/>
  <c r="C68" i="68"/>
  <c r="B68" i="68" s="1"/>
  <c r="AH67" i="68"/>
  <c r="AG67" i="68"/>
  <c r="AF67" i="68"/>
  <c r="AH66" i="68"/>
  <c r="AG66" i="68"/>
  <c r="AF66" i="68"/>
  <c r="AH65" i="68"/>
  <c r="AG65" i="68"/>
  <c r="AF65" i="68"/>
  <c r="AH64" i="68"/>
  <c r="AG64" i="68"/>
  <c r="AF64" i="68"/>
  <c r="AV63" i="68"/>
  <c r="AH63" i="68"/>
  <c r="AG63" i="68"/>
  <c r="AF63" i="68"/>
  <c r="AV62" i="68"/>
  <c r="AH62" i="68"/>
  <c r="AG62" i="68"/>
  <c r="AF62" i="68"/>
  <c r="G62" i="68"/>
  <c r="AV61" i="68"/>
  <c r="AV60" i="68"/>
  <c r="AH60" i="68"/>
  <c r="AG60" i="68"/>
  <c r="AF60" i="68"/>
  <c r="AF61" i="68" s="1"/>
  <c r="G60" i="68"/>
  <c r="E60" i="68" s="1"/>
  <c r="AV59" i="68"/>
  <c r="AH59" i="68"/>
  <c r="AG59" i="68"/>
  <c r="AF59" i="68"/>
  <c r="G59" i="68"/>
  <c r="E59" i="68" s="1"/>
  <c r="AV58" i="68"/>
  <c r="AH58" i="68"/>
  <c r="AG58" i="68"/>
  <c r="AF58" i="68"/>
  <c r="G58" i="68"/>
  <c r="AV57" i="68"/>
  <c r="AH57" i="68"/>
  <c r="AG57" i="68"/>
  <c r="AF57" i="68"/>
  <c r="G57" i="68"/>
  <c r="AV56" i="68"/>
  <c r="AH56" i="68"/>
  <c r="AG56" i="68"/>
  <c r="AF56" i="68"/>
  <c r="G56" i="68"/>
  <c r="AV55" i="68"/>
  <c r="AH55" i="68"/>
  <c r="AG55" i="68"/>
  <c r="AF55" i="68"/>
  <c r="G55" i="68"/>
  <c r="E55" i="68" s="1"/>
  <c r="AV54" i="68"/>
  <c r="AV53" i="68"/>
  <c r="AV52" i="68"/>
  <c r="AV51" i="68"/>
  <c r="AV50" i="68"/>
  <c r="AV49" i="68"/>
  <c r="AV48" i="68"/>
  <c r="AV47" i="68"/>
  <c r="AV46" i="68"/>
  <c r="AV45" i="68"/>
  <c r="AV44" i="68"/>
  <c r="AV43" i="68"/>
  <c r="AV42" i="68"/>
  <c r="AV41" i="68"/>
  <c r="AV40" i="68"/>
  <c r="AV39" i="68"/>
  <c r="AV38" i="68"/>
  <c r="AV37" i="68"/>
  <c r="AV36" i="68"/>
  <c r="AV35" i="68"/>
  <c r="AV34" i="68"/>
  <c r="AV33" i="68"/>
  <c r="AV32" i="68"/>
  <c r="AV31" i="68"/>
  <c r="AV30" i="68"/>
  <c r="AV29" i="68"/>
  <c r="AV28" i="68"/>
  <c r="AV27" i="68"/>
  <c r="AV26" i="68"/>
  <c r="AV25" i="68"/>
  <c r="AV24" i="68"/>
  <c r="AV23" i="68"/>
  <c r="AV22" i="68"/>
  <c r="AV21" i="68"/>
  <c r="AV20" i="68"/>
  <c r="AV19" i="68"/>
  <c r="AV18" i="68"/>
  <c r="AV17" i="68"/>
  <c r="AV16" i="68"/>
  <c r="L16" i="68" a="1"/>
  <c r="L16" i="68" s="1"/>
  <c r="AV15" i="68"/>
  <c r="AV14" i="68"/>
  <c r="AV13" i="68"/>
  <c r="L13" i="68"/>
  <c r="AV12" i="68"/>
  <c r="L12" i="68"/>
  <c r="AV11" i="68"/>
  <c r="L11" i="68"/>
  <c r="AV10" i="68"/>
  <c r="L10" i="68"/>
  <c r="AV9" i="68"/>
  <c r="L9" i="68"/>
  <c r="AV8" i="68"/>
  <c r="L8" i="68"/>
  <c r="BC7" i="68"/>
  <c r="BC8" i="68" s="1"/>
  <c r="AV7" i="68"/>
  <c r="AF7" i="68"/>
  <c r="AF8" i="68" s="1"/>
  <c r="AF9" i="68" s="1"/>
  <c r="AF10" i="68" s="1"/>
  <c r="AF11" i="68" s="1"/>
  <c r="AF12" i="68" s="1"/>
  <c r="AF13" i="68" s="1"/>
  <c r="AF14" i="68" s="1"/>
  <c r="AF15" i="68" s="1"/>
  <c r="AF16" i="68" s="1"/>
  <c r="AF17" i="68" s="1"/>
  <c r="AF18" i="68" s="1"/>
  <c r="AF19" i="68" s="1"/>
  <c r="AF20" i="68" s="1"/>
  <c r="AF21" i="68" s="1"/>
  <c r="AF22" i="68" s="1"/>
  <c r="AF23" i="68" s="1"/>
  <c r="AF24" i="68" s="1"/>
  <c r="AF25" i="68" s="1"/>
  <c r="AF26" i="68" s="1"/>
  <c r="AF27" i="68" s="1"/>
  <c r="AF28" i="68" s="1"/>
  <c r="AF29" i="68" s="1"/>
  <c r="AF30" i="68" s="1"/>
  <c r="AF31" i="68" s="1"/>
  <c r="AF32" i="68" s="1"/>
  <c r="AF33" i="68" s="1"/>
  <c r="AF34" i="68" s="1"/>
  <c r="AF35" i="68" s="1"/>
  <c r="AF36" i="68" s="1"/>
  <c r="AF37" i="68" s="1"/>
  <c r="AF38" i="68" s="1"/>
  <c r="AF39" i="68" s="1"/>
  <c r="AF40" i="68" s="1"/>
  <c r="AF41" i="68" s="1"/>
  <c r="AF42" i="68" s="1"/>
  <c r="AF43" i="68" s="1"/>
  <c r="AF44" i="68" s="1"/>
  <c r="AF45" i="68" s="1"/>
  <c r="AF46" i="68" s="1"/>
  <c r="AF47" i="68" s="1"/>
  <c r="AF48" i="68" s="1"/>
  <c r="AF49" i="68" s="1"/>
  <c r="AF50" i="68" s="1"/>
  <c r="AF51" i="68" s="1"/>
  <c r="AF52" i="68" s="1"/>
  <c r="AF53" i="68" s="1"/>
  <c r="AF54" i="68" s="1"/>
  <c r="AL4" i="68"/>
  <c r="AL2" i="68" s="1"/>
  <c r="AK4" i="68"/>
  <c r="AK2" i="68" s="1"/>
  <c r="AJ4" i="68"/>
  <c r="AJ2" i="68" s="1"/>
  <c r="G3" i="68"/>
  <c r="E2" i="68"/>
  <c r="E3" i="68" s="1"/>
  <c r="A1" i="68"/>
  <c r="AK43" i="71"/>
  <c r="G53" i="70"/>
  <c r="AJ48" i="70"/>
  <c r="G11" i="70"/>
  <c r="AJ8" i="70"/>
  <c r="E27" i="71"/>
  <c r="E16" i="71"/>
  <c r="AJ47" i="70"/>
  <c r="AJ11" i="70"/>
  <c r="AK36" i="71"/>
  <c r="AL37" i="71"/>
  <c r="AJ35" i="70"/>
  <c r="G23" i="69"/>
  <c r="AJ37" i="70"/>
  <c r="AL12" i="71"/>
  <c r="AK20" i="71"/>
  <c r="G41" i="70"/>
  <c r="AK61" i="71"/>
  <c r="AJ18" i="70"/>
  <c r="AL19" i="71"/>
  <c r="E24" i="71"/>
  <c r="AL28" i="71"/>
  <c r="AJ28" i="70"/>
  <c r="AK39" i="71"/>
  <c r="AL49" i="71"/>
  <c r="E19" i="71"/>
  <c r="AJ43" i="70"/>
  <c r="E32" i="71"/>
  <c r="AJ58" i="70"/>
  <c r="E26" i="71"/>
  <c r="G26" i="70"/>
  <c r="E36" i="71"/>
  <c r="E33" i="71"/>
  <c r="AK33" i="71"/>
  <c r="AJ20" i="70"/>
  <c r="AK23" i="71"/>
  <c r="AL30" i="71"/>
  <c r="G35" i="70"/>
  <c r="G47" i="70"/>
  <c r="AL39" i="71"/>
  <c r="AL35" i="71"/>
  <c r="AL44" i="71"/>
  <c r="AJ7" i="69"/>
  <c r="AJ12" i="70"/>
  <c r="AK30" i="71"/>
  <c r="AJ36" i="70"/>
  <c r="AL23" i="71"/>
  <c r="AK19" i="71"/>
  <c r="AL14" i="71"/>
  <c r="AJ23" i="70"/>
  <c r="AK21" i="71"/>
  <c r="AJ33" i="70"/>
  <c r="AJ25" i="70"/>
  <c r="G51" i="70"/>
  <c r="AK41" i="71"/>
  <c r="G12" i="70"/>
  <c r="G30" i="70"/>
  <c r="AK7" i="71"/>
  <c r="G28" i="70"/>
  <c r="G52" i="70"/>
  <c r="AJ65" i="70"/>
  <c r="G44" i="70"/>
  <c r="AJ49" i="70"/>
  <c r="AL42" i="71"/>
  <c r="AJ19" i="70"/>
  <c r="E51" i="71"/>
  <c r="AJ59" i="70"/>
  <c r="AL41" i="71"/>
  <c r="E30" i="71"/>
  <c r="AJ9" i="70"/>
  <c r="AJ44" i="70"/>
  <c r="AK9" i="71"/>
  <c r="AK51" i="71"/>
  <c r="G27" i="70"/>
  <c r="E37" i="71"/>
  <c r="G32" i="70"/>
  <c r="AJ24" i="70"/>
  <c r="G48" i="70"/>
  <c r="AL36" i="71"/>
  <c r="AK10" i="71"/>
  <c r="AJ40" i="70"/>
  <c r="AL13" i="71"/>
  <c r="G21" i="70"/>
  <c r="AK16" i="71"/>
  <c r="AK52" i="71"/>
  <c r="AK11" i="71"/>
  <c r="E23" i="70"/>
  <c r="AJ64" i="70"/>
  <c r="AK45" i="71"/>
  <c r="G45" i="70"/>
  <c r="E46" i="71"/>
  <c r="AK48" i="71"/>
  <c r="E43" i="71"/>
  <c r="AK25" i="71"/>
  <c r="G19" i="70"/>
  <c r="AK42" i="71"/>
  <c r="AJ41" i="70"/>
  <c r="AJ62" i="70"/>
  <c r="AL24" i="71"/>
  <c r="AJ13" i="70"/>
  <c r="AK22" i="71"/>
  <c r="AJ54" i="70"/>
  <c r="AK15" i="71"/>
  <c r="AJ10" i="70"/>
  <c r="AJ51" i="70"/>
  <c r="G38" i="69"/>
  <c r="AJ56" i="70"/>
  <c r="AL45" i="71"/>
  <c r="E53" i="71"/>
  <c r="AJ38" i="70"/>
  <c r="AJ66" i="70"/>
  <c r="G61" i="70"/>
  <c r="AK8" i="71"/>
  <c r="AL17" i="71"/>
  <c r="AJ32" i="70"/>
  <c r="AL20" i="71"/>
  <c r="AJ27" i="70"/>
  <c r="G54" i="70"/>
  <c r="E29" i="71"/>
  <c r="E6" i="69"/>
  <c r="G29" i="70"/>
  <c r="AL16" i="71"/>
  <c r="E13" i="71"/>
  <c r="E28" i="71"/>
  <c r="E48" i="71"/>
  <c r="G43" i="70"/>
  <c r="AK18" i="71"/>
  <c r="E45" i="71"/>
  <c r="G38" i="70"/>
  <c r="AL21" i="71"/>
  <c r="AL29" i="71"/>
  <c r="AK49" i="71"/>
  <c r="AL25" i="71"/>
  <c r="AJ14" i="70"/>
  <c r="AJ63" i="70"/>
  <c r="AL32" i="71"/>
  <c r="E25" i="71"/>
  <c r="G49" i="70"/>
  <c r="AK53" i="71"/>
  <c r="AL15" i="71"/>
  <c r="AL50" i="71"/>
  <c r="AL61" i="71"/>
  <c r="AJ29" i="70"/>
  <c r="AK24" i="71"/>
  <c r="AL52" i="71"/>
  <c r="AJ7" i="70"/>
  <c r="AJ61" i="70"/>
  <c r="G37" i="70"/>
  <c r="AK37" i="71"/>
  <c r="E47" i="71"/>
  <c r="AJ67" i="70"/>
  <c r="E31" i="71"/>
  <c r="G9" i="70"/>
  <c r="AL48" i="71"/>
  <c r="G36" i="70"/>
  <c r="AJ60" i="70"/>
  <c r="E38" i="71"/>
  <c r="G13" i="70"/>
  <c r="AJ55" i="70"/>
  <c r="G33" i="70"/>
  <c r="AL53" i="71"/>
  <c r="E23" i="71"/>
  <c r="G15" i="70"/>
  <c r="AJ22" i="70"/>
  <c r="AK13" i="71"/>
  <c r="AL10" i="71"/>
  <c r="E42" i="71"/>
  <c r="AL8" i="71"/>
  <c r="AK31" i="71"/>
  <c r="G24" i="70"/>
  <c r="E22" i="71"/>
  <c r="AK29" i="71"/>
  <c r="E7" i="71"/>
  <c r="G50" i="70"/>
  <c r="AK40" i="71"/>
  <c r="E21" i="71"/>
  <c r="AJ45" i="70"/>
  <c r="AJ21" i="70"/>
  <c r="E61" i="71"/>
  <c r="AK32" i="71"/>
  <c r="G25" i="70"/>
  <c r="G10" i="70"/>
  <c r="G27" i="69"/>
  <c r="G22" i="70"/>
  <c r="AL46" i="71"/>
  <c r="E17" i="71"/>
  <c r="AL40" i="71"/>
  <c r="E34" i="71"/>
  <c r="G20" i="70"/>
  <c r="AJ15" i="70"/>
  <c r="G34" i="70"/>
  <c r="G31" i="70"/>
  <c r="E40" i="71"/>
  <c r="G14" i="70"/>
  <c r="AK44" i="71"/>
  <c r="AK35" i="71"/>
  <c r="AL47" i="71"/>
  <c r="AJ30" i="70"/>
  <c r="AL33" i="71"/>
  <c r="G17" i="70"/>
  <c r="G7" i="70"/>
  <c r="G18" i="70"/>
  <c r="E39" i="71"/>
  <c r="AJ52" i="70"/>
  <c r="AK46" i="71"/>
  <c r="AJ53" i="70"/>
  <c r="G40" i="70"/>
  <c r="AL26" i="71"/>
  <c r="AK27" i="71"/>
  <c r="AJ34" i="70"/>
  <c r="AL34" i="71"/>
  <c r="AK12" i="71"/>
  <c r="E52" i="71"/>
  <c r="E12" i="71"/>
  <c r="G16" i="70"/>
  <c r="G39" i="70"/>
  <c r="AJ31" i="70"/>
  <c r="AK14" i="71"/>
  <c r="G15" i="69"/>
  <c r="AL9" i="71"/>
  <c r="AL51" i="71"/>
  <c r="AJ57" i="70"/>
  <c r="AL27" i="71"/>
  <c r="AJ16" i="70"/>
  <c r="AJ17" i="70"/>
  <c r="G42" i="70"/>
  <c r="AJ39" i="70"/>
  <c r="G46" i="70"/>
  <c r="AK47" i="71"/>
  <c r="AL43" i="71"/>
  <c r="G8" i="70"/>
  <c r="AL31" i="71"/>
  <c r="AL7" i="71"/>
  <c r="E35" i="71"/>
  <c r="AL22" i="71"/>
  <c r="E44" i="71"/>
  <c r="AJ26" i="70"/>
  <c r="E49" i="71"/>
  <c r="E50" i="71"/>
  <c r="AK28" i="71"/>
  <c r="AL11" i="71"/>
  <c r="AJ46" i="70"/>
  <c r="AL18" i="71"/>
  <c r="AK50" i="71"/>
  <c r="AK34" i="71"/>
  <c r="AJ42" i="70"/>
  <c r="AK26" i="71"/>
  <c r="E15" i="71"/>
  <c r="AJ50" i="70"/>
  <c r="E20" i="71"/>
  <c r="E18" i="71"/>
  <c r="AK17" i="71"/>
  <c r="G31" i="69"/>
  <c r="AJ10" i="69"/>
  <c r="G26" i="69"/>
  <c r="AM17" i="71" l="1"/>
  <c r="AM26" i="71"/>
  <c r="AM34" i="71"/>
  <c r="AM50" i="71"/>
  <c r="AG18" i="71"/>
  <c r="AH18" i="71"/>
  <c r="AH11" i="71"/>
  <c r="AG11" i="71"/>
  <c r="AM28" i="71"/>
  <c r="AG22" i="71"/>
  <c r="AH22" i="71"/>
  <c r="AG7" i="71"/>
  <c r="AH7" i="71"/>
  <c r="AG31" i="71"/>
  <c r="AH31" i="71"/>
  <c r="AG43" i="71"/>
  <c r="AH43" i="71"/>
  <c r="AM47" i="71"/>
  <c r="AG27" i="71"/>
  <c r="AH27" i="71"/>
  <c r="AK57" i="70"/>
  <c r="AM57" i="70" s="1"/>
  <c r="AL57" i="70"/>
  <c r="AH51" i="71"/>
  <c r="AG51" i="71"/>
  <c r="AG9" i="71"/>
  <c r="AH9" i="71"/>
  <c r="AM14" i="71"/>
  <c r="AM12" i="71"/>
  <c r="AH34" i="71"/>
  <c r="AG34" i="71"/>
  <c r="AM27" i="71"/>
  <c r="AH26" i="71"/>
  <c r="AG26" i="71"/>
  <c r="AM46" i="71"/>
  <c r="AH33" i="71"/>
  <c r="AG33" i="71"/>
  <c r="AG47" i="71"/>
  <c r="AH47" i="71"/>
  <c r="AM35" i="71"/>
  <c r="AM44" i="71"/>
  <c r="AG40" i="71"/>
  <c r="AH40" i="71"/>
  <c r="AH46" i="71"/>
  <c r="AG46" i="71"/>
  <c r="AM32" i="71"/>
  <c r="AM40" i="71"/>
  <c r="U10" i="71"/>
  <c r="V10" i="71" s="1"/>
  <c r="U8" i="71"/>
  <c r="V8" i="71" s="1"/>
  <c r="R8" i="71"/>
  <c r="O10" i="71"/>
  <c r="R10" i="71"/>
  <c r="O16" i="71" a="1"/>
  <c r="O16" i="71" s="1"/>
  <c r="O12" i="71"/>
  <c r="O11" i="71"/>
  <c r="U11" i="71"/>
  <c r="V11" i="71" s="1"/>
  <c r="O8" i="71"/>
  <c r="AA8" i="71" s="1"/>
  <c r="O13" i="71"/>
  <c r="U13" i="71"/>
  <c r="V13" i="71" s="1"/>
  <c r="R16" i="71" a="1"/>
  <c r="R16" i="71" s="1"/>
  <c r="O9" i="71"/>
  <c r="U9" i="71"/>
  <c r="V9" i="71" s="1"/>
  <c r="U16" i="71" a="1"/>
  <c r="U16" i="71" s="1"/>
  <c r="R9" i="71"/>
  <c r="R11" i="71"/>
  <c r="R13" i="71"/>
  <c r="U12" i="71"/>
  <c r="V12" i="71" s="1"/>
  <c r="R12" i="71"/>
  <c r="AA12" i="71" s="1"/>
  <c r="AM29" i="71"/>
  <c r="AM31" i="71"/>
  <c r="AG8" i="71"/>
  <c r="AH8" i="71"/>
  <c r="AG10" i="71"/>
  <c r="AH10" i="71"/>
  <c r="AM13" i="71"/>
  <c r="AG53" i="71"/>
  <c r="AH53" i="71"/>
  <c r="AL55" i="70"/>
  <c r="AK55" i="70"/>
  <c r="AM55" i="70" s="1"/>
  <c r="AL60" i="70"/>
  <c r="AK60" i="70"/>
  <c r="AM60" i="70" s="1"/>
  <c r="AH48" i="71"/>
  <c r="AG48" i="71"/>
  <c r="AL67" i="70"/>
  <c r="AK67" i="70"/>
  <c r="AM67" i="70" s="1"/>
  <c r="AM37" i="71"/>
  <c r="AG52" i="71"/>
  <c r="AH52" i="71"/>
  <c r="AM24" i="71"/>
  <c r="AH61" i="71"/>
  <c r="AG61" i="71"/>
  <c r="AH50" i="71"/>
  <c r="AG50" i="71"/>
  <c r="AG15" i="71"/>
  <c r="AH15" i="71"/>
  <c r="AM53" i="71"/>
  <c r="AH32" i="71"/>
  <c r="AG32" i="71"/>
  <c r="AK63" i="70"/>
  <c r="AM63" i="70" s="1"/>
  <c r="AL63" i="70"/>
  <c r="AG25" i="71"/>
  <c r="AH25" i="71"/>
  <c r="AM49" i="71"/>
  <c r="AH29" i="71"/>
  <c r="AG29" i="71"/>
  <c r="AG21" i="71"/>
  <c r="AH21" i="71"/>
  <c r="AM18" i="71"/>
  <c r="AG16" i="71"/>
  <c r="AH16" i="71"/>
  <c r="AH20" i="71"/>
  <c r="AG20" i="71"/>
  <c r="AG17" i="71"/>
  <c r="AH17" i="71"/>
  <c r="AM8" i="71"/>
  <c r="AK66" i="70"/>
  <c r="AM66" i="70" s="1"/>
  <c r="AL66" i="70"/>
  <c r="AG45" i="71"/>
  <c r="AH45" i="71"/>
  <c r="AL56" i="70"/>
  <c r="AK56" i="70"/>
  <c r="AM56" i="70" s="1"/>
  <c r="AM15" i="71"/>
  <c r="AM22" i="71"/>
  <c r="AH24" i="71"/>
  <c r="AG24" i="71"/>
  <c r="AL62" i="70"/>
  <c r="AK62" i="70"/>
  <c r="AM62" i="70" s="1"/>
  <c r="AM42" i="71"/>
  <c r="AM25" i="71"/>
  <c r="AM48" i="71"/>
  <c r="AM45" i="71"/>
  <c r="AL64" i="70"/>
  <c r="AK64" i="70"/>
  <c r="AM64" i="70" s="1"/>
  <c r="AM11" i="71"/>
  <c r="AM52" i="71"/>
  <c r="AM16" i="71"/>
  <c r="AH13" i="71"/>
  <c r="AG13" i="71"/>
  <c r="AM10" i="71"/>
  <c r="AH36" i="71"/>
  <c r="AG36" i="71"/>
  <c r="AM51" i="71"/>
  <c r="AM9" i="71"/>
  <c r="AH41" i="71"/>
  <c r="AG41" i="71"/>
  <c r="AL59" i="70"/>
  <c r="AK59" i="70"/>
  <c r="AM59" i="70" s="1"/>
  <c r="AG42" i="71"/>
  <c r="AH42" i="71"/>
  <c r="AK65" i="70"/>
  <c r="AM65" i="70" s="1"/>
  <c r="AL65" i="70"/>
  <c r="AM7" i="71"/>
  <c r="AM41" i="71"/>
  <c r="AM21" i="71"/>
  <c r="AG14" i="71"/>
  <c r="AH14" i="71"/>
  <c r="AM19" i="71"/>
  <c r="AH23" i="71"/>
  <c r="AG23" i="71"/>
  <c r="AM30" i="71"/>
  <c r="AG44" i="71"/>
  <c r="AH44" i="71"/>
  <c r="AG35" i="71"/>
  <c r="AH35" i="71"/>
  <c r="AH39" i="71"/>
  <c r="AG39" i="71"/>
  <c r="AH30" i="71"/>
  <c r="AG30" i="71"/>
  <c r="AM23" i="71"/>
  <c r="AM33" i="71"/>
  <c r="AL58" i="70"/>
  <c r="AK58" i="70"/>
  <c r="AM58" i="70" s="1"/>
  <c r="AH49" i="71"/>
  <c r="AG49" i="71"/>
  <c r="AM39" i="71"/>
  <c r="AG28" i="71"/>
  <c r="AH28" i="71"/>
  <c r="AH19" i="71"/>
  <c r="AG19" i="71"/>
  <c r="AM61" i="71"/>
  <c r="AM20" i="71"/>
  <c r="AG12" i="71"/>
  <c r="AH12" i="71"/>
  <c r="AH37" i="71"/>
  <c r="AG37" i="71"/>
  <c r="AM36" i="71"/>
  <c r="AM43" i="71"/>
  <c r="BH32" i="85"/>
  <c r="BG32" i="85"/>
  <c r="BI32" i="85"/>
  <c r="BF32" i="85"/>
  <c r="BD33" i="85"/>
  <c r="BC34" i="85"/>
  <c r="BD32" i="84"/>
  <c r="BC33" i="84"/>
  <c r="BI31" i="84"/>
  <c r="BH31" i="84"/>
  <c r="BG31" i="84"/>
  <c r="BF31" i="84"/>
  <c r="BI28" i="83"/>
  <c r="BF28" i="83"/>
  <c r="BG28" i="83"/>
  <c r="BH28" i="83"/>
  <c r="BC30" i="83"/>
  <c r="BD29" i="83"/>
  <c r="P11" i="73"/>
  <c r="P8" i="73"/>
  <c r="O5" i="73"/>
  <c r="P14" i="73"/>
  <c r="P10" i="73"/>
  <c r="BF22" i="81"/>
  <c r="BI22" i="81"/>
  <c r="BH22" i="81"/>
  <c r="BG22" i="81"/>
  <c r="BC24" i="81"/>
  <c r="BD23" i="81"/>
  <c r="S9" i="73"/>
  <c r="S14" i="73"/>
  <c r="U5" i="73"/>
  <c r="S10" i="73"/>
  <c r="S11" i="73"/>
  <c r="R5" i="73"/>
  <c r="S12" i="73"/>
  <c r="P9" i="73"/>
  <c r="AA14" i="73"/>
  <c r="AA13" i="71"/>
  <c r="O14" i="71"/>
  <c r="P12" i="71" s="1"/>
  <c r="BH21" i="80"/>
  <c r="BG21" i="80"/>
  <c r="BI21" i="80"/>
  <c r="BF21" i="80"/>
  <c r="BD22" i="80"/>
  <c r="BC23" i="80"/>
  <c r="BC22" i="78"/>
  <c r="BD21" i="78"/>
  <c r="BI20" i="78"/>
  <c r="BH20" i="78"/>
  <c r="BG20" i="78"/>
  <c r="BF20" i="78"/>
  <c r="BH20" i="79"/>
  <c r="BG20" i="79"/>
  <c r="BF20" i="79"/>
  <c r="BI20" i="79"/>
  <c r="BD21" i="79"/>
  <c r="BC22" i="79"/>
  <c r="BG17" i="76"/>
  <c r="BF17" i="76"/>
  <c r="BI17" i="76"/>
  <c r="BH17" i="76"/>
  <c r="BC19" i="76"/>
  <c r="BD18" i="76"/>
  <c r="BC18" i="75"/>
  <c r="BD17" i="75"/>
  <c r="BI16" i="75"/>
  <c r="BF16" i="75"/>
  <c r="BG16" i="75"/>
  <c r="BH16" i="75"/>
  <c r="BH14" i="74"/>
  <c r="BG14" i="74"/>
  <c r="BF14" i="74"/>
  <c r="BI14" i="74"/>
  <c r="BD15" i="74"/>
  <c r="BC16" i="74"/>
  <c r="BG12" i="73"/>
  <c r="BH12" i="73"/>
  <c r="BF12" i="73"/>
  <c r="BI12" i="73"/>
  <c r="BC14" i="73"/>
  <c r="BD13" i="73"/>
  <c r="P13" i="71"/>
  <c r="BD11" i="71"/>
  <c r="BC12" i="71"/>
  <c r="BF10" i="71"/>
  <c r="BG10" i="71"/>
  <c r="BI10" i="71"/>
  <c r="BH10" i="71"/>
  <c r="S13" i="71"/>
  <c r="AY62" i="69"/>
  <c r="AY44" i="69"/>
  <c r="BD8" i="70"/>
  <c r="BG8" i="70" s="1"/>
  <c r="AW8" i="68"/>
  <c r="BD7" i="70"/>
  <c r="BC10" i="70"/>
  <c r="BD9" i="70"/>
  <c r="AY11" i="69"/>
  <c r="AY19" i="69"/>
  <c r="AY49" i="69"/>
  <c r="AY10" i="69"/>
  <c r="AY48" i="69"/>
  <c r="AY43" i="69"/>
  <c r="AY31" i="69"/>
  <c r="AY13" i="69"/>
  <c r="AY42" i="69"/>
  <c r="AY35" i="69"/>
  <c r="AY63" i="69"/>
  <c r="AY57" i="69"/>
  <c r="AY50" i="69"/>
  <c r="AY45" i="69"/>
  <c r="AY37" i="69"/>
  <c r="AY29" i="69"/>
  <c r="AY30" i="69"/>
  <c r="AY46" i="69"/>
  <c r="AY26" i="69"/>
  <c r="AY54" i="69"/>
  <c r="AY7" i="69"/>
  <c r="AY27" i="69"/>
  <c r="AY15" i="69"/>
  <c r="AY9" i="69"/>
  <c r="L5" i="69"/>
  <c r="M14" i="69"/>
  <c r="M10" i="69"/>
  <c r="M12" i="69"/>
  <c r="AY59" i="69"/>
  <c r="AY14" i="69"/>
  <c r="AY32" i="69"/>
  <c r="Y14" i="69"/>
  <c r="AY61" i="69"/>
  <c r="AY21" i="69"/>
  <c r="C77" i="69"/>
  <c r="BC10" i="69"/>
  <c r="AY23" i="69"/>
  <c r="AY36" i="69"/>
  <c r="AY56" i="69"/>
  <c r="M13" i="69"/>
  <c r="AY53" i="69"/>
  <c r="AY60" i="69"/>
  <c r="AY39" i="69"/>
  <c r="AY34" i="69"/>
  <c r="AY52" i="69"/>
  <c r="AY38" i="69"/>
  <c r="AY18" i="69"/>
  <c r="AY25" i="69"/>
  <c r="AY22" i="69"/>
  <c r="AY55" i="69"/>
  <c r="AY12" i="69"/>
  <c r="AY17" i="69"/>
  <c r="AY16" i="69"/>
  <c r="AY51" i="69"/>
  <c r="M11" i="69"/>
  <c r="AY41" i="69"/>
  <c r="AY33" i="69"/>
  <c r="M8" i="69"/>
  <c r="AY20" i="69"/>
  <c r="AY8" i="69"/>
  <c r="AY24" i="69"/>
  <c r="AY28" i="69"/>
  <c r="AY40" i="69"/>
  <c r="AY47" i="69"/>
  <c r="AY58" i="69"/>
  <c r="M9" i="69"/>
  <c r="BC9" i="68"/>
  <c r="AW10" i="68"/>
  <c r="AX10" i="68" s="1"/>
  <c r="AW54" i="68"/>
  <c r="AX54" i="68" s="1"/>
  <c r="AW52" i="68"/>
  <c r="AX52" i="68" s="1"/>
  <c r="AW50" i="68"/>
  <c r="AX50" i="68" s="1"/>
  <c r="AW48" i="68"/>
  <c r="AX48" i="68" s="1"/>
  <c r="AW44" i="68"/>
  <c r="AX44" i="68" s="1"/>
  <c r="AW47" i="68"/>
  <c r="AX47" i="68" s="1"/>
  <c r="AW46" i="68"/>
  <c r="AW36" i="68"/>
  <c r="AX36" i="68" s="1"/>
  <c r="AW31" i="68"/>
  <c r="AX31" i="68" s="1"/>
  <c r="AW61" i="68"/>
  <c r="AX61" i="68" s="1"/>
  <c r="AW38" i="68"/>
  <c r="AX38" i="68" s="1"/>
  <c r="AW59" i="68"/>
  <c r="AX59" i="68" s="1"/>
  <c r="AW33" i="68"/>
  <c r="AX33" i="68" s="1"/>
  <c r="AW62" i="68"/>
  <c r="AX62" i="68" s="1"/>
  <c r="AW40" i="68"/>
  <c r="AX40" i="68" s="1"/>
  <c r="AW30" i="68"/>
  <c r="AX30" i="68" s="1"/>
  <c r="AW29" i="68"/>
  <c r="AX29" i="68" s="1"/>
  <c r="AW26" i="68"/>
  <c r="AX26" i="68" s="1"/>
  <c r="AW24" i="68"/>
  <c r="AW22" i="68"/>
  <c r="AX22" i="68" s="1"/>
  <c r="AW20" i="68"/>
  <c r="AX20" i="68" s="1"/>
  <c r="AW7" i="68"/>
  <c r="AW9" i="68"/>
  <c r="AX9" i="68" s="1"/>
  <c r="AW11" i="68"/>
  <c r="AX11" i="68" s="1"/>
  <c r="AW16" i="68"/>
  <c r="AX16" i="68" s="1"/>
  <c r="AW18" i="68"/>
  <c r="AX18" i="68" s="1"/>
  <c r="AW19" i="68"/>
  <c r="AX19" i="68" s="1"/>
  <c r="AX7" i="68"/>
  <c r="AW12" i="68"/>
  <c r="AX12" i="68" s="1"/>
  <c r="AW15" i="68"/>
  <c r="AX15" i="68" s="1"/>
  <c r="L14" i="68"/>
  <c r="C77" i="68" s="1"/>
  <c r="AW14" i="68"/>
  <c r="AX14" i="68" s="1"/>
  <c r="AX8" i="68"/>
  <c r="AW17" i="68"/>
  <c r="AX17" i="68" s="1"/>
  <c r="AX24" i="68"/>
  <c r="AW39" i="68"/>
  <c r="AX39" i="68" s="1"/>
  <c r="AW34" i="68"/>
  <c r="AX34" i="68" s="1"/>
  <c r="AW63" i="68"/>
  <c r="AX63" i="68" s="1"/>
  <c r="AW21" i="68"/>
  <c r="AX21" i="68" s="1"/>
  <c r="AW23" i="68"/>
  <c r="AX23" i="68" s="1"/>
  <c r="AW25" i="68"/>
  <c r="AX25" i="68" s="1"/>
  <c r="AW27" i="68"/>
  <c r="AX27" i="68" s="1"/>
  <c r="AW35" i="68"/>
  <c r="AX35" i="68" s="1"/>
  <c r="AW13" i="68"/>
  <c r="AX13" i="68" s="1"/>
  <c r="AW32" i="68"/>
  <c r="AX32" i="68" s="1"/>
  <c r="AW37" i="68"/>
  <c r="AX37" i="68" s="1"/>
  <c r="AW43" i="68"/>
  <c r="AX43" i="68" s="1"/>
  <c r="AW28" i="68"/>
  <c r="AX28" i="68" s="1"/>
  <c r="AW42" i="68"/>
  <c r="AX42" i="68" s="1"/>
  <c r="AW49" i="68"/>
  <c r="AX49" i="68" s="1"/>
  <c r="AW53" i="68"/>
  <c r="AX53" i="68" s="1"/>
  <c r="AW55" i="68"/>
  <c r="AX55" i="68" s="1"/>
  <c r="AW57" i="68"/>
  <c r="AX57" i="68" s="1"/>
  <c r="AW41" i="68"/>
  <c r="AX41" i="68" s="1"/>
  <c r="AW51" i="68"/>
  <c r="AX51" i="68" s="1"/>
  <c r="AX46" i="68"/>
  <c r="AW56" i="68"/>
  <c r="AX56" i="68" s="1"/>
  <c r="AW45" i="68"/>
  <c r="AX45" i="68" s="1"/>
  <c r="AW58" i="68"/>
  <c r="AX58" i="68" s="1"/>
  <c r="AW60" i="68"/>
  <c r="AX60" i="68" s="1"/>
  <c r="BL62" i="5"/>
  <c r="BK62" i="5"/>
  <c r="BJ62" i="5"/>
  <c r="BL61" i="5"/>
  <c r="BL63" i="5" s="1"/>
  <c r="BK61" i="5"/>
  <c r="BK63" i="5" s="1"/>
  <c r="BJ61" i="5"/>
  <c r="BJ63" i="5" s="1"/>
  <c r="BM57" i="5"/>
  <c r="BL57" i="5"/>
  <c r="BK57" i="5"/>
  <c r="BJ57" i="5"/>
  <c r="BM56" i="5"/>
  <c r="BL56" i="5"/>
  <c r="BK56" i="5"/>
  <c r="BK58" i="5" s="1"/>
  <c r="BJ56" i="5"/>
  <c r="BM47" i="5"/>
  <c r="BL47" i="5"/>
  <c r="BK47" i="5"/>
  <c r="BJ47" i="5"/>
  <c r="BM46" i="5"/>
  <c r="BL46" i="5"/>
  <c r="BL52" i="5" s="1"/>
  <c r="BK46" i="5"/>
  <c r="BK52" i="5" s="1"/>
  <c r="BJ46" i="5"/>
  <c r="BJ52" i="5" s="1"/>
  <c r="BM45" i="5"/>
  <c r="BL45" i="5"/>
  <c r="BK45" i="5"/>
  <c r="BJ45" i="5"/>
  <c r="BM44" i="5"/>
  <c r="BL44" i="5"/>
  <c r="BL51" i="5" s="1"/>
  <c r="BL53" i="5" s="1"/>
  <c r="BK44" i="5"/>
  <c r="BK51" i="5" s="1"/>
  <c r="BK53" i="5" s="1"/>
  <c r="BJ44" i="5"/>
  <c r="BJ51" i="5" s="1"/>
  <c r="BJ53" i="5" s="1"/>
  <c r="BM43" i="5"/>
  <c r="BL43" i="5"/>
  <c r="BK43" i="5"/>
  <c r="BJ43" i="5"/>
  <c r="BM42" i="5"/>
  <c r="BL42" i="5"/>
  <c r="BL50" i="5" s="1"/>
  <c r="BK42" i="5"/>
  <c r="BK50" i="5" s="1"/>
  <c r="BJ42" i="5"/>
  <c r="BJ50" i="5" s="1"/>
  <c r="BM40" i="5"/>
  <c r="BL40" i="5"/>
  <c r="BK40" i="5"/>
  <c r="BJ40" i="5"/>
  <c r="CA31" i="7"/>
  <c r="CA21" i="7"/>
  <c r="CA11" i="7"/>
  <c r="CA7" i="7"/>
  <c r="AL30" i="70"/>
  <c r="AK30" i="70"/>
  <c r="AL8" i="70"/>
  <c r="AL10" i="70"/>
  <c r="AK12" i="70"/>
  <c r="AK10" i="70"/>
  <c r="AL12" i="70"/>
  <c r="AK8" i="70"/>
  <c r="R14" i="71" l="1"/>
  <c r="S9" i="71" s="1"/>
  <c r="AM8" i="70"/>
  <c r="AH12" i="70"/>
  <c r="AG12" i="70"/>
  <c r="AM10" i="70"/>
  <c r="AM12" i="70"/>
  <c r="AG10" i="70"/>
  <c r="AH10" i="70"/>
  <c r="AH8" i="70"/>
  <c r="AG8" i="70"/>
  <c r="AM30" i="70"/>
  <c r="AH30" i="70"/>
  <c r="AG30" i="70"/>
  <c r="AA9" i="71"/>
  <c r="AA11" i="71"/>
  <c r="AA14" i="71" s="1"/>
  <c r="U14" i="71"/>
  <c r="U5" i="71" s="1"/>
  <c r="AA10" i="71"/>
  <c r="BM50" i="5"/>
  <c r="R11" i="9" s="1"/>
  <c r="BM58" i="5"/>
  <c r="BM52" i="5"/>
  <c r="R13" i="9" s="1"/>
  <c r="P11" i="71"/>
  <c r="O5" i="71"/>
  <c r="BD34" i="85"/>
  <c r="BC35" i="85"/>
  <c r="BI33" i="85"/>
  <c r="BH33" i="85"/>
  <c r="BG33" i="85"/>
  <c r="BF33" i="85"/>
  <c r="BC34" i="84"/>
  <c r="BD33" i="84"/>
  <c r="BF32" i="84"/>
  <c r="BI32" i="84"/>
  <c r="BH32" i="84"/>
  <c r="BG32" i="84"/>
  <c r="BH29" i="83"/>
  <c r="BI29" i="83"/>
  <c r="BG29" i="83"/>
  <c r="BF29" i="83"/>
  <c r="BD30" i="83"/>
  <c r="BC31" i="83"/>
  <c r="BC25" i="81"/>
  <c r="BD24" i="81"/>
  <c r="BG23" i="81"/>
  <c r="BF23" i="81"/>
  <c r="BI23" i="81"/>
  <c r="BH23" i="81"/>
  <c r="S11" i="71"/>
  <c r="V14" i="71"/>
  <c r="P10" i="71"/>
  <c r="P14" i="71"/>
  <c r="P8" i="71"/>
  <c r="P9" i="71"/>
  <c r="R5" i="71"/>
  <c r="S8" i="71"/>
  <c r="S14" i="71"/>
  <c r="S12" i="71"/>
  <c r="S10" i="71"/>
  <c r="BC24" i="80"/>
  <c r="BD23" i="80"/>
  <c r="BI22" i="80"/>
  <c r="BH22" i="80"/>
  <c r="BG22" i="80"/>
  <c r="BF22" i="80"/>
  <c r="BM51" i="5"/>
  <c r="R12" i="9" s="1"/>
  <c r="BF21" i="78"/>
  <c r="BH21" i="78"/>
  <c r="BG21" i="78"/>
  <c r="BI21" i="78"/>
  <c r="BC23" i="78"/>
  <c r="BD22" i="78"/>
  <c r="BC23" i="79"/>
  <c r="BD22" i="79"/>
  <c r="BI21" i="79"/>
  <c r="BH21" i="79"/>
  <c r="BG21" i="79"/>
  <c r="BF21" i="79"/>
  <c r="BD9" i="69"/>
  <c r="BF9" i="69" s="1"/>
  <c r="BH18" i="76"/>
  <c r="BG18" i="76"/>
  <c r="BI18" i="76"/>
  <c r="BF18" i="76"/>
  <c r="BD19" i="76"/>
  <c r="BC20" i="76"/>
  <c r="BF17" i="75"/>
  <c r="BH17" i="75"/>
  <c r="BG17" i="75"/>
  <c r="BI17" i="75"/>
  <c r="BD18" i="75"/>
  <c r="BC19" i="75"/>
  <c r="BD16" i="74"/>
  <c r="BC17" i="74"/>
  <c r="BI15" i="74"/>
  <c r="BH15" i="74"/>
  <c r="BG15" i="74"/>
  <c r="BF15" i="74"/>
  <c r="BJ58" i="5"/>
  <c r="BM61" i="5"/>
  <c r="BM62" i="5"/>
  <c r="R12" i="10" s="1"/>
  <c r="BG13" i="73"/>
  <c r="BF13" i="73"/>
  <c r="BI13" i="73"/>
  <c r="BH13" i="73"/>
  <c r="BC15" i="73"/>
  <c r="BD14" i="73"/>
  <c r="BF11" i="71"/>
  <c r="BI11" i="71"/>
  <c r="BH11" i="71"/>
  <c r="BG11" i="71"/>
  <c r="BD12" i="71"/>
  <c r="BC13" i="71"/>
  <c r="BI8" i="70"/>
  <c r="BF8" i="70"/>
  <c r="BH8" i="70"/>
  <c r="AY37" i="68"/>
  <c r="BG9" i="70"/>
  <c r="BI9" i="70"/>
  <c r="BH9" i="70"/>
  <c r="BF9" i="70"/>
  <c r="BC11" i="70"/>
  <c r="BD10" i="70"/>
  <c r="BG7" i="70"/>
  <c r="BF7" i="70"/>
  <c r="BI7" i="70"/>
  <c r="BH7" i="70"/>
  <c r="BG9" i="69"/>
  <c r="BD7" i="69"/>
  <c r="BD8" i="69"/>
  <c r="BD10" i="69"/>
  <c r="BC11" i="69"/>
  <c r="M13" i="68"/>
  <c r="AY47" i="68"/>
  <c r="AY57" i="68"/>
  <c r="AY42" i="68"/>
  <c r="AY39" i="68"/>
  <c r="AY15" i="68"/>
  <c r="AY51" i="68"/>
  <c r="AY55" i="68"/>
  <c r="AY19" i="68"/>
  <c r="AY59" i="68"/>
  <c r="AY10" i="68"/>
  <c r="AY43" i="68"/>
  <c r="AY63" i="68"/>
  <c r="AY9" i="68"/>
  <c r="AY58" i="68"/>
  <c r="AY60" i="68"/>
  <c r="AY62" i="68"/>
  <c r="AY50" i="68"/>
  <c r="AY49" i="68"/>
  <c r="AY28" i="68"/>
  <c r="AY25" i="68"/>
  <c r="AY30" i="68"/>
  <c r="AY20" i="68"/>
  <c r="AY8" i="68"/>
  <c r="AY11" i="68"/>
  <c r="M11" i="68"/>
  <c r="AY26" i="68"/>
  <c r="AY61" i="68"/>
  <c r="AY52" i="68"/>
  <c r="M8" i="68"/>
  <c r="AY56" i="68"/>
  <c r="AY41" i="68"/>
  <c r="AY32" i="68"/>
  <c r="AY23" i="68"/>
  <c r="AY34" i="68"/>
  <c r="AY17" i="68"/>
  <c r="AY14" i="68"/>
  <c r="AY33" i="68"/>
  <c r="AY31" i="68"/>
  <c r="AY44" i="68"/>
  <c r="AY46" i="68"/>
  <c r="AY38" i="68"/>
  <c r="AY53" i="68"/>
  <c r="AY29" i="68"/>
  <c r="AY21" i="68"/>
  <c r="AY35" i="68"/>
  <c r="AY24" i="68"/>
  <c r="M14" i="68"/>
  <c r="Y14" i="68"/>
  <c r="L5" i="68"/>
  <c r="AY12" i="68"/>
  <c r="AY7" i="68"/>
  <c r="AY16" i="68"/>
  <c r="AY22" i="68"/>
  <c r="AY36" i="68"/>
  <c r="AY48" i="68"/>
  <c r="BC10" i="68"/>
  <c r="AY45" i="68"/>
  <c r="AY54" i="68"/>
  <c r="AY27" i="68"/>
  <c r="AY13" i="68"/>
  <c r="M12" i="68"/>
  <c r="AY18" i="68"/>
  <c r="M9" i="68"/>
  <c r="AY40" i="68"/>
  <c r="M10" i="68"/>
  <c r="R11" i="10"/>
  <c r="BM53" i="5"/>
  <c r="BL58" i="5"/>
  <c r="C68" i="66"/>
  <c r="B68" i="66" s="1"/>
  <c r="AH67" i="66"/>
  <c r="AG67" i="66"/>
  <c r="AF67" i="66"/>
  <c r="AH66" i="66"/>
  <c r="AG66" i="66"/>
  <c r="AF66" i="66"/>
  <c r="AH65" i="66"/>
  <c r="AG65" i="66"/>
  <c r="AF65" i="66"/>
  <c r="AH64" i="66"/>
  <c r="AG64" i="66"/>
  <c r="AF64" i="66"/>
  <c r="AV63" i="66"/>
  <c r="AH63" i="66"/>
  <c r="AG63" i="66"/>
  <c r="AF63" i="66"/>
  <c r="AV62" i="66"/>
  <c r="AH62" i="66"/>
  <c r="AG62" i="66"/>
  <c r="AF62" i="66"/>
  <c r="AV61" i="66"/>
  <c r="AV60" i="66"/>
  <c r="AH60" i="66"/>
  <c r="AG60" i="66"/>
  <c r="AF60" i="66"/>
  <c r="AF61" i="66" s="1"/>
  <c r="G60" i="66"/>
  <c r="E60" i="66" s="1"/>
  <c r="AV59" i="66"/>
  <c r="AH59" i="66"/>
  <c r="AG59" i="66"/>
  <c r="AF59" i="66"/>
  <c r="G59" i="66"/>
  <c r="E59" i="66" s="1"/>
  <c r="AV58" i="66"/>
  <c r="AH58" i="66"/>
  <c r="AG58" i="66"/>
  <c r="AF58" i="66"/>
  <c r="G58" i="66"/>
  <c r="AV57" i="66"/>
  <c r="AH57" i="66"/>
  <c r="AG57" i="66"/>
  <c r="AF57" i="66"/>
  <c r="G57" i="66"/>
  <c r="AV56" i="66"/>
  <c r="AH56" i="66"/>
  <c r="AG56" i="66"/>
  <c r="AF56" i="66"/>
  <c r="G56" i="66"/>
  <c r="AV55" i="66"/>
  <c r="AV54" i="66"/>
  <c r="AV53" i="66"/>
  <c r="AV52" i="66"/>
  <c r="AV51" i="66"/>
  <c r="AV50" i="66"/>
  <c r="AV49" i="66"/>
  <c r="AV48" i="66"/>
  <c r="AV47" i="66"/>
  <c r="AV46" i="66"/>
  <c r="AV45" i="66"/>
  <c r="AV44" i="66"/>
  <c r="AV43" i="66"/>
  <c r="AV42" i="66"/>
  <c r="AV41" i="66"/>
  <c r="AV40" i="66"/>
  <c r="AV39" i="66"/>
  <c r="AV38" i="66"/>
  <c r="AV37" i="66"/>
  <c r="AV36" i="66"/>
  <c r="AV35" i="66"/>
  <c r="AV34" i="66"/>
  <c r="AV33" i="66"/>
  <c r="AV32" i="66"/>
  <c r="AV31" i="66"/>
  <c r="AV30" i="66"/>
  <c r="AV29" i="66"/>
  <c r="AV28" i="66"/>
  <c r="AV27" i="66"/>
  <c r="AV26" i="66"/>
  <c r="AV25" i="66"/>
  <c r="AV24" i="66"/>
  <c r="AV23" i="66"/>
  <c r="AV22" i="66"/>
  <c r="AV21" i="66"/>
  <c r="AV20" i="66"/>
  <c r="AV19" i="66"/>
  <c r="AV18" i="66"/>
  <c r="AV17" i="66"/>
  <c r="AV16" i="66"/>
  <c r="L16" i="66" a="1"/>
  <c r="L16" i="66" s="1"/>
  <c r="AV15" i="66"/>
  <c r="AV14" i="66"/>
  <c r="AV13" i="66"/>
  <c r="L13" i="66"/>
  <c r="AV12" i="66"/>
  <c r="L12" i="66"/>
  <c r="AV11" i="66"/>
  <c r="L11" i="66"/>
  <c r="AV10" i="66"/>
  <c r="L10" i="66"/>
  <c r="AV9" i="66"/>
  <c r="L9" i="66"/>
  <c r="AV8" i="66"/>
  <c r="L8" i="66"/>
  <c r="BC7" i="66"/>
  <c r="BC8" i="66" s="1"/>
  <c r="BC9" i="66" s="1"/>
  <c r="BC10" i="66" s="1"/>
  <c r="BC11" i="66" s="1"/>
  <c r="AV7" i="66"/>
  <c r="AW7" i="66" s="1"/>
  <c r="AF7" i="66"/>
  <c r="AF8" i="66" s="1"/>
  <c r="AF9" i="66" s="1"/>
  <c r="AF10" i="66" s="1"/>
  <c r="AF11" i="66" s="1"/>
  <c r="AF12" i="66" s="1"/>
  <c r="AF13" i="66" s="1"/>
  <c r="AF14" i="66" s="1"/>
  <c r="AF15" i="66" s="1"/>
  <c r="AF16" i="66" s="1"/>
  <c r="AF17" i="66" s="1"/>
  <c r="AF18" i="66" s="1"/>
  <c r="AF19" i="66" s="1"/>
  <c r="AF20" i="66" s="1"/>
  <c r="AF21" i="66" s="1"/>
  <c r="AF22" i="66" s="1"/>
  <c r="AF23" i="66" s="1"/>
  <c r="AF24" i="66" s="1"/>
  <c r="AF25" i="66" s="1"/>
  <c r="AF26" i="66" s="1"/>
  <c r="AF27" i="66" s="1"/>
  <c r="AF28" i="66" s="1"/>
  <c r="AF29" i="66" s="1"/>
  <c r="AF30" i="66" s="1"/>
  <c r="AF31" i="66" s="1"/>
  <c r="AF32" i="66" s="1"/>
  <c r="AF33" i="66" s="1"/>
  <c r="AF34" i="66" s="1"/>
  <c r="AF35" i="66" s="1"/>
  <c r="AF36" i="66" s="1"/>
  <c r="AF37" i="66" s="1"/>
  <c r="AF38" i="66" s="1"/>
  <c r="AF39" i="66" s="1"/>
  <c r="AF40" i="66" s="1"/>
  <c r="AF41" i="66" s="1"/>
  <c r="AF42" i="66" s="1"/>
  <c r="AF43" i="66" s="1"/>
  <c r="AF44" i="66" s="1"/>
  <c r="AF45" i="66" s="1"/>
  <c r="AF46" i="66" s="1"/>
  <c r="AF47" i="66" s="1"/>
  <c r="AF48" i="66" s="1"/>
  <c r="AF49" i="66" s="1"/>
  <c r="AF50" i="66" s="1"/>
  <c r="AF51" i="66" s="1"/>
  <c r="AF52" i="66" s="1"/>
  <c r="AF53" i="66" s="1"/>
  <c r="AF54" i="66" s="1"/>
  <c r="AF55" i="66" s="1"/>
  <c r="AL4" i="66"/>
  <c r="AL2" i="66" s="1"/>
  <c r="AK4" i="66"/>
  <c r="AK2" i="66" s="1"/>
  <c r="AJ4" i="66"/>
  <c r="AJ2" i="66" s="1"/>
  <c r="G3" i="66"/>
  <c r="E2" i="66"/>
  <c r="E3" i="66" s="1"/>
  <c r="A1" i="66"/>
  <c r="R14" i="9" l="1"/>
  <c r="BD35" i="85"/>
  <c r="BC36" i="85"/>
  <c r="BH34" i="85"/>
  <c r="BF34" i="85"/>
  <c r="BI34" i="85"/>
  <c r="BG34" i="85"/>
  <c r="BG33" i="84"/>
  <c r="BF33" i="84"/>
  <c r="BI33" i="84"/>
  <c r="BH33" i="84"/>
  <c r="BC35" i="84"/>
  <c r="BD34" i="84"/>
  <c r="BG30" i="83"/>
  <c r="BH30" i="83"/>
  <c r="BI30" i="83"/>
  <c r="BF30" i="83"/>
  <c r="BC32" i="83"/>
  <c r="BD31" i="83"/>
  <c r="BH24" i="81"/>
  <c r="BG24" i="81"/>
  <c r="BF24" i="81"/>
  <c r="BI24" i="81"/>
  <c r="BD25" i="81"/>
  <c r="BC26" i="81"/>
  <c r="BH9" i="69"/>
  <c r="BI9" i="69"/>
  <c r="BG23" i="80"/>
  <c r="BF23" i="80"/>
  <c r="BI23" i="80"/>
  <c r="BH23" i="80"/>
  <c r="BC25" i="80"/>
  <c r="BD24" i="80"/>
  <c r="BG22" i="78"/>
  <c r="BI22" i="78"/>
  <c r="BF22" i="78"/>
  <c r="BH22" i="78"/>
  <c r="BC24" i="78"/>
  <c r="BD23" i="78"/>
  <c r="BF22" i="79"/>
  <c r="BI22" i="79"/>
  <c r="BG22" i="79"/>
  <c r="BH22" i="79"/>
  <c r="BC24" i="79"/>
  <c r="BD23" i="79"/>
  <c r="BC21" i="76"/>
  <c r="BD20" i="76"/>
  <c r="BI19" i="76"/>
  <c r="BH19" i="76"/>
  <c r="BG19" i="76"/>
  <c r="BF19" i="76"/>
  <c r="BD19" i="75"/>
  <c r="BC20" i="75"/>
  <c r="BI18" i="75"/>
  <c r="BG18" i="75"/>
  <c r="BH18" i="75"/>
  <c r="BF18" i="75"/>
  <c r="BC18" i="74"/>
  <c r="BD17" i="74"/>
  <c r="BI16" i="74"/>
  <c r="BG16" i="74"/>
  <c r="BH16" i="74"/>
  <c r="BF16" i="74"/>
  <c r="BF14" i="73"/>
  <c r="BI14" i="73"/>
  <c r="BG14" i="73"/>
  <c r="BH14" i="73"/>
  <c r="BC16" i="73"/>
  <c r="BD15" i="73"/>
  <c r="BC14" i="71"/>
  <c r="BD13" i="71"/>
  <c r="BF12" i="71"/>
  <c r="BG12" i="71"/>
  <c r="BI12" i="71"/>
  <c r="BH12" i="71"/>
  <c r="AW8" i="66"/>
  <c r="R14" i="10"/>
  <c r="R13" i="10" s="1"/>
  <c r="BG10" i="70"/>
  <c r="BF10" i="70"/>
  <c r="BI10" i="70"/>
  <c r="BH10" i="70"/>
  <c r="BD11" i="70"/>
  <c r="BC12" i="70"/>
  <c r="BG7" i="69"/>
  <c r="BH7" i="69"/>
  <c r="BI7" i="69"/>
  <c r="BF7" i="69"/>
  <c r="BG8" i="69"/>
  <c r="BF8" i="69"/>
  <c r="BI8" i="69"/>
  <c r="BH8" i="69"/>
  <c r="BC12" i="69"/>
  <c r="BD11" i="69"/>
  <c r="BG10" i="69"/>
  <c r="BF10" i="69"/>
  <c r="BH10" i="69"/>
  <c r="BI10" i="69"/>
  <c r="BD10" i="68"/>
  <c r="BC11" i="68"/>
  <c r="BD8" i="68"/>
  <c r="BD7" i="68"/>
  <c r="BD9" i="68"/>
  <c r="AW9" i="66"/>
  <c r="BM63" i="5"/>
  <c r="AW11" i="66"/>
  <c r="AX11" i="66" s="1"/>
  <c r="AW15" i="66"/>
  <c r="AX15" i="66" s="1"/>
  <c r="AW13" i="66"/>
  <c r="AX13" i="66" s="1"/>
  <c r="BC12" i="66"/>
  <c r="AW18" i="66"/>
  <c r="AX18" i="66" s="1"/>
  <c r="AW22" i="66"/>
  <c r="AX22" i="66" s="1"/>
  <c r="AW34" i="66"/>
  <c r="AX34" i="66" s="1"/>
  <c r="AW16" i="66"/>
  <c r="AX16" i="66" s="1"/>
  <c r="AW20" i="66"/>
  <c r="AX20" i="66" s="1"/>
  <c r="AX8" i="66"/>
  <c r="AX9" i="66"/>
  <c r="AW10" i="66"/>
  <c r="AX10" i="66" s="1"/>
  <c r="AW57" i="66"/>
  <c r="AX57" i="66" s="1"/>
  <c r="AW24" i="66"/>
  <c r="AX24" i="66" s="1"/>
  <c r="AW26" i="66"/>
  <c r="AX26" i="66" s="1"/>
  <c r="AW28" i="66"/>
  <c r="AX28" i="66" s="1"/>
  <c r="AW30" i="66"/>
  <c r="AX30" i="66" s="1"/>
  <c r="AW32" i="66"/>
  <c r="AX32" i="66" s="1"/>
  <c r="AW45" i="66"/>
  <c r="AX45" i="66" s="1"/>
  <c r="AW47" i="66"/>
  <c r="AX47" i="66" s="1"/>
  <c r="AW49" i="66"/>
  <c r="AX49" i="66" s="1"/>
  <c r="AW51" i="66"/>
  <c r="AX51" i="66" s="1"/>
  <c r="AW53" i="66"/>
  <c r="AX53" i="66" s="1"/>
  <c r="AW55" i="66"/>
  <c r="AX55" i="66" s="1"/>
  <c r="AX7" i="66"/>
  <c r="AW12" i="66"/>
  <c r="AX12" i="66" s="1"/>
  <c r="AW35" i="66"/>
  <c r="AX35" i="66" s="1"/>
  <c r="AW38" i="66"/>
  <c r="AX38" i="66" s="1"/>
  <c r="AW42" i="66"/>
  <c r="AX42" i="66" s="1"/>
  <c r="AW62" i="66"/>
  <c r="AX62" i="66" s="1"/>
  <c r="AW60" i="66"/>
  <c r="AX60" i="66" s="1"/>
  <c r="AW56" i="66"/>
  <c r="AX56" i="66" s="1"/>
  <c r="AW43" i="66"/>
  <c r="AX43" i="66" s="1"/>
  <c r="AW41" i="66"/>
  <c r="AX41" i="66" s="1"/>
  <c r="AW39" i="66"/>
  <c r="AX39" i="66" s="1"/>
  <c r="AW37" i="66"/>
  <c r="AX37" i="66" s="1"/>
  <c r="AW58" i="66"/>
  <c r="AX58" i="66" s="1"/>
  <c r="L14" i="66"/>
  <c r="M10" i="66" s="1"/>
  <c r="AW14" i="66"/>
  <c r="AX14" i="66" s="1"/>
  <c r="AW17" i="66"/>
  <c r="AX17" i="66" s="1"/>
  <c r="AW19" i="66"/>
  <c r="AX19" i="66" s="1"/>
  <c r="AW21" i="66"/>
  <c r="AX21" i="66" s="1"/>
  <c r="AW23" i="66"/>
  <c r="AX23" i="66" s="1"/>
  <c r="AW25" i="66"/>
  <c r="AX25" i="66" s="1"/>
  <c r="AW27" i="66"/>
  <c r="AX27" i="66" s="1"/>
  <c r="AW29" i="66"/>
  <c r="AX29" i="66" s="1"/>
  <c r="AW31" i="66"/>
  <c r="AX31" i="66" s="1"/>
  <c r="AW33" i="66"/>
  <c r="AX33" i="66" s="1"/>
  <c r="AW36" i="66"/>
  <c r="AX36" i="66" s="1"/>
  <c r="AW40" i="66"/>
  <c r="AX40" i="66" s="1"/>
  <c r="AW59" i="66"/>
  <c r="AX59" i="66" s="1"/>
  <c r="AW63" i="66"/>
  <c r="AX63" i="66" s="1"/>
  <c r="AW44" i="66"/>
  <c r="AX44" i="66" s="1"/>
  <c r="AW46" i="66"/>
  <c r="AX46" i="66" s="1"/>
  <c r="AW48" i="66"/>
  <c r="AX48" i="66" s="1"/>
  <c r="AW50" i="66"/>
  <c r="AX50" i="66" s="1"/>
  <c r="AW52" i="66"/>
  <c r="AX52" i="66" s="1"/>
  <c r="AW54" i="66"/>
  <c r="AX54" i="66" s="1"/>
  <c r="AW61" i="66"/>
  <c r="AX61" i="66" s="1"/>
  <c r="C68" i="65"/>
  <c r="B68" i="65" s="1"/>
  <c r="AH67" i="65"/>
  <c r="AG67" i="65"/>
  <c r="AF67" i="65"/>
  <c r="AH66" i="65"/>
  <c r="AG66" i="65"/>
  <c r="AF66" i="65"/>
  <c r="AH65" i="65"/>
  <c r="AG65" i="65"/>
  <c r="AF65" i="65"/>
  <c r="AH64" i="65"/>
  <c r="AG64" i="65"/>
  <c r="AF64" i="65"/>
  <c r="AV63" i="65"/>
  <c r="AH63" i="65"/>
  <c r="AG63" i="65"/>
  <c r="AF63" i="65"/>
  <c r="AV62" i="65"/>
  <c r="AH62" i="65"/>
  <c r="AG62" i="65"/>
  <c r="AF62" i="65"/>
  <c r="AV61" i="65"/>
  <c r="AV60" i="65"/>
  <c r="AH60" i="65"/>
  <c r="AG60" i="65"/>
  <c r="AF60" i="65"/>
  <c r="AF61" i="65" s="1"/>
  <c r="G60" i="65"/>
  <c r="E60" i="65" s="1"/>
  <c r="AV59" i="65"/>
  <c r="AH59" i="65"/>
  <c r="AG59" i="65"/>
  <c r="AF59" i="65"/>
  <c r="G59" i="65"/>
  <c r="E59" i="65" s="1"/>
  <c r="AV58" i="65"/>
  <c r="AH58" i="65"/>
  <c r="AG58" i="65"/>
  <c r="AF58" i="65"/>
  <c r="G58" i="65"/>
  <c r="AV57" i="65"/>
  <c r="AH57" i="65"/>
  <c r="AG57" i="65"/>
  <c r="AF57" i="65"/>
  <c r="G57" i="65"/>
  <c r="AV56" i="65"/>
  <c r="AH56" i="65"/>
  <c r="AG56" i="65"/>
  <c r="AF56" i="65"/>
  <c r="G56" i="65"/>
  <c r="AV55" i="65"/>
  <c r="AV54" i="65"/>
  <c r="AV53" i="65"/>
  <c r="AV52" i="65"/>
  <c r="AV51" i="65"/>
  <c r="AV50" i="65"/>
  <c r="AV49" i="65"/>
  <c r="AV48" i="65"/>
  <c r="AV47" i="65"/>
  <c r="AV46" i="65"/>
  <c r="AV45" i="65"/>
  <c r="AV44" i="65"/>
  <c r="AV43" i="65"/>
  <c r="AV42" i="65"/>
  <c r="AV41" i="65"/>
  <c r="AV40" i="65"/>
  <c r="AV39" i="65"/>
  <c r="AV38" i="65"/>
  <c r="AV37" i="65"/>
  <c r="AV36" i="65"/>
  <c r="AV35" i="65"/>
  <c r="AV34" i="65"/>
  <c r="AV33" i="65"/>
  <c r="AV32" i="65"/>
  <c r="AV31" i="65"/>
  <c r="AV30" i="65"/>
  <c r="AV29" i="65"/>
  <c r="AV28" i="65"/>
  <c r="AV27" i="65"/>
  <c r="AV26" i="65"/>
  <c r="AV25" i="65"/>
  <c r="AV24" i="65"/>
  <c r="AV23" i="65"/>
  <c r="AV22" i="65"/>
  <c r="AV21" i="65"/>
  <c r="AV20" i="65"/>
  <c r="AV19" i="65"/>
  <c r="AV18" i="65"/>
  <c r="AV17" i="65"/>
  <c r="AV16" i="65"/>
  <c r="L16" i="65" a="1"/>
  <c r="L16" i="65" s="1"/>
  <c r="AV15" i="65"/>
  <c r="AV14" i="65"/>
  <c r="AV13" i="65"/>
  <c r="L13" i="65"/>
  <c r="AV12" i="65"/>
  <c r="L12" i="65"/>
  <c r="AV11" i="65"/>
  <c r="L11" i="65"/>
  <c r="AV10" i="65"/>
  <c r="L10" i="65"/>
  <c r="AV9" i="65"/>
  <c r="L9" i="65"/>
  <c r="AV8" i="65"/>
  <c r="L8" i="65"/>
  <c r="BC7" i="65"/>
  <c r="BC8" i="65" s="1"/>
  <c r="BC9" i="65" s="1"/>
  <c r="BC10" i="65" s="1"/>
  <c r="BC11" i="65" s="1"/>
  <c r="BC12" i="65" s="1"/>
  <c r="BC13" i="65" s="1"/>
  <c r="BC14" i="65" s="1"/>
  <c r="AV7" i="65"/>
  <c r="AF7" i="65"/>
  <c r="AF8" i="65" s="1"/>
  <c r="AF9" i="65" s="1"/>
  <c r="AF10" i="65" s="1"/>
  <c r="AF11" i="65" s="1"/>
  <c r="AF12" i="65" s="1"/>
  <c r="AF13" i="65" s="1"/>
  <c r="AF14" i="65" s="1"/>
  <c r="AF15" i="65" s="1"/>
  <c r="AF16" i="65" s="1"/>
  <c r="AF17" i="65" s="1"/>
  <c r="AF18" i="65" s="1"/>
  <c r="AF19" i="65" s="1"/>
  <c r="AF20" i="65" s="1"/>
  <c r="AF21" i="65" s="1"/>
  <c r="AF22" i="65" s="1"/>
  <c r="AF23" i="65" s="1"/>
  <c r="AF24" i="65" s="1"/>
  <c r="AF25" i="65" s="1"/>
  <c r="AF26" i="65" s="1"/>
  <c r="AF27" i="65" s="1"/>
  <c r="AF28" i="65" s="1"/>
  <c r="AF29" i="65" s="1"/>
  <c r="AF30" i="65" s="1"/>
  <c r="AF31" i="65" s="1"/>
  <c r="AF32" i="65" s="1"/>
  <c r="AF33" i="65" s="1"/>
  <c r="AF34" i="65" s="1"/>
  <c r="AF35" i="65" s="1"/>
  <c r="AF36" i="65" s="1"/>
  <c r="AF37" i="65" s="1"/>
  <c r="AF38" i="65" s="1"/>
  <c r="AF39" i="65" s="1"/>
  <c r="AF40" i="65" s="1"/>
  <c r="AF41" i="65" s="1"/>
  <c r="AF42" i="65" s="1"/>
  <c r="AF43" i="65" s="1"/>
  <c r="AF44" i="65" s="1"/>
  <c r="AF45" i="65" s="1"/>
  <c r="AF46" i="65" s="1"/>
  <c r="AF47" i="65" s="1"/>
  <c r="AF48" i="65" s="1"/>
  <c r="AF49" i="65" s="1"/>
  <c r="AF50" i="65" s="1"/>
  <c r="AF51" i="65" s="1"/>
  <c r="AF52" i="65" s="1"/>
  <c r="AF53" i="65" s="1"/>
  <c r="AF54" i="65" s="1"/>
  <c r="AF55" i="65" s="1"/>
  <c r="AL4" i="65"/>
  <c r="AL2" i="65" s="1"/>
  <c r="AK4" i="65"/>
  <c r="AK2" i="65" s="1"/>
  <c r="AJ4" i="65"/>
  <c r="AJ2" i="65" s="1"/>
  <c r="G3" i="65"/>
  <c r="E2" i="65"/>
  <c r="E3" i="65" s="1"/>
  <c r="A1" i="65"/>
  <c r="G55" i="66"/>
  <c r="E55" i="66" s="1"/>
  <c r="G62" i="66"/>
  <c r="BC37" i="85" l="1"/>
  <c r="BD36" i="85"/>
  <c r="BI35" i="85"/>
  <c r="BH35" i="85"/>
  <c r="BG35" i="85"/>
  <c r="BF35" i="85"/>
  <c r="BH34" i="84"/>
  <c r="BG34" i="84"/>
  <c r="BF34" i="84"/>
  <c r="BI34" i="84"/>
  <c r="BD35" i="84"/>
  <c r="BC36" i="84"/>
  <c r="BF31" i="83"/>
  <c r="BG31" i="83"/>
  <c r="BH31" i="83"/>
  <c r="BI31" i="83"/>
  <c r="BC33" i="83"/>
  <c r="BD32" i="83"/>
  <c r="BD26" i="81"/>
  <c r="BC27" i="81"/>
  <c r="BI25" i="81"/>
  <c r="BH25" i="81"/>
  <c r="BG25" i="81"/>
  <c r="BF25" i="81"/>
  <c r="BH24" i="80"/>
  <c r="BG24" i="80"/>
  <c r="BF24" i="80"/>
  <c r="BI24" i="80"/>
  <c r="BD25" i="80"/>
  <c r="BC26" i="80"/>
  <c r="BH23" i="78"/>
  <c r="BF23" i="78"/>
  <c r="BI23" i="78"/>
  <c r="BG23" i="78"/>
  <c r="BD24" i="78"/>
  <c r="BC25" i="78"/>
  <c r="BH23" i="79"/>
  <c r="BG23" i="79"/>
  <c r="BF23" i="79"/>
  <c r="BI23" i="79"/>
  <c r="BD24" i="79"/>
  <c r="BC25" i="79"/>
  <c r="BG20" i="76"/>
  <c r="BI20" i="76"/>
  <c r="BF20" i="76"/>
  <c r="BH20" i="76"/>
  <c r="BD21" i="76"/>
  <c r="BC22" i="76"/>
  <c r="BC21" i="75"/>
  <c r="BD20" i="75"/>
  <c r="BF19" i="75"/>
  <c r="BI19" i="75"/>
  <c r="BH19" i="75"/>
  <c r="BG19" i="75"/>
  <c r="BF17" i="74"/>
  <c r="BH17" i="74"/>
  <c r="BI17" i="74"/>
  <c r="BG17" i="74"/>
  <c r="BC19" i="74"/>
  <c r="BD18" i="74"/>
  <c r="BG15" i="73"/>
  <c r="BF15" i="73"/>
  <c r="BI15" i="73"/>
  <c r="BH15" i="73"/>
  <c r="BC17" i="73"/>
  <c r="BD16" i="73"/>
  <c r="BF13" i="71"/>
  <c r="BG13" i="71"/>
  <c r="BI13" i="71"/>
  <c r="BH13" i="71"/>
  <c r="BD14" i="71"/>
  <c r="BC15" i="71"/>
  <c r="BC13" i="70"/>
  <c r="BD12" i="70"/>
  <c r="BG11" i="70"/>
  <c r="BF11" i="70"/>
  <c r="BI11" i="70"/>
  <c r="BH11" i="70"/>
  <c r="BG11" i="69"/>
  <c r="BF11" i="69"/>
  <c r="BI11" i="69"/>
  <c r="BH11" i="69"/>
  <c r="BD12" i="69"/>
  <c r="BC13" i="69"/>
  <c r="BG8" i="68"/>
  <c r="BI8" i="68"/>
  <c r="BH8" i="68"/>
  <c r="BF8" i="68"/>
  <c r="BC12" i="68"/>
  <c r="BD11" i="68"/>
  <c r="BG9" i="68"/>
  <c r="BI9" i="68"/>
  <c r="BF9" i="68"/>
  <c r="BH9" i="68"/>
  <c r="BG10" i="68"/>
  <c r="BI10" i="68"/>
  <c r="BF10" i="68"/>
  <c r="BH10" i="68"/>
  <c r="BG7" i="68"/>
  <c r="BI7" i="68"/>
  <c r="BF7" i="68"/>
  <c r="BH7" i="68"/>
  <c r="AY19" i="66"/>
  <c r="AY62" i="66"/>
  <c r="AY12" i="66"/>
  <c r="AY29" i="66"/>
  <c r="AY21" i="66"/>
  <c r="AY39" i="66"/>
  <c r="AY45" i="66"/>
  <c r="AY26" i="66"/>
  <c r="AY20" i="66"/>
  <c r="AY35" i="66"/>
  <c r="AY32" i="66"/>
  <c r="AY24" i="66"/>
  <c r="AY10" i="66"/>
  <c r="AY33" i="66"/>
  <c r="AY25" i="66"/>
  <c r="AY42" i="66"/>
  <c r="AY61" i="66"/>
  <c r="AY60" i="66"/>
  <c r="AY53" i="66"/>
  <c r="AY36" i="66"/>
  <c r="AY23" i="66"/>
  <c r="AY30" i="66"/>
  <c r="AY15" i="66"/>
  <c r="AY17" i="66"/>
  <c r="AY43" i="66"/>
  <c r="AY18" i="66"/>
  <c r="BC13" i="66"/>
  <c r="AY54" i="66"/>
  <c r="AY46" i="66"/>
  <c r="AY59" i="66"/>
  <c r="AY51" i="66"/>
  <c r="AY40" i="66"/>
  <c r="AY14" i="66"/>
  <c r="Y14" i="66"/>
  <c r="AY41" i="66"/>
  <c r="AY28" i="66"/>
  <c r="AY13" i="66"/>
  <c r="AY8" i="66"/>
  <c r="AY16" i="66"/>
  <c r="AY52" i="66"/>
  <c r="AY44" i="66"/>
  <c r="AY57" i="66"/>
  <c r="AY47" i="66"/>
  <c r="AY27" i="66"/>
  <c r="AY58" i="66"/>
  <c r="AY38" i="66"/>
  <c r="AY49" i="66"/>
  <c r="AY34" i="66"/>
  <c r="AY22" i="66"/>
  <c r="M12" i="66"/>
  <c r="AY50" i="66"/>
  <c r="AY63" i="66"/>
  <c r="AY55" i="66"/>
  <c r="AY11" i="66"/>
  <c r="AY37" i="66"/>
  <c r="AY56" i="66"/>
  <c r="AY7" i="66"/>
  <c r="AY48" i="66"/>
  <c r="AY31" i="66"/>
  <c r="M14" i="66"/>
  <c r="L5" i="66"/>
  <c r="C77" i="66"/>
  <c r="M13" i="66"/>
  <c r="M9" i="66"/>
  <c r="M8" i="66"/>
  <c r="M11" i="66"/>
  <c r="AY9" i="66"/>
  <c r="AW8" i="65"/>
  <c r="AX8" i="65" s="1"/>
  <c r="AW11" i="65"/>
  <c r="AX11" i="65" s="1"/>
  <c r="AW7" i="65"/>
  <c r="AX7" i="65" s="1"/>
  <c r="AW12" i="65"/>
  <c r="AX12" i="65" s="1"/>
  <c r="AW13" i="65"/>
  <c r="AX13" i="65" s="1"/>
  <c r="AW9" i="65"/>
  <c r="AX9" i="65" s="1"/>
  <c r="AW10" i="65"/>
  <c r="AX10" i="65" s="1"/>
  <c r="AW33" i="65"/>
  <c r="AX33" i="65" s="1"/>
  <c r="BC15" i="65"/>
  <c r="AW17" i="65"/>
  <c r="AX17" i="65" s="1"/>
  <c r="AW31" i="65"/>
  <c r="AX31" i="65" s="1"/>
  <c r="AW40" i="65"/>
  <c r="AX40" i="65" s="1"/>
  <c r="AW16" i="65"/>
  <c r="AW19" i="65"/>
  <c r="AX19" i="65" s="1"/>
  <c r="AW27" i="65"/>
  <c r="AX27" i="65" s="1"/>
  <c r="AW30" i="65"/>
  <c r="AX30" i="65" s="1"/>
  <c r="AX16" i="65"/>
  <c r="AW18" i="65"/>
  <c r="AX18" i="65" s="1"/>
  <c r="AW21" i="65"/>
  <c r="AX21" i="65" s="1"/>
  <c r="AW24" i="65"/>
  <c r="AX24" i="65" s="1"/>
  <c r="AW38" i="65"/>
  <c r="AX38" i="65" s="1"/>
  <c r="AW52" i="65"/>
  <c r="AX52" i="65" s="1"/>
  <c r="AW61" i="65"/>
  <c r="AX61" i="65" s="1"/>
  <c r="AW15" i="65"/>
  <c r="AX15" i="65" s="1"/>
  <c r="AW22" i="65"/>
  <c r="AX22" i="65" s="1"/>
  <c r="AW25" i="65"/>
  <c r="AX25" i="65" s="1"/>
  <c r="AW34" i="65"/>
  <c r="AX34" i="65" s="1"/>
  <c r="AW14" i="65"/>
  <c r="AX14" i="65" s="1"/>
  <c r="AW20" i="65"/>
  <c r="AX20" i="65" s="1"/>
  <c r="AW26" i="65"/>
  <c r="AX26" i="65" s="1"/>
  <c r="AW29" i="65"/>
  <c r="AX29" i="65" s="1"/>
  <c r="AW55" i="65"/>
  <c r="AX55" i="65" s="1"/>
  <c r="AW28" i="65"/>
  <c r="AX28" i="65" s="1"/>
  <c r="AW36" i="65"/>
  <c r="AX36" i="65" s="1"/>
  <c r="AW44" i="65"/>
  <c r="AX44" i="65" s="1"/>
  <c r="AW49" i="65"/>
  <c r="AX49" i="65" s="1"/>
  <c r="AW50" i="65"/>
  <c r="AX50" i="65" s="1"/>
  <c r="AW48" i="65"/>
  <c r="AX48" i="65" s="1"/>
  <c r="AW63" i="65"/>
  <c r="AX63" i="65" s="1"/>
  <c r="AW43" i="65"/>
  <c r="AX43" i="65" s="1"/>
  <c r="AW39" i="65"/>
  <c r="AX39" i="65" s="1"/>
  <c r="AW35" i="65"/>
  <c r="AX35" i="65" s="1"/>
  <c r="L14" i="65"/>
  <c r="AW23" i="65"/>
  <c r="AX23" i="65" s="1"/>
  <c r="AW32" i="65"/>
  <c r="AX32" i="65" s="1"/>
  <c r="AW42" i="65"/>
  <c r="AX42" i="65" s="1"/>
  <c r="AW46" i="65"/>
  <c r="AX46" i="65" s="1"/>
  <c r="AW47" i="65"/>
  <c r="AX47" i="65" s="1"/>
  <c r="AW51" i="65"/>
  <c r="AW54" i="65"/>
  <c r="AX54" i="65" s="1"/>
  <c r="AW57" i="65"/>
  <c r="AX57" i="65" s="1"/>
  <c r="AW56" i="65"/>
  <c r="AX56" i="65" s="1"/>
  <c r="AW58" i="65"/>
  <c r="AX58" i="65" s="1"/>
  <c r="AW37" i="65"/>
  <c r="AX37" i="65" s="1"/>
  <c r="AW41" i="65"/>
  <c r="AX41" i="65" s="1"/>
  <c r="AX51" i="65"/>
  <c r="AW62" i="65"/>
  <c r="AX62" i="65" s="1"/>
  <c r="AW45" i="65"/>
  <c r="AX45" i="65" s="1"/>
  <c r="AW53" i="65"/>
  <c r="AX53" i="65" s="1"/>
  <c r="AW59" i="65"/>
  <c r="AX59" i="65" s="1"/>
  <c r="AW60" i="65"/>
  <c r="AX60" i="65" s="1"/>
  <c r="C68" i="64"/>
  <c r="B68" i="64" s="1"/>
  <c r="AH67" i="64"/>
  <c r="AG67" i="64"/>
  <c r="AF67" i="64"/>
  <c r="AH66" i="64"/>
  <c r="AG66" i="64"/>
  <c r="AF66" i="64"/>
  <c r="AH65" i="64"/>
  <c r="AG65" i="64"/>
  <c r="AF65" i="64"/>
  <c r="AH64" i="64"/>
  <c r="AG64" i="64"/>
  <c r="AF64" i="64"/>
  <c r="AV63" i="64"/>
  <c r="AH63" i="64"/>
  <c r="AG63" i="64"/>
  <c r="AF63" i="64"/>
  <c r="AV62" i="64"/>
  <c r="AH62" i="64"/>
  <c r="AG62" i="64"/>
  <c r="AF62" i="64"/>
  <c r="AV61" i="64"/>
  <c r="AV60" i="64"/>
  <c r="AH60" i="64"/>
  <c r="AG60" i="64"/>
  <c r="AF60" i="64"/>
  <c r="AF61" i="64" s="1"/>
  <c r="G60" i="64"/>
  <c r="E60" i="64" s="1"/>
  <c r="AV59" i="64"/>
  <c r="AH59" i="64"/>
  <c r="AG59" i="64"/>
  <c r="AF59" i="64"/>
  <c r="G59" i="64"/>
  <c r="E59" i="64" s="1"/>
  <c r="AV58" i="64"/>
  <c r="AH58" i="64"/>
  <c r="AG58" i="64"/>
  <c r="AF58" i="64"/>
  <c r="G58" i="64"/>
  <c r="AV57" i="64"/>
  <c r="AH57" i="64"/>
  <c r="AG57" i="64"/>
  <c r="AF57" i="64"/>
  <c r="G57" i="64"/>
  <c r="AV56" i="64"/>
  <c r="AH56" i="64"/>
  <c r="AG56" i="64"/>
  <c r="AF56" i="64"/>
  <c r="G56" i="64"/>
  <c r="AV55" i="64"/>
  <c r="AV54" i="64"/>
  <c r="AV53" i="64"/>
  <c r="AV52" i="64"/>
  <c r="AV51" i="64"/>
  <c r="AV50" i="64"/>
  <c r="AV49" i="64"/>
  <c r="AV48" i="64"/>
  <c r="AV47" i="64"/>
  <c r="AV46" i="64"/>
  <c r="AV45" i="64"/>
  <c r="AV44" i="64"/>
  <c r="AV43" i="64"/>
  <c r="AV42" i="64"/>
  <c r="AV41" i="64"/>
  <c r="AV40" i="64"/>
  <c r="AV39" i="64"/>
  <c r="AV38" i="64"/>
  <c r="AV37" i="64"/>
  <c r="AV36" i="64"/>
  <c r="AV35" i="64"/>
  <c r="AV34" i="64"/>
  <c r="AV33" i="64"/>
  <c r="AV32" i="64"/>
  <c r="AV31" i="64"/>
  <c r="AV30" i="64"/>
  <c r="AV29" i="64"/>
  <c r="AV28" i="64"/>
  <c r="AV27" i="64"/>
  <c r="AV26" i="64"/>
  <c r="AV25" i="64"/>
  <c r="AV24" i="64"/>
  <c r="AV23" i="64"/>
  <c r="AV22" i="64"/>
  <c r="AV21" i="64"/>
  <c r="AV20" i="64"/>
  <c r="AV19" i="64"/>
  <c r="AV18" i="64"/>
  <c r="AV17" i="64"/>
  <c r="AV16" i="64"/>
  <c r="L16" i="64" a="1"/>
  <c r="L16" i="64" s="1"/>
  <c r="AV15" i="64"/>
  <c r="AV14" i="64"/>
  <c r="AV13" i="64"/>
  <c r="L13" i="64"/>
  <c r="AV12" i="64"/>
  <c r="L12" i="64"/>
  <c r="AV11" i="64"/>
  <c r="L11" i="64"/>
  <c r="AV10" i="64"/>
  <c r="L10" i="64"/>
  <c r="AV9" i="64"/>
  <c r="L9" i="64"/>
  <c r="AV8" i="64"/>
  <c r="L8" i="64"/>
  <c r="BC7" i="64"/>
  <c r="BC8" i="64" s="1"/>
  <c r="BC9" i="64" s="1"/>
  <c r="AV7" i="64"/>
  <c r="AF7" i="64"/>
  <c r="AF8" i="64" s="1"/>
  <c r="AF9" i="64" s="1"/>
  <c r="AF10" i="64" s="1"/>
  <c r="AF11" i="64" s="1"/>
  <c r="AF12" i="64" s="1"/>
  <c r="AF13" i="64" s="1"/>
  <c r="AF14" i="64" s="1"/>
  <c r="AF15" i="64" s="1"/>
  <c r="AF16" i="64" s="1"/>
  <c r="AF17" i="64" s="1"/>
  <c r="AF18" i="64" s="1"/>
  <c r="AF19" i="64" s="1"/>
  <c r="AF20" i="64" s="1"/>
  <c r="AF21" i="64" s="1"/>
  <c r="AF22" i="64" s="1"/>
  <c r="AF23" i="64" s="1"/>
  <c r="AF24" i="64" s="1"/>
  <c r="AF25" i="64" s="1"/>
  <c r="AF26" i="64" s="1"/>
  <c r="AF27" i="64" s="1"/>
  <c r="AF28" i="64" s="1"/>
  <c r="AF29" i="64" s="1"/>
  <c r="AF30" i="64" s="1"/>
  <c r="AF31" i="64" s="1"/>
  <c r="AF32" i="64" s="1"/>
  <c r="AF33" i="64" s="1"/>
  <c r="AF34" i="64" s="1"/>
  <c r="AF35" i="64" s="1"/>
  <c r="AF36" i="64" s="1"/>
  <c r="AF37" i="64" s="1"/>
  <c r="AF38" i="64" s="1"/>
  <c r="AF39" i="64" s="1"/>
  <c r="AF40" i="64" s="1"/>
  <c r="AF41" i="64" s="1"/>
  <c r="AF42" i="64" s="1"/>
  <c r="AF43" i="64" s="1"/>
  <c r="AF44" i="64" s="1"/>
  <c r="AF45" i="64" s="1"/>
  <c r="AF46" i="64" s="1"/>
  <c r="AF47" i="64" s="1"/>
  <c r="AF48" i="64" s="1"/>
  <c r="AF49" i="64" s="1"/>
  <c r="AF50" i="64" s="1"/>
  <c r="AF51" i="64" s="1"/>
  <c r="AF52" i="64" s="1"/>
  <c r="AF53" i="64" s="1"/>
  <c r="AF54" i="64" s="1"/>
  <c r="AF55" i="64" s="1"/>
  <c r="AL4" i="64"/>
  <c r="AL2" i="64" s="1"/>
  <c r="AK4" i="64"/>
  <c r="AK2" i="64" s="1"/>
  <c r="AJ4" i="64"/>
  <c r="AJ2" i="64" s="1"/>
  <c r="G3" i="64"/>
  <c r="E2" i="64"/>
  <c r="E3" i="64" s="1"/>
  <c r="A1" i="64"/>
  <c r="BC38" i="85" l="1"/>
  <c r="BD37" i="85"/>
  <c r="BF36" i="85"/>
  <c r="BI36" i="85"/>
  <c r="BG36" i="85"/>
  <c r="BH36" i="85"/>
  <c r="BD36" i="84"/>
  <c r="BC37" i="84"/>
  <c r="BI35" i="84"/>
  <c r="BH35" i="84"/>
  <c r="BG35" i="84"/>
  <c r="BF35" i="84"/>
  <c r="BI32" i="83"/>
  <c r="BF32" i="83"/>
  <c r="BH32" i="83"/>
  <c r="BG32" i="83"/>
  <c r="BD33" i="83"/>
  <c r="BC34" i="83"/>
  <c r="BC28" i="81"/>
  <c r="BD27" i="81"/>
  <c r="BI26" i="81"/>
  <c r="BH26" i="81"/>
  <c r="BG26" i="81"/>
  <c r="BF26" i="81"/>
  <c r="BC27" i="80"/>
  <c r="BD26" i="80"/>
  <c r="BI25" i="80"/>
  <c r="BH25" i="80"/>
  <c r="BG25" i="80"/>
  <c r="BF25" i="80"/>
  <c r="BC26" i="78"/>
  <c r="BD25" i="78"/>
  <c r="BI24" i="78"/>
  <c r="BG24" i="78"/>
  <c r="BF24" i="78"/>
  <c r="BH24" i="78"/>
  <c r="BD25" i="79"/>
  <c r="BC26" i="79"/>
  <c r="BI24" i="79"/>
  <c r="BH24" i="79"/>
  <c r="BG24" i="79"/>
  <c r="BF24" i="79"/>
  <c r="BD22" i="76"/>
  <c r="BC23" i="76"/>
  <c r="BH21" i="76"/>
  <c r="BF21" i="76"/>
  <c r="BI21" i="76"/>
  <c r="BG21" i="76"/>
  <c r="BG20" i="75"/>
  <c r="BF20" i="75"/>
  <c r="BI20" i="75"/>
  <c r="BH20" i="75"/>
  <c r="BC22" i="75"/>
  <c r="BD21" i="75"/>
  <c r="BG18" i="74"/>
  <c r="BI18" i="74"/>
  <c r="BH18" i="74"/>
  <c r="BF18" i="74"/>
  <c r="BC20" i="74"/>
  <c r="BD19" i="74"/>
  <c r="BH16" i="73"/>
  <c r="BG16" i="73"/>
  <c r="BI16" i="73"/>
  <c r="BF16" i="73"/>
  <c r="BD17" i="73"/>
  <c r="BC18" i="73"/>
  <c r="BD15" i="71"/>
  <c r="BC16" i="71"/>
  <c r="BI14" i="71"/>
  <c r="BF14" i="71"/>
  <c r="BH14" i="71"/>
  <c r="BG14" i="71"/>
  <c r="BG12" i="70"/>
  <c r="BF12" i="70"/>
  <c r="BI12" i="70"/>
  <c r="BH12" i="70"/>
  <c r="BD13" i="70"/>
  <c r="BC14" i="70"/>
  <c r="BC14" i="69"/>
  <c r="BD13" i="69"/>
  <c r="BG12" i="69"/>
  <c r="BF12" i="69"/>
  <c r="BI12" i="69"/>
  <c r="BH12" i="69"/>
  <c r="BG11" i="68"/>
  <c r="BI11" i="68"/>
  <c r="BF11" i="68"/>
  <c r="BH11" i="68"/>
  <c r="BD12" i="68"/>
  <c r="BC13" i="68"/>
  <c r="AG55" i="66"/>
  <c r="AH55" i="66"/>
  <c r="BD13" i="66"/>
  <c r="BC14" i="66"/>
  <c r="BD9" i="66"/>
  <c r="BD8" i="66"/>
  <c r="BD7" i="66"/>
  <c r="BD11" i="66"/>
  <c r="BD10" i="66"/>
  <c r="BD12" i="66"/>
  <c r="AY54" i="65"/>
  <c r="AY42" i="65"/>
  <c r="AY34" i="65"/>
  <c r="AY41" i="65"/>
  <c r="AY28" i="65"/>
  <c r="AY60" i="65"/>
  <c r="AY49" i="65"/>
  <c r="AY55" i="65"/>
  <c r="AY38" i="65"/>
  <c r="AY17" i="65"/>
  <c r="AY21" i="65"/>
  <c r="AY32" i="65"/>
  <c r="AY18" i="65"/>
  <c r="AY59" i="65"/>
  <c r="AY57" i="65"/>
  <c r="AY46" i="65"/>
  <c r="AY29" i="65"/>
  <c r="AY14" i="65"/>
  <c r="AY12" i="65"/>
  <c r="AY8" i="65"/>
  <c r="AY7" i="65"/>
  <c r="AY9" i="65"/>
  <c r="AY13" i="65"/>
  <c r="AY11" i="65"/>
  <c r="AY10" i="65"/>
  <c r="AY37" i="65"/>
  <c r="M12" i="65"/>
  <c r="M8" i="65"/>
  <c r="M10" i="65"/>
  <c r="M14" i="65"/>
  <c r="M13" i="65"/>
  <c r="M9" i="65"/>
  <c r="M11" i="65"/>
  <c r="L5" i="65"/>
  <c r="AY24" i="65"/>
  <c r="AY63" i="65"/>
  <c r="AY20" i="65"/>
  <c r="AY61" i="65"/>
  <c r="AY16" i="65"/>
  <c r="BC16" i="65"/>
  <c r="AY50" i="65"/>
  <c r="AY58" i="65"/>
  <c r="AY23" i="65"/>
  <c r="AY35" i="65"/>
  <c r="AY48" i="65"/>
  <c r="AY52" i="65"/>
  <c r="AY19" i="65"/>
  <c r="AY33" i="65"/>
  <c r="AY62" i="65"/>
  <c r="AY45" i="65"/>
  <c r="AY43" i="65"/>
  <c r="AY25" i="65"/>
  <c r="AY15" i="65"/>
  <c r="AY27" i="65"/>
  <c r="AY53" i="65"/>
  <c r="AY51" i="65"/>
  <c r="C77" i="65"/>
  <c r="AY44" i="65"/>
  <c r="AY40" i="65"/>
  <c r="AY56" i="65"/>
  <c r="AY47" i="65"/>
  <c r="Y14" i="65"/>
  <c r="AY39" i="65"/>
  <c r="AY36" i="65"/>
  <c r="AY26" i="65"/>
  <c r="AY22" i="65"/>
  <c r="AY30" i="65"/>
  <c r="AY31" i="65"/>
  <c r="AW55" i="64"/>
  <c r="AX55" i="64" s="1"/>
  <c r="AW51" i="64"/>
  <c r="AX51" i="64" s="1"/>
  <c r="AW47" i="64"/>
  <c r="AX47" i="64" s="1"/>
  <c r="AW58" i="64"/>
  <c r="AX58" i="64" s="1"/>
  <c r="AW49" i="64"/>
  <c r="AX49" i="64" s="1"/>
  <c r="AW40" i="64"/>
  <c r="AX40" i="64" s="1"/>
  <c r="AW59" i="64"/>
  <c r="AX59" i="64" s="1"/>
  <c r="AW62" i="64"/>
  <c r="AX62" i="64" s="1"/>
  <c r="AW60" i="64"/>
  <c r="AX60" i="64" s="1"/>
  <c r="AW42" i="64"/>
  <c r="AX42" i="64" s="1"/>
  <c r="AW27" i="64"/>
  <c r="AX27" i="64" s="1"/>
  <c r="AW19" i="64"/>
  <c r="AX19" i="64" s="1"/>
  <c r="AW7" i="64"/>
  <c r="AX7" i="64" s="1"/>
  <c r="AW57" i="64"/>
  <c r="AX57" i="64" s="1"/>
  <c r="AW37" i="64"/>
  <c r="AX37" i="64" s="1"/>
  <c r="AW15" i="64"/>
  <c r="AX15" i="64" s="1"/>
  <c r="AW8" i="64"/>
  <c r="AX8" i="64" s="1"/>
  <c r="AW20" i="64"/>
  <c r="AX20" i="64" s="1"/>
  <c r="AW22" i="64"/>
  <c r="AX22" i="64" s="1"/>
  <c r="AW29" i="64"/>
  <c r="AX29" i="64" s="1"/>
  <c r="AW45" i="64"/>
  <c r="AX45" i="64" s="1"/>
  <c r="AW10" i="64"/>
  <c r="AX10" i="64" s="1"/>
  <c r="AW13" i="64"/>
  <c r="AX13" i="64" s="1"/>
  <c r="AW17" i="64"/>
  <c r="AX17" i="64" s="1"/>
  <c r="AW38" i="64"/>
  <c r="AX38" i="64" s="1"/>
  <c r="AW39" i="64"/>
  <c r="AX39" i="64" s="1"/>
  <c r="AW9" i="64"/>
  <c r="AX9" i="64" s="1"/>
  <c r="BC10" i="64"/>
  <c r="AW12" i="64"/>
  <c r="AX12" i="64" s="1"/>
  <c r="AW21" i="64"/>
  <c r="AX21" i="64" s="1"/>
  <c r="AW23" i="64"/>
  <c r="AX23" i="64" s="1"/>
  <c r="AW25" i="64"/>
  <c r="AX25" i="64" s="1"/>
  <c r="AW28" i="64"/>
  <c r="AX28" i="64" s="1"/>
  <c r="AW31" i="64"/>
  <c r="AX31" i="64" s="1"/>
  <c r="AW41" i="64"/>
  <c r="AX41" i="64" s="1"/>
  <c r="AW46" i="64"/>
  <c r="AX46" i="64" s="1"/>
  <c r="L14" i="64"/>
  <c r="M10" i="64" s="1"/>
  <c r="AW11" i="64"/>
  <c r="AX11" i="64" s="1"/>
  <c r="AW26" i="64"/>
  <c r="AX26" i="64" s="1"/>
  <c r="AW30" i="64"/>
  <c r="AX30" i="64" s="1"/>
  <c r="AW33" i="64"/>
  <c r="AX33" i="64" s="1"/>
  <c r="AW35" i="64"/>
  <c r="AX35" i="64" s="1"/>
  <c r="AW36" i="64"/>
  <c r="AX36" i="64" s="1"/>
  <c r="AW44" i="64"/>
  <c r="AX44" i="64" s="1"/>
  <c r="AW14" i="64"/>
  <c r="AX14" i="64" s="1"/>
  <c r="AW18" i="64"/>
  <c r="AX18" i="64" s="1"/>
  <c r="AW34" i="64"/>
  <c r="AX34" i="64" s="1"/>
  <c r="AW16" i="64"/>
  <c r="AX16" i="64" s="1"/>
  <c r="AW24" i="64"/>
  <c r="AX24" i="64" s="1"/>
  <c r="AW32" i="64"/>
  <c r="AX32" i="64" s="1"/>
  <c r="AW52" i="64"/>
  <c r="AX52" i="64" s="1"/>
  <c r="AW53" i="64"/>
  <c r="AX53" i="64" s="1"/>
  <c r="AW54" i="64"/>
  <c r="AX54" i="64" s="1"/>
  <c r="AW43" i="64"/>
  <c r="AX43" i="64" s="1"/>
  <c r="AW48" i="64"/>
  <c r="AX48" i="64" s="1"/>
  <c r="AW50" i="64"/>
  <c r="AX50" i="64" s="1"/>
  <c r="AW56" i="64"/>
  <c r="AX56" i="64" s="1"/>
  <c r="AW61" i="64"/>
  <c r="AX61" i="64" s="1"/>
  <c r="AW63" i="64"/>
  <c r="AX63" i="64" s="1"/>
  <c r="C68" i="63"/>
  <c r="B68" i="63" s="1"/>
  <c r="AH67" i="63"/>
  <c r="AG67" i="63"/>
  <c r="AF67" i="63"/>
  <c r="AH66" i="63"/>
  <c r="AG66" i="63"/>
  <c r="AF66" i="63"/>
  <c r="AH65" i="63"/>
  <c r="AG65" i="63"/>
  <c r="AF65" i="63"/>
  <c r="AH64" i="63"/>
  <c r="AG64" i="63"/>
  <c r="AF64" i="63"/>
  <c r="AV63" i="63"/>
  <c r="AH63" i="63"/>
  <c r="AG63" i="63"/>
  <c r="AF63" i="63"/>
  <c r="AV62" i="63"/>
  <c r="AH62" i="63"/>
  <c r="AG62" i="63"/>
  <c r="AF62" i="63"/>
  <c r="AV61" i="63"/>
  <c r="AV60" i="63"/>
  <c r="AH60" i="63"/>
  <c r="AG60" i="63"/>
  <c r="AF60" i="63"/>
  <c r="AF61" i="63" s="1"/>
  <c r="G60" i="63"/>
  <c r="E60" i="63" s="1"/>
  <c r="AV59" i="63"/>
  <c r="AH59" i="63"/>
  <c r="AG59" i="63"/>
  <c r="AF59" i="63"/>
  <c r="G59" i="63"/>
  <c r="E59" i="63" s="1"/>
  <c r="AV58" i="63"/>
  <c r="AH58" i="63"/>
  <c r="AG58" i="63"/>
  <c r="AF58" i="63"/>
  <c r="G58" i="63"/>
  <c r="AV57" i="63"/>
  <c r="AH57" i="63"/>
  <c r="AG57" i="63"/>
  <c r="AF57" i="63"/>
  <c r="G57" i="63"/>
  <c r="AV56" i="63"/>
  <c r="AH56" i="63"/>
  <c r="AG56" i="63"/>
  <c r="AF56" i="63"/>
  <c r="G56" i="63"/>
  <c r="AV55" i="63"/>
  <c r="AV54" i="63"/>
  <c r="AV53" i="63"/>
  <c r="AV52" i="63"/>
  <c r="AV51" i="63"/>
  <c r="AV50" i="63"/>
  <c r="AV49" i="63"/>
  <c r="AV48" i="63"/>
  <c r="AV47" i="63"/>
  <c r="AV46" i="63"/>
  <c r="AV45" i="63"/>
  <c r="AV44" i="63"/>
  <c r="AV43" i="63"/>
  <c r="AV42" i="63"/>
  <c r="AV41" i="63"/>
  <c r="AV40" i="63"/>
  <c r="AV39" i="63"/>
  <c r="AV38" i="63"/>
  <c r="AV37" i="63"/>
  <c r="AV36" i="63"/>
  <c r="AV35" i="63"/>
  <c r="AV34" i="63"/>
  <c r="AV33" i="63"/>
  <c r="AV32" i="63"/>
  <c r="AV31" i="63"/>
  <c r="AV30" i="63"/>
  <c r="AV29" i="63"/>
  <c r="AV28" i="63"/>
  <c r="AV27" i="63"/>
  <c r="AV26" i="63"/>
  <c r="AV25" i="63"/>
  <c r="AV24" i="63"/>
  <c r="AV23" i="63"/>
  <c r="AV22" i="63"/>
  <c r="AV21" i="63"/>
  <c r="AV20" i="63"/>
  <c r="AV19" i="63"/>
  <c r="AV18" i="63"/>
  <c r="AV17" i="63"/>
  <c r="AV16" i="63"/>
  <c r="L16" i="63" a="1"/>
  <c r="L16" i="63" s="1"/>
  <c r="AV15" i="63"/>
  <c r="AV14" i="63"/>
  <c r="AV13" i="63"/>
  <c r="L13" i="63"/>
  <c r="AV12" i="63"/>
  <c r="L12" i="63"/>
  <c r="AV11" i="63"/>
  <c r="L11" i="63"/>
  <c r="AV10" i="63"/>
  <c r="L10" i="63"/>
  <c r="AV9" i="63"/>
  <c r="L9" i="63"/>
  <c r="AV8" i="63"/>
  <c r="L8" i="63"/>
  <c r="BC7" i="63"/>
  <c r="BC8" i="63" s="1"/>
  <c r="BC9" i="63" s="1"/>
  <c r="BC10" i="63" s="1"/>
  <c r="BC11" i="63" s="1"/>
  <c r="BC12" i="63" s="1"/>
  <c r="BC13" i="63" s="1"/>
  <c r="AV7" i="63"/>
  <c r="AW7" i="63" s="1"/>
  <c r="AX7" i="63" s="1"/>
  <c r="AF7" i="63"/>
  <c r="AF8" i="63" s="1"/>
  <c r="AF9" i="63" s="1"/>
  <c r="AF10" i="63" s="1"/>
  <c r="AF11" i="63" s="1"/>
  <c r="AF12" i="63" s="1"/>
  <c r="AF13" i="63" s="1"/>
  <c r="AF14" i="63" s="1"/>
  <c r="AF15" i="63" s="1"/>
  <c r="AF16" i="63" s="1"/>
  <c r="AF17" i="63" s="1"/>
  <c r="AF18" i="63" s="1"/>
  <c r="AF19" i="63" s="1"/>
  <c r="AF20" i="63" s="1"/>
  <c r="AF21" i="63" s="1"/>
  <c r="AF22" i="63" s="1"/>
  <c r="AF23" i="63" s="1"/>
  <c r="AF24" i="63" s="1"/>
  <c r="AF25" i="63" s="1"/>
  <c r="AF26" i="63" s="1"/>
  <c r="AF27" i="63" s="1"/>
  <c r="AF28" i="63" s="1"/>
  <c r="AF29" i="63" s="1"/>
  <c r="AF30" i="63" s="1"/>
  <c r="AF31" i="63" s="1"/>
  <c r="AF32" i="63" s="1"/>
  <c r="AF33" i="63" s="1"/>
  <c r="AF34" i="63" s="1"/>
  <c r="AF35" i="63" s="1"/>
  <c r="AF36" i="63" s="1"/>
  <c r="AF37" i="63" s="1"/>
  <c r="AF38" i="63" s="1"/>
  <c r="AF39" i="63" s="1"/>
  <c r="AF40" i="63" s="1"/>
  <c r="AF41" i="63" s="1"/>
  <c r="AF42" i="63" s="1"/>
  <c r="AF43" i="63" s="1"/>
  <c r="AF44" i="63" s="1"/>
  <c r="AF45" i="63" s="1"/>
  <c r="AF46" i="63" s="1"/>
  <c r="AF47" i="63" s="1"/>
  <c r="AF48" i="63" s="1"/>
  <c r="AF49" i="63" s="1"/>
  <c r="AF50" i="63" s="1"/>
  <c r="AF51" i="63" s="1"/>
  <c r="AF52" i="63" s="1"/>
  <c r="AF53" i="63" s="1"/>
  <c r="AF54" i="63" s="1"/>
  <c r="AF55" i="63" s="1"/>
  <c r="AL4" i="63"/>
  <c r="AL2" i="63" s="1"/>
  <c r="AK4" i="63"/>
  <c r="AK2" i="63" s="1"/>
  <c r="AJ4" i="63"/>
  <c r="AJ2" i="63" s="1"/>
  <c r="G3" i="63"/>
  <c r="E2" i="63"/>
  <c r="E3" i="63" s="1"/>
  <c r="A1" i="63"/>
  <c r="BH37" i="85" l="1"/>
  <c r="BG37" i="85"/>
  <c r="BI37" i="85"/>
  <c r="BF37" i="85"/>
  <c r="BD38" i="85"/>
  <c r="BC39" i="85"/>
  <c r="BC38" i="84"/>
  <c r="BD37" i="84"/>
  <c r="BF36" i="84"/>
  <c r="BI36" i="84"/>
  <c r="BH36" i="84"/>
  <c r="BG36" i="84"/>
  <c r="BH33" i="83"/>
  <c r="BI33" i="83"/>
  <c r="BF33" i="83"/>
  <c r="BG33" i="83"/>
  <c r="BC35" i="83"/>
  <c r="BD34" i="83"/>
  <c r="BG27" i="81"/>
  <c r="BF27" i="81"/>
  <c r="BI27" i="81"/>
  <c r="BH27" i="81"/>
  <c r="BC29" i="81"/>
  <c r="BD28" i="81"/>
  <c r="BF26" i="80"/>
  <c r="BI26" i="80"/>
  <c r="BH26" i="80"/>
  <c r="BG26" i="80"/>
  <c r="BC28" i="80"/>
  <c r="BD27" i="80"/>
  <c r="BF25" i="78"/>
  <c r="BH25" i="78"/>
  <c r="BI25" i="78"/>
  <c r="BG25" i="78"/>
  <c r="BC27" i="78"/>
  <c r="BD26" i="78"/>
  <c r="BC27" i="79"/>
  <c r="BD26" i="79"/>
  <c r="BF25" i="79"/>
  <c r="BI25" i="79"/>
  <c r="BH25" i="79"/>
  <c r="BG25" i="79"/>
  <c r="BD23" i="76"/>
  <c r="BC24" i="76"/>
  <c r="BI22" i="76"/>
  <c r="BH22" i="76"/>
  <c r="BG22" i="76"/>
  <c r="BF22" i="76"/>
  <c r="BH21" i="75"/>
  <c r="BG21" i="75"/>
  <c r="BF21" i="75"/>
  <c r="BI21" i="75"/>
  <c r="BD22" i="75"/>
  <c r="BC23" i="75"/>
  <c r="BH19" i="74"/>
  <c r="BG19" i="74"/>
  <c r="BF19" i="74"/>
  <c r="BI19" i="74"/>
  <c r="BD20" i="74"/>
  <c r="BC21" i="74"/>
  <c r="BD18" i="73"/>
  <c r="BC19" i="73"/>
  <c r="BI17" i="73"/>
  <c r="BH17" i="73"/>
  <c r="BG17" i="73"/>
  <c r="BF17" i="73"/>
  <c r="BD16" i="71"/>
  <c r="BC17" i="71"/>
  <c r="BF15" i="71"/>
  <c r="BG15" i="71"/>
  <c r="BI15" i="71"/>
  <c r="BH15" i="71"/>
  <c r="BD14" i="70"/>
  <c r="BC15" i="70"/>
  <c r="BG13" i="70"/>
  <c r="BF13" i="70"/>
  <c r="BI13" i="70"/>
  <c r="BH13" i="70"/>
  <c r="BF13" i="69"/>
  <c r="BG13" i="69"/>
  <c r="BI13" i="69"/>
  <c r="BH13" i="69"/>
  <c r="BD14" i="69"/>
  <c r="BC15" i="69"/>
  <c r="BC14" i="68"/>
  <c r="BD13" i="68"/>
  <c r="BI12" i="68"/>
  <c r="BG12" i="68"/>
  <c r="BF12" i="68"/>
  <c r="BH12" i="68"/>
  <c r="BH7" i="66"/>
  <c r="BF7" i="66"/>
  <c r="BG7" i="66"/>
  <c r="BI7" i="66"/>
  <c r="BF13" i="66"/>
  <c r="BH13" i="66"/>
  <c r="BI13" i="66"/>
  <c r="BG13" i="66"/>
  <c r="BF10" i="66"/>
  <c r="BG10" i="66"/>
  <c r="BI10" i="66"/>
  <c r="BH10" i="66"/>
  <c r="BH9" i="66"/>
  <c r="BF9" i="66"/>
  <c r="BG9" i="66"/>
  <c r="BI9" i="66"/>
  <c r="BF11" i="66"/>
  <c r="BH11" i="66"/>
  <c r="BI11" i="66"/>
  <c r="BG11" i="66"/>
  <c r="BD14" i="66"/>
  <c r="BC15" i="66"/>
  <c r="BF12" i="66"/>
  <c r="BH12" i="66"/>
  <c r="BI12" i="66"/>
  <c r="BG12" i="66"/>
  <c r="BH8" i="66"/>
  <c r="BF8" i="66"/>
  <c r="BG8" i="66"/>
  <c r="BI8" i="66"/>
  <c r="BD15" i="65"/>
  <c r="BG15" i="65" s="1"/>
  <c r="BD16" i="65"/>
  <c r="BC17" i="65"/>
  <c r="BD10" i="65"/>
  <c r="BD11" i="65"/>
  <c r="BD7" i="65"/>
  <c r="BD12" i="65"/>
  <c r="BD14" i="65"/>
  <c r="BD8" i="65"/>
  <c r="BD9" i="65"/>
  <c r="BD13" i="65"/>
  <c r="M8" i="64"/>
  <c r="M9" i="64"/>
  <c r="C77" i="64"/>
  <c r="AY52" i="64"/>
  <c r="AY17" i="64"/>
  <c r="AY49" i="64"/>
  <c r="AY56" i="64"/>
  <c r="AY32" i="64"/>
  <c r="AY16" i="64"/>
  <c r="AY14" i="64"/>
  <c r="AY35" i="64"/>
  <c r="AY28" i="64"/>
  <c r="AY12" i="64"/>
  <c r="AY39" i="64"/>
  <c r="AY45" i="64"/>
  <c r="AY20" i="64"/>
  <c r="AY54" i="64"/>
  <c r="AY33" i="64"/>
  <c r="AY25" i="64"/>
  <c r="AY48" i="64"/>
  <c r="AY53" i="64"/>
  <c r="AY62" i="64"/>
  <c r="AY40" i="64"/>
  <c r="AY21" i="64"/>
  <c r="AY30" i="64"/>
  <c r="AY22" i="64"/>
  <c r="AY41" i="64"/>
  <c r="AY9" i="64"/>
  <c r="AY10" i="64"/>
  <c r="AY7" i="64"/>
  <c r="AY37" i="64"/>
  <c r="AY27" i="64"/>
  <c r="AY59" i="64"/>
  <c r="AY47" i="64"/>
  <c r="AY61" i="64"/>
  <c r="AY43" i="64"/>
  <c r="AY18" i="64"/>
  <c r="AY36" i="64"/>
  <c r="AY11" i="64"/>
  <c r="AY38" i="64"/>
  <c r="AY24" i="64"/>
  <c r="AY8" i="64"/>
  <c r="AY57" i="64"/>
  <c r="AY42" i="64"/>
  <c r="AY51" i="64"/>
  <c r="AY50" i="64"/>
  <c r="AY29" i="64"/>
  <c r="AY34" i="64"/>
  <c r="AY44" i="64"/>
  <c r="M14" i="64"/>
  <c r="L5" i="64"/>
  <c r="AY46" i="64"/>
  <c r="AY23" i="64"/>
  <c r="M13" i="64"/>
  <c r="BC11" i="64"/>
  <c r="AY13" i="64"/>
  <c r="M12" i="64"/>
  <c r="AY60" i="64"/>
  <c r="AY55" i="64"/>
  <c r="AY63" i="64"/>
  <c r="AY58" i="64"/>
  <c r="AY26" i="64"/>
  <c r="Y14" i="64"/>
  <c r="AY31" i="64"/>
  <c r="M11" i="64"/>
  <c r="AY15" i="64"/>
  <c r="AY19" i="64"/>
  <c r="AW9" i="63"/>
  <c r="AX9" i="63" s="1"/>
  <c r="AW11" i="63"/>
  <c r="AX11" i="63" s="1"/>
  <c r="AW13" i="63"/>
  <c r="AX13" i="63" s="1"/>
  <c r="AW10" i="63"/>
  <c r="AX10" i="63" s="1"/>
  <c r="AW8" i="63"/>
  <c r="AX8" i="63" s="1"/>
  <c r="AW12" i="63"/>
  <c r="AX12" i="63" s="1"/>
  <c r="L14" i="63"/>
  <c r="L5" i="63" s="1"/>
  <c r="AW15" i="63"/>
  <c r="AX15" i="63" s="1"/>
  <c r="BC14" i="63"/>
  <c r="AW18" i="63"/>
  <c r="AX18" i="63" s="1"/>
  <c r="AW22" i="63"/>
  <c r="AX22" i="63" s="1"/>
  <c r="AW26" i="63"/>
  <c r="AX26" i="63" s="1"/>
  <c r="AW30" i="63"/>
  <c r="AX30" i="63" s="1"/>
  <c r="AW34" i="63"/>
  <c r="AX34" i="63" s="1"/>
  <c r="M14" i="63"/>
  <c r="AW16" i="63"/>
  <c r="AX16" i="63" s="1"/>
  <c r="AW46" i="63"/>
  <c r="AX46" i="63" s="1"/>
  <c r="AW20" i="63"/>
  <c r="AX20" i="63" s="1"/>
  <c r="AW24" i="63"/>
  <c r="AX24" i="63" s="1"/>
  <c r="AW28" i="63"/>
  <c r="AX28" i="63" s="1"/>
  <c r="AW32" i="63"/>
  <c r="AX32" i="63" s="1"/>
  <c r="AW36" i="63"/>
  <c r="AX36" i="63" s="1"/>
  <c r="AW54" i="63"/>
  <c r="AX54" i="63" s="1"/>
  <c r="AW52" i="63"/>
  <c r="AX52" i="63" s="1"/>
  <c r="AW39" i="63"/>
  <c r="AX39" i="63" s="1"/>
  <c r="AW61" i="63"/>
  <c r="AW59" i="63"/>
  <c r="AX59" i="63" s="1"/>
  <c r="AW48" i="63"/>
  <c r="AX48" i="63" s="1"/>
  <c r="AW43" i="63"/>
  <c r="AX43" i="63" s="1"/>
  <c r="AW14" i="63"/>
  <c r="AX14" i="63" s="1"/>
  <c r="AW37" i="63"/>
  <c r="AX37" i="63" s="1"/>
  <c r="AW38" i="63"/>
  <c r="AX38" i="63" s="1"/>
  <c r="AW41" i="63"/>
  <c r="AX41" i="63" s="1"/>
  <c r="AW42" i="63"/>
  <c r="AX42" i="63" s="1"/>
  <c r="AW63" i="63"/>
  <c r="AX63" i="63" s="1"/>
  <c r="AW49" i="63"/>
  <c r="AX49" i="63" s="1"/>
  <c r="AW17" i="63"/>
  <c r="AX17" i="63" s="1"/>
  <c r="AW19" i="63"/>
  <c r="AX19" i="63" s="1"/>
  <c r="AW21" i="63"/>
  <c r="AX21" i="63" s="1"/>
  <c r="AW23" i="63"/>
  <c r="AX23" i="63" s="1"/>
  <c r="AW25" i="63"/>
  <c r="AX25" i="63" s="1"/>
  <c r="AW27" i="63"/>
  <c r="AX27" i="63" s="1"/>
  <c r="AW29" i="63"/>
  <c r="AX29" i="63" s="1"/>
  <c r="AW31" i="63"/>
  <c r="AX31" i="63" s="1"/>
  <c r="AW33" i="63"/>
  <c r="AX33" i="63" s="1"/>
  <c r="AW35" i="63"/>
  <c r="AX35" i="63" s="1"/>
  <c r="AW50" i="63"/>
  <c r="AX50" i="63" s="1"/>
  <c r="AW40" i="63"/>
  <c r="AX40" i="63" s="1"/>
  <c r="AW47" i="63"/>
  <c r="AX47" i="63" s="1"/>
  <c r="AW53" i="63"/>
  <c r="AX53" i="63" s="1"/>
  <c r="AW44" i="63"/>
  <c r="AX44" i="63" s="1"/>
  <c r="AW45" i="63"/>
  <c r="AX45" i="63" s="1"/>
  <c r="AW51" i="63"/>
  <c r="AX51" i="63" s="1"/>
  <c r="AW55" i="63"/>
  <c r="AX55" i="63" s="1"/>
  <c r="AW57" i="63"/>
  <c r="AX57" i="63" s="1"/>
  <c r="AW58" i="63"/>
  <c r="AX58" i="63" s="1"/>
  <c r="AW60" i="63"/>
  <c r="AX60" i="63" s="1"/>
  <c r="AW56" i="63"/>
  <c r="AX56" i="63" s="1"/>
  <c r="AX61" i="63"/>
  <c r="AW62" i="63"/>
  <c r="AX62" i="63" s="1"/>
  <c r="B57" i="62"/>
  <c r="B58" i="62" s="1"/>
  <c r="B59" i="62" s="1"/>
  <c r="B60" i="62" s="1"/>
  <c r="B61" i="62" s="1"/>
  <c r="B7" i="62"/>
  <c r="B8" i="62" s="1"/>
  <c r="B9" i="62" s="1"/>
  <c r="B10" i="62" s="1"/>
  <c r="B11" i="62" s="1"/>
  <c r="B12" i="62" s="1"/>
  <c r="B13" i="62" s="1"/>
  <c r="B14" i="62" s="1"/>
  <c r="B15" i="62" s="1"/>
  <c r="B16" i="62" s="1"/>
  <c r="B17" i="62" s="1"/>
  <c r="B18" i="62" s="1"/>
  <c r="B19" i="62" s="1"/>
  <c r="B20" i="62" s="1"/>
  <c r="B21" i="62" s="1"/>
  <c r="B22" i="62" s="1"/>
  <c r="B23" i="62" s="1"/>
  <c r="B24" i="62" s="1"/>
  <c r="B25" i="62" s="1"/>
  <c r="B26" i="62" s="1"/>
  <c r="B27" i="62" s="1"/>
  <c r="B28" i="62" s="1"/>
  <c r="B29" i="62" s="1"/>
  <c r="B30" i="62" s="1"/>
  <c r="B31" i="62" s="1"/>
  <c r="B32" i="62" s="1"/>
  <c r="B33" i="62" s="1"/>
  <c r="B34" i="62" s="1"/>
  <c r="B35" i="62" s="1"/>
  <c r="B36" i="62" s="1"/>
  <c r="B37" i="62" s="1"/>
  <c r="B38" i="62" s="1"/>
  <c r="B39" i="62" s="1"/>
  <c r="B40" i="62" s="1"/>
  <c r="B41" i="62" s="1"/>
  <c r="B42" i="62" s="1"/>
  <c r="B43" i="62" s="1"/>
  <c r="B44" i="62" s="1"/>
  <c r="B45" i="62" s="1"/>
  <c r="B46" i="62" s="1"/>
  <c r="B47" i="62" s="1"/>
  <c r="B48" i="62" s="1"/>
  <c r="B49" i="62" s="1"/>
  <c r="B50" i="62" s="1"/>
  <c r="B51" i="62" s="1"/>
  <c r="B52" i="62" s="1"/>
  <c r="BD39" i="85" l="1"/>
  <c r="BC40" i="85"/>
  <c r="BI38" i="85"/>
  <c r="BH38" i="85"/>
  <c r="BG38" i="85"/>
  <c r="BF38" i="85"/>
  <c r="BG37" i="84"/>
  <c r="BF37" i="84"/>
  <c r="BI37" i="84"/>
  <c r="BH37" i="84"/>
  <c r="BC39" i="84"/>
  <c r="BD38" i="84"/>
  <c r="BG34" i="83"/>
  <c r="BH34" i="83"/>
  <c r="BI34" i="83"/>
  <c r="BF34" i="83"/>
  <c r="BC36" i="83"/>
  <c r="BD35" i="83"/>
  <c r="BH28" i="81"/>
  <c r="BG28" i="81"/>
  <c r="BI28" i="81"/>
  <c r="BF28" i="81"/>
  <c r="BD29" i="81"/>
  <c r="BC30" i="81"/>
  <c r="BH27" i="80"/>
  <c r="BI27" i="80"/>
  <c r="BG27" i="80"/>
  <c r="BF27" i="80"/>
  <c r="BD28" i="80"/>
  <c r="BC29" i="80"/>
  <c r="BG26" i="78"/>
  <c r="BF26" i="78"/>
  <c r="BI26" i="78"/>
  <c r="BH26" i="78"/>
  <c r="BC28" i="78"/>
  <c r="BD27" i="78"/>
  <c r="BG26" i="79"/>
  <c r="BF26" i="79"/>
  <c r="BI26" i="79"/>
  <c r="BH26" i="79"/>
  <c r="BC28" i="79"/>
  <c r="BD27" i="79"/>
  <c r="BC25" i="76"/>
  <c r="BD24" i="76"/>
  <c r="BF23" i="76"/>
  <c r="BI23" i="76"/>
  <c r="BG23" i="76"/>
  <c r="BH23" i="76"/>
  <c r="BD23" i="75"/>
  <c r="BC24" i="75"/>
  <c r="BI22" i="75"/>
  <c r="BH22" i="75"/>
  <c r="BG22" i="75"/>
  <c r="BF22" i="75"/>
  <c r="BD21" i="74"/>
  <c r="BC22" i="74"/>
  <c r="BI20" i="74"/>
  <c r="BH20" i="74"/>
  <c r="BG20" i="74"/>
  <c r="BF20" i="74"/>
  <c r="BC20" i="73"/>
  <c r="BD19" i="73"/>
  <c r="BF18" i="73"/>
  <c r="BI18" i="73"/>
  <c r="BH18" i="73"/>
  <c r="BG18" i="73"/>
  <c r="BD17" i="71"/>
  <c r="BC18" i="71"/>
  <c r="BI16" i="71"/>
  <c r="BH16" i="71"/>
  <c r="BG16" i="71"/>
  <c r="BF16" i="71"/>
  <c r="BC16" i="70"/>
  <c r="BD15" i="70"/>
  <c r="BF14" i="70"/>
  <c r="BI14" i="70"/>
  <c r="BH14" i="70"/>
  <c r="BG14" i="70"/>
  <c r="BC16" i="69"/>
  <c r="BD15" i="69"/>
  <c r="BF14" i="69"/>
  <c r="BI14" i="69"/>
  <c r="BH14" i="69"/>
  <c r="BG14" i="69"/>
  <c r="BI13" i="68"/>
  <c r="BF13" i="68"/>
  <c r="BH13" i="68"/>
  <c r="BG13" i="68"/>
  <c r="BC15" i="68"/>
  <c r="BD14" i="68"/>
  <c r="BI15" i="65"/>
  <c r="BH15" i="65"/>
  <c r="BF15" i="65"/>
  <c r="BC16" i="66"/>
  <c r="BD15" i="66"/>
  <c r="BI14" i="66"/>
  <c r="BG14" i="66"/>
  <c r="BH14" i="66"/>
  <c r="BF14" i="66"/>
  <c r="BH13" i="65"/>
  <c r="BF13" i="65"/>
  <c r="BI13" i="65"/>
  <c r="BG13" i="65"/>
  <c r="BH12" i="65"/>
  <c r="BG12" i="65"/>
  <c r="BF12" i="65"/>
  <c r="BI12" i="65"/>
  <c r="BD17" i="65"/>
  <c r="BC18" i="65"/>
  <c r="BH9" i="65"/>
  <c r="BF9" i="65"/>
  <c r="BI9" i="65"/>
  <c r="BG9" i="65"/>
  <c r="BH7" i="65"/>
  <c r="BI7" i="65"/>
  <c r="BG7" i="65"/>
  <c r="BF7" i="65"/>
  <c r="BI16" i="65"/>
  <c r="BH16" i="65"/>
  <c r="BF16" i="65"/>
  <c r="BG16" i="65"/>
  <c r="BH8" i="65"/>
  <c r="BG8" i="65"/>
  <c r="BI8" i="65"/>
  <c r="BF8" i="65"/>
  <c r="BH11" i="65"/>
  <c r="BI11" i="65"/>
  <c r="BF11" i="65"/>
  <c r="BG11" i="65"/>
  <c r="BG14" i="65"/>
  <c r="BI14" i="65"/>
  <c r="BH14" i="65"/>
  <c r="BF14" i="65"/>
  <c r="BH10" i="65"/>
  <c r="BG10" i="65"/>
  <c r="BF10" i="65"/>
  <c r="BI10" i="65"/>
  <c r="BD10" i="64"/>
  <c r="BF10" i="64" s="1"/>
  <c r="BD11" i="64"/>
  <c r="BC12" i="64"/>
  <c r="BD9" i="64"/>
  <c r="BD8" i="64"/>
  <c r="BD7" i="64"/>
  <c r="C77" i="63"/>
  <c r="Y14" i="63"/>
  <c r="M13" i="63"/>
  <c r="M12" i="63"/>
  <c r="M11" i="63"/>
  <c r="M10" i="63"/>
  <c r="M9" i="63"/>
  <c r="M8" i="63"/>
  <c r="AY37" i="63"/>
  <c r="AY45" i="63"/>
  <c r="AY47" i="63"/>
  <c r="AY36" i="63"/>
  <c r="AY38" i="63"/>
  <c r="AY16" i="63"/>
  <c r="AY53" i="63"/>
  <c r="AY54" i="63"/>
  <c r="AY59" i="63"/>
  <c r="AY50" i="63"/>
  <c r="AY41" i="63"/>
  <c r="AY29" i="63"/>
  <c r="AY63" i="63"/>
  <c r="AY57" i="63"/>
  <c r="AY51" i="63"/>
  <c r="AY40" i="63"/>
  <c r="AY33" i="63"/>
  <c r="AY25" i="63"/>
  <c r="AY17" i="63"/>
  <c r="AY13" i="63"/>
  <c r="AY7" i="63"/>
  <c r="AY32" i="63"/>
  <c r="AY24" i="63"/>
  <c r="AY35" i="63"/>
  <c r="AY27" i="63"/>
  <c r="AY19" i="63"/>
  <c r="AY34" i="63"/>
  <c r="AY26" i="63"/>
  <c r="AY18" i="63"/>
  <c r="AY11" i="63"/>
  <c r="AY62" i="63"/>
  <c r="AY60" i="63"/>
  <c r="AY44" i="63"/>
  <c r="AY42" i="63"/>
  <c r="AY43" i="63"/>
  <c r="AY39" i="63"/>
  <c r="BC15" i="63"/>
  <c r="AY10" i="63"/>
  <c r="AY61" i="63"/>
  <c r="AY55" i="63"/>
  <c r="AY21" i="63"/>
  <c r="AY15" i="63"/>
  <c r="AY49" i="63"/>
  <c r="AY48" i="63"/>
  <c r="AY52" i="63"/>
  <c r="AY28" i="63"/>
  <c r="AY20" i="63"/>
  <c r="AY31" i="63"/>
  <c r="AY23" i="63"/>
  <c r="AY30" i="63"/>
  <c r="AY22" i="63"/>
  <c r="AY9" i="63"/>
  <c r="AY56" i="63"/>
  <c r="AY58" i="63"/>
  <c r="AY46" i="63"/>
  <c r="AY14" i="63"/>
  <c r="AY12" i="63"/>
  <c r="AY8" i="63"/>
  <c r="BW7" i="7"/>
  <c r="BW11" i="7"/>
  <c r="BW21" i="7"/>
  <c r="BW31" i="7"/>
  <c r="AJ26" i="68"/>
  <c r="AK48" i="70"/>
  <c r="AK38" i="70"/>
  <c r="AK18" i="70"/>
  <c r="AK36" i="70"/>
  <c r="G44" i="68"/>
  <c r="E22" i="70"/>
  <c r="G61" i="68"/>
  <c r="E14" i="70"/>
  <c r="AJ9" i="69"/>
  <c r="E38" i="70"/>
  <c r="AJ36" i="68"/>
  <c r="AJ23" i="68"/>
  <c r="G15" i="66"/>
  <c r="AJ37" i="69"/>
  <c r="AJ18" i="68"/>
  <c r="G48" i="69"/>
  <c r="AL26" i="70"/>
  <c r="AJ29" i="66"/>
  <c r="AJ17" i="66"/>
  <c r="E54" i="70"/>
  <c r="AJ11" i="69"/>
  <c r="G41" i="69"/>
  <c r="AK9" i="70"/>
  <c r="AL29" i="70"/>
  <c r="G32" i="66"/>
  <c r="AJ61" i="68"/>
  <c r="E23" i="69"/>
  <c r="AJ56" i="69"/>
  <c r="AK20" i="70"/>
  <c r="E11" i="70"/>
  <c r="AJ54" i="68"/>
  <c r="AL50" i="70"/>
  <c r="E53" i="70"/>
  <c r="AJ46" i="68"/>
  <c r="AL32" i="70"/>
  <c r="AJ34" i="66"/>
  <c r="AL17" i="70"/>
  <c r="AJ50" i="69"/>
  <c r="AJ42" i="69"/>
  <c r="AJ25" i="68"/>
  <c r="AL61" i="70"/>
  <c r="AJ41" i="68"/>
  <c r="G21" i="68"/>
  <c r="AL28" i="70"/>
  <c r="G24" i="69"/>
  <c r="AJ65" i="66"/>
  <c r="AJ41" i="69"/>
  <c r="AJ42" i="66"/>
  <c r="AJ41" i="66"/>
  <c r="AK19" i="70"/>
  <c r="AK54" i="70"/>
  <c r="AJ62" i="68"/>
  <c r="E6" i="68"/>
  <c r="AJ22" i="65"/>
  <c r="AJ7" i="68"/>
  <c r="AK39" i="70"/>
  <c r="G49" i="69"/>
  <c r="AJ44" i="66"/>
  <c r="AJ57" i="66"/>
  <c r="AJ39" i="68"/>
  <c r="G15" i="68"/>
  <c r="AK15" i="70"/>
  <c r="AJ45" i="66"/>
  <c r="AJ51" i="68"/>
  <c r="G43" i="66"/>
  <c r="AJ63" i="69"/>
  <c r="AK52" i="70"/>
  <c r="G51" i="66"/>
  <c r="AJ50" i="68"/>
  <c r="G36" i="68"/>
  <c r="G45" i="66"/>
  <c r="G31" i="66"/>
  <c r="G48" i="68"/>
  <c r="AJ48" i="66"/>
  <c r="G18" i="68"/>
  <c r="AK28" i="70"/>
  <c r="G11" i="68"/>
  <c r="AJ33" i="68"/>
  <c r="AL9" i="70"/>
  <c r="AJ17" i="69"/>
  <c r="AL39" i="70"/>
  <c r="G10" i="68"/>
  <c r="AJ57" i="68"/>
  <c r="G12" i="68"/>
  <c r="G17" i="69"/>
  <c r="AL52" i="70"/>
  <c r="AK22" i="70"/>
  <c r="AJ41" i="65"/>
  <c r="AJ44" i="69"/>
  <c r="AJ64" i="69"/>
  <c r="G17" i="66"/>
  <c r="G52" i="68"/>
  <c r="G39" i="69"/>
  <c r="G20" i="68"/>
  <c r="G52" i="66"/>
  <c r="AJ24" i="65"/>
  <c r="AJ34" i="68"/>
  <c r="G11" i="69"/>
  <c r="G53" i="68"/>
  <c r="AJ29" i="68"/>
  <c r="AK27" i="70"/>
  <c r="E51" i="70"/>
  <c r="AK46" i="70"/>
  <c r="E31" i="70"/>
  <c r="G25" i="66"/>
  <c r="G43" i="69"/>
  <c r="G29" i="68"/>
  <c r="AJ43" i="69"/>
  <c r="AK10" i="69"/>
  <c r="E15" i="69"/>
  <c r="AJ67" i="66"/>
  <c r="AL18" i="70"/>
  <c r="AL22" i="70"/>
  <c r="AJ15" i="69"/>
  <c r="AJ21" i="66"/>
  <c r="AJ23" i="66"/>
  <c r="E6" i="65"/>
  <c r="AJ19" i="69"/>
  <c r="AL46" i="70"/>
  <c r="AJ37" i="68"/>
  <c r="G61" i="66"/>
  <c r="G50" i="69"/>
  <c r="E12" i="70"/>
  <c r="AJ11" i="68"/>
  <c r="AJ21" i="68"/>
  <c r="AJ58" i="68"/>
  <c r="AJ22" i="68"/>
  <c r="G21" i="66"/>
  <c r="G31" i="68"/>
  <c r="AJ54" i="66"/>
  <c r="G34" i="68"/>
  <c r="AL37" i="70"/>
  <c r="AJ26" i="69"/>
  <c r="AK21" i="70"/>
  <c r="AJ51" i="66"/>
  <c r="G16" i="68"/>
  <c r="E28" i="70"/>
  <c r="AJ16" i="69"/>
  <c r="G19" i="68"/>
  <c r="AJ52" i="66"/>
  <c r="G36" i="66"/>
  <c r="AL20" i="70"/>
  <c r="G9" i="68"/>
  <c r="AJ35" i="69"/>
  <c r="AL47" i="70"/>
  <c r="AJ38" i="66"/>
  <c r="AJ56" i="68"/>
  <c r="G33" i="68"/>
  <c r="G18" i="69"/>
  <c r="AJ58" i="69"/>
  <c r="AL24" i="70"/>
  <c r="E47" i="70"/>
  <c r="AJ64" i="68"/>
  <c r="G20" i="69"/>
  <c r="G35" i="66"/>
  <c r="E38" i="69"/>
  <c r="AK14" i="70"/>
  <c r="AK50" i="70"/>
  <c r="AJ32" i="66"/>
  <c r="AJ60" i="69"/>
  <c r="AJ16" i="68"/>
  <c r="AK24" i="70"/>
  <c r="AK32" i="70"/>
  <c r="AJ27" i="69"/>
  <c r="AJ57" i="69"/>
  <c r="G25" i="69"/>
  <c r="AJ40" i="66"/>
  <c r="G54" i="69"/>
  <c r="G47" i="69"/>
  <c r="G23" i="68"/>
  <c r="AJ29" i="69"/>
  <c r="E26" i="70"/>
  <c r="G28" i="68"/>
  <c r="G13" i="69"/>
  <c r="AJ31" i="69"/>
  <c r="AL7" i="70"/>
  <c r="E10" i="70"/>
  <c r="AJ53" i="68"/>
  <c r="G30" i="68"/>
  <c r="AL36" i="70"/>
  <c r="AK25" i="70"/>
  <c r="E9" i="70"/>
  <c r="AK47" i="70"/>
  <c r="AJ63" i="66"/>
  <c r="AJ66" i="69"/>
  <c r="E30" i="70"/>
  <c r="AJ34" i="69"/>
  <c r="AJ27" i="68"/>
  <c r="AJ18" i="69"/>
  <c r="AJ10" i="66"/>
  <c r="AJ20" i="68"/>
  <c r="G22" i="68"/>
  <c r="AK13" i="70"/>
  <c r="G25" i="68"/>
  <c r="E41" i="70"/>
  <c r="AJ25" i="69"/>
  <c r="AJ8" i="69"/>
  <c r="G9" i="69"/>
  <c r="AJ13" i="68"/>
  <c r="AJ33" i="66"/>
  <c r="E39" i="70"/>
  <c r="AK37" i="70"/>
  <c r="AK35" i="70"/>
  <c r="AJ53" i="69"/>
  <c r="G51" i="69"/>
  <c r="G54" i="68"/>
  <c r="AK53" i="70"/>
  <c r="G19" i="66"/>
  <c r="G37" i="66"/>
  <c r="AJ20" i="66"/>
  <c r="E20" i="70"/>
  <c r="AJ31" i="68"/>
  <c r="G50" i="68"/>
  <c r="E45" i="70"/>
  <c r="AJ27" i="66"/>
  <c r="AK31" i="70"/>
  <c r="E61" i="70"/>
  <c r="E36" i="70"/>
  <c r="G40" i="68"/>
  <c r="E15" i="70"/>
  <c r="AJ22" i="69"/>
  <c r="AJ35" i="68"/>
  <c r="AJ59" i="66"/>
  <c r="AJ14" i="66"/>
  <c r="AJ9" i="66"/>
  <c r="AL21" i="70"/>
  <c r="G7" i="69"/>
  <c r="AK42" i="70"/>
  <c r="AJ46" i="69"/>
  <c r="E48" i="70"/>
  <c r="AJ55" i="68"/>
  <c r="E50" i="70"/>
  <c r="G49" i="68"/>
  <c r="G33" i="66"/>
  <c r="AJ47" i="69"/>
  <c r="E46" i="70"/>
  <c r="AJ52" i="69"/>
  <c r="E18" i="70"/>
  <c r="G8" i="69"/>
  <c r="G46" i="68"/>
  <c r="G24" i="68"/>
  <c r="AJ24" i="68"/>
  <c r="G54" i="66"/>
  <c r="E31" i="69"/>
  <c r="G28" i="69"/>
  <c r="AK11" i="70"/>
  <c r="AL41" i="70"/>
  <c r="G61" i="69"/>
  <c r="G37" i="69"/>
  <c r="G44" i="66"/>
  <c r="G12" i="69"/>
  <c r="AJ61" i="66"/>
  <c r="G13" i="66"/>
  <c r="AK44" i="70"/>
  <c r="AJ65" i="68"/>
  <c r="AJ12" i="66"/>
  <c r="AJ26" i="66"/>
  <c r="G40" i="66"/>
  <c r="AJ66" i="68"/>
  <c r="AL11" i="70"/>
  <c r="AL10" i="69"/>
  <c r="AJ45" i="69"/>
  <c r="AJ52" i="68"/>
  <c r="AJ14" i="69"/>
  <c r="AL53" i="70"/>
  <c r="E17" i="70"/>
  <c r="AL42" i="70"/>
  <c r="AJ25" i="66"/>
  <c r="G48" i="66"/>
  <c r="G53" i="66"/>
  <c r="G22" i="66"/>
  <c r="E21" i="70"/>
  <c r="G7" i="68"/>
  <c r="AJ13" i="69"/>
  <c r="AJ17" i="68"/>
  <c r="E26" i="69"/>
  <c r="AL19" i="70"/>
  <c r="AJ36" i="69"/>
  <c r="AJ51" i="69"/>
  <c r="AJ45" i="68"/>
  <c r="AK7" i="70"/>
  <c r="AL35" i="70"/>
  <c r="G53" i="69"/>
  <c r="AJ17" i="65"/>
  <c r="AK61" i="70"/>
  <c r="G32" i="68"/>
  <c r="G16" i="69"/>
  <c r="AJ55" i="69"/>
  <c r="E49" i="70"/>
  <c r="AL49" i="70"/>
  <c r="AL38" i="70"/>
  <c r="AJ11" i="66"/>
  <c r="AJ20" i="69"/>
  <c r="E40" i="70"/>
  <c r="E24" i="70"/>
  <c r="AK33" i="70"/>
  <c r="G50" i="66"/>
  <c r="G14" i="66"/>
  <c r="AK17" i="70"/>
  <c r="AK23" i="70"/>
  <c r="E33" i="70"/>
  <c r="AL14" i="70"/>
  <c r="AJ55" i="66"/>
  <c r="E34" i="70"/>
  <c r="G41" i="66"/>
  <c r="AJ22" i="66"/>
  <c r="AJ21" i="69"/>
  <c r="AL54" i="70"/>
  <c r="AL13" i="70"/>
  <c r="AJ12" i="69"/>
  <c r="AJ24" i="66"/>
  <c r="AJ28" i="69"/>
  <c r="E35" i="70"/>
  <c r="E52" i="70"/>
  <c r="E32" i="70"/>
  <c r="AK43" i="70"/>
  <c r="G10" i="69"/>
  <c r="G26" i="66"/>
  <c r="G29" i="66"/>
  <c r="AJ60" i="66"/>
  <c r="G39" i="66"/>
  <c r="AJ56" i="66"/>
  <c r="G34" i="69"/>
  <c r="AJ43" i="66"/>
  <c r="AJ33" i="69"/>
  <c r="G30" i="66"/>
  <c r="AJ49" i="69"/>
  <c r="AL44" i="70"/>
  <c r="AL7" i="69"/>
  <c r="AJ67" i="69"/>
  <c r="AJ15" i="68"/>
  <c r="AJ20" i="65"/>
  <c r="AK49" i="70"/>
  <c r="G42" i="69"/>
  <c r="AL43" i="70"/>
  <c r="G45" i="69"/>
  <c r="AJ44" i="68"/>
  <c r="AJ61" i="69"/>
  <c r="AJ12" i="68"/>
  <c r="G33" i="69"/>
  <c r="E42" i="70"/>
  <c r="G27" i="68"/>
  <c r="E44" i="70"/>
  <c r="AK16" i="70"/>
  <c r="AK7" i="69"/>
  <c r="G11" i="66"/>
  <c r="AJ31" i="66"/>
  <c r="G19" i="69"/>
  <c r="AJ13" i="66"/>
  <c r="G24" i="66"/>
  <c r="AJ18" i="66"/>
  <c r="AL34" i="70"/>
  <c r="AJ14" i="68"/>
  <c r="AL15" i="70"/>
  <c r="AJ10" i="68"/>
  <c r="G28" i="66"/>
  <c r="E43" i="70"/>
  <c r="AJ67" i="68"/>
  <c r="AK34" i="70"/>
  <c r="AJ28" i="68"/>
  <c r="G46" i="66"/>
  <c r="AJ23" i="69"/>
  <c r="G21" i="69"/>
  <c r="G23" i="66"/>
  <c r="AL25" i="70"/>
  <c r="AK41" i="70"/>
  <c r="AJ28" i="66"/>
  <c r="AJ30" i="69"/>
  <c r="AJ60" i="68"/>
  <c r="AJ47" i="68"/>
  <c r="G30" i="69"/>
  <c r="G40" i="69"/>
  <c r="AJ54" i="69"/>
  <c r="AJ64" i="66"/>
  <c r="AL40" i="70"/>
  <c r="AL51" i="70"/>
  <c r="AJ46" i="66"/>
  <c r="AJ47" i="66"/>
  <c r="G9" i="66"/>
  <c r="AK40" i="70"/>
  <c r="G41" i="68"/>
  <c r="E27" i="70"/>
  <c r="G35" i="69"/>
  <c r="G42" i="68"/>
  <c r="AJ15" i="66"/>
  <c r="G38" i="68"/>
  <c r="AJ48" i="69"/>
  <c r="G49" i="66"/>
  <c r="AJ66" i="66"/>
  <c r="G26" i="68"/>
  <c r="E27" i="69"/>
  <c r="AJ19" i="66"/>
  <c r="G12" i="66"/>
  <c r="G44" i="69"/>
  <c r="AJ19" i="68"/>
  <c r="AJ65" i="69"/>
  <c r="AJ36" i="66"/>
  <c r="AJ53" i="66"/>
  <c r="G27" i="66"/>
  <c r="G29" i="69"/>
  <c r="G16" i="66"/>
  <c r="G34" i="66"/>
  <c r="AK26" i="70"/>
  <c r="AL33" i="70"/>
  <c r="AJ32" i="68"/>
  <c r="G17" i="68"/>
  <c r="E37" i="70"/>
  <c r="E7" i="70"/>
  <c r="AJ8" i="68"/>
  <c r="AJ59" i="68"/>
  <c r="AJ38" i="69"/>
  <c r="AJ30" i="68"/>
  <c r="AJ43" i="68"/>
  <c r="AJ8" i="66"/>
  <c r="G36" i="69"/>
  <c r="AJ16" i="66"/>
  <c r="AJ62" i="66"/>
  <c r="AJ37" i="66"/>
  <c r="AJ59" i="69"/>
  <c r="AJ40" i="69"/>
  <c r="E8" i="70"/>
  <c r="G51" i="68"/>
  <c r="AK45" i="70"/>
  <c r="AJ49" i="66"/>
  <c r="AJ63" i="68"/>
  <c r="AJ32" i="69"/>
  <c r="AJ38" i="68"/>
  <c r="G32" i="69"/>
  <c r="E13" i="70"/>
  <c r="E19" i="70"/>
  <c r="G43" i="68"/>
  <c r="AL16" i="70"/>
  <c r="G8" i="66"/>
  <c r="AJ39" i="69"/>
  <c r="G38" i="66"/>
  <c r="E6" i="66"/>
  <c r="G35" i="68"/>
  <c r="G20" i="66"/>
  <c r="G52" i="69"/>
  <c r="G47" i="66"/>
  <c r="G14" i="68"/>
  <c r="AK51" i="70"/>
  <c r="G18" i="66"/>
  <c r="AJ7" i="66"/>
  <c r="G42" i="66"/>
  <c r="AK29" i="70"/>
  <c r="E29" i="70"/>
  <c r="G14" i="69"/>
  <c r="AJ42" i="68"/>
  <c r="AJ39" i="66"/>
  <c r="AL48" i="70"/>
  <c r="E16" i="70"/>
  <c r="E25" i="70"/>
  <c r="G45" i="68"/>
  <c r="AL31" i="70"/>
  <c r="G37" i="68"/>
  <c r="AJ24" i="69"/>
  <c r="AJ48" i="68"/>
  <c r="AJ50" i="66"/>
  <c r="G46" i="69"/>
  <c r="AJ35" i="66"/>
  <c r="G47" i="68"/>
  <c r="AJ40" i="68"/>
  <c r="G7" i="66"/>
  <c r="G22" i="69"/>
  <c r="AJ9" i="68"/>
  <c r="G39" i="68"/>
  <c r="AL23" i="70"/>
  <c r="AJ49" i="68"/>
  <c r="AJ58" i="66"/>
  <c r="G10" i="66"/>
  <c r="G13" i="68"/>
  <c r="AJ62" i="69"/>
  <c r="AL27" i="70"/>
  <c r="G8" i="68"/>
  <c r="AL45" i="70"/>
  <c r="AJ30" i="66"/>
  <c r="AU7" i="7"/>
  <c r="AG45" i="70" l="1"/>
  <c r="AH45" i="70"/>
  <c r="AH27" i="70"/>
  <c r="AG27" i="70"/>
  <c r="AL62" i="69"/>
  <c r="AK62" i="69"/>
  <c r="AM62" i="69" s="1"/>
  <c r="AL58" i="66"/>
  <c r="AK58" i="66"/>
  <c r="AM58" i="66" s="1"/>
  <c r="AG23" i="70"/>
  <c r="AH23" i="70"/>
  <c r="AG31" i="70"/>
  <c r="AH31" i="70"/>
  <c r="AG48" i="70"/>
  <c r="AH48" i="70"/>
  <c r="AM29" i="70"/>
  <c r="AM51" i="70"/>
  <c r="AH16" i="70"/>
  <c r="AG16" i="70"/>
  <c r="AL63" i="68"/>
  <c r="AK63" i="68"/>
  <c r="AM63" i="68" s="1"/>
  <c r="AM45" i="70"/>
  <c r="AL59" i="69"/>
  <c r="AK59" i="69"/>
  <c r="AM59" i="69" s="1"/>
  <c r="AK62" i="66"/>
  <c r="AM62" i="66" s="1"/>
  <c r="AL62" i="66"/>
  <c r="AK59" i="68"/>
  <c r="AM59" i="68" s="1"/>
  <c r="AL59" i="68"/>
  <c r="O10" i="70"/>
  <c r="O8" i="70"/>
  <c r="R11" i="70"/>
  <c r="U16" i="70" a="1"/>
  <c r="U16" i="70" s="1"/>
  <c r="U11" i="70"/>
  <c r="V11" i="70" s="1"/>
  <c r="R12" i="70"/>
  <c r="U13" i="70"/>
  <c r="V13" i="70" s="1"/>
  <c r="O13" i="70"/>
  <c r="P13" i="70" s="1"/>
  <c r="O11" i="70"/>
  <c r="AA11" i="70" s="1"/>
  <c r="R9" i="70"/>
  <c r="O12" i="70"/>
  <c r="R16" i="70" a="1"/>
  <c r="R16" i="70" s="1"/>
  <c r="O9" i="70"/>
  <c r="U9" i="70"/>
  <c r="V9" i="70" s="1"/>
  <c r="U12" i="70"/>
  <c r="V12" i="70" s="1"/>
  <c r="U10" i="70"/>
  <c r="V10" i="70" s="1"/>
  <c r="R10" i="70"/>
  <c r="R13" i="70"/>
  <c r="R8" i="70"/>
  <c r="U8" i="70"/>
  <c r="V8" i="70" s="1"/>
  <c r="O16" i="70" a="1"/>
  <c r="O16" i="70" s="1"/>
  <c r="AG33" i="70"/>
  <c r="AH33" i="70"/>
  <c r="AM26" i="70"/>
  <c r="AK65" i="69"/>
  <c r="AM65" i="69" s="1"/>
  <c r="AL65" i="69"/>
  <c r="AK66" i="66"/>
  <c r="AM66" i="66" s="1"/>
  <c r="AL66" i="66"/>
  <c r="AM40" i="70"/>
  <c r="AH51" i="70"/>
  <c r="AG51" i="70"/>
  <c r="AH40" i="70"/>
  <c r="AG40" i="70"/>
  <c r="AK64" i="66"/>
  <c r="AM64" i="66" s="1"/>
  <c r="AL64" i="66"/>
  <c r="AL60" i="68"/>
  <c r="AK60" i="68"/>
  <c r="AM60" i="68" s="1"/>
  <c r="AM41" i="70"/>
  <c r="AH25" i="70"/>
  <c r="AG25" i="70"/>
  <c r="AM34" i="70"/>
  <c r="AL67" i="68"/>
  <c r="AK67" i="68"/>
  <c r="AM67" i="68" s="1"/>
  <c r="AG15" i="70"/>
  <c r="AH15" i="70"/>
  <c r="AG34" i="70"/>
  <c r="AH34" i="70"/>
  <c r="AM7" i="69"/>
  <c r="AM16" i="70"/>
  <c r="AG43" i="70"/>
  <c r="AH43" i="70"/>
  <c r="AM49" i="70"/>
  <c r="AL67" i="69"/>
  <c r="AK67" i="69"/>
  <c r="AM67" i="69" s="1"/>
  <c r="AH7" i="69"/>
  <c r="AG7" i="69"/>
  <c r="AG44" i="70"/>
  <c r="AH44" i="70"/>
  <c r="AL56" i="66"/>
  <c r="AK56" i="66"/>
  <c r="AM56" i="66" s="1"/>
  <c r="AL60" i="66"/>
  <c r="AK60" i="66"/>
  <c r="AM60" i="66" s="1"/>
  <c r="AM43" i="70"/>
  <c r="AH13" i="70"/>
  <c r="AG13" i="70"/>
  <c r="AG54" i="70"/>
  <c r="AH54" i="70"/>
  <c r="AK55" i="66"/>
  <c r="AM55" i="66" s="1"/>
  <c r="AL55" i="66"/>
  <c r="AG14" i="70"/>
  <c r="AH14" i="70"/>
  <c r="AM23" i="70"/>
  <c r="AM17" i="70"/>
  <c r="AM33" i="70"/>
  <c r="AH38" i="70"/>
  <c r="AG38" i="70"/>
  <c r="AH49" i="70"/>
  <c r="AG49" i="70"/>
  <c r="AK55" i="69"/>
  <c r="AM55" i="69" s="1"/>
  <c r="AL55" i="69"/>
  <c r="AM61" i="70"/>
  <c r="AH35" i="70"/>
  <c r="AG35" i="70"/>
  <c r="AM7" i="70"/>
  <c r="AH19" i="70"/>
  <c r="AG19" i="70"/>
  <c r="AH42" i="70"/>
  <c r="AG42" i="70"/>
  <c r="AG53" i="70"/>
  <c r="AH53" i="70"/>
  <c r="AH10" i="69"/>
  <c r="AG10" i="69"/>
  <c r="AG11" i="70"/>
  <c r="AH11" i="70"/>
  <c r="AK66" i="68"/>
  <c r="AM66" i="68" s="1"/>
  <c r="AL66" i="68"/>
  <c r="AL65" i="68"/>
  <c r="AK65" i="68"/>
  <c r="AM65" i="68" s="1"/>
  <c r="AM44" i="70"/>
  <c r="AG41" i="70"/>
  <c r="AH41" i="70"/>
  <c r="AM11" i="70"/>
  <c r="AK55" i="68"/>
  <c r="AM55" i="68" s="1"/>
  <c r="AL55" i="68"/>
  <c r="AM42" i="70"/>
  <c r="AH21" i="70"/>
  <c r="AG21" i="70"/>
  <c r="AL59" i="66"/>
  <c r="AK59" i="66"/>
  <c r="AM59" i="66" s="1"/>
  <c r="AM31" i="70"/>
  <c r="AM53" i="70"/>
  <c r="AM35" i="70"/>
  <c r="AM37" i="70"/>
  <c r="AM13" i="70"/>
  <c r="AL66" i="69"/>
  <c r="AK66" i="69"/>
  <c r="AM66" i="69" s="1"/>
  <c r="AK63" i="66"/>
  <c r="AM63" i="66" s="1"/>
  <c r="AL63" i="66"/>
  <c r="AM47" i="70"/>
  <c r="AM25" i="70"/>
  <c r="AG36" i="70"/>
  <c r="AH36" i="70"/>
  <c r="AH7" i="70"/>
  <c r="AG7" i="70"/>
  <c r="AK57" i="69"/>
  <c r="AM57" i="69" s="1"/>
  <c r="AL57" i="69"/>
  <c r="AM32" i="70"/>
  <c r="AM24" i="70"/>
  <c r="AL60" i="69"/>
  <c r="AK60" i="69"/>
  <c r="AM60" i="69" s="1"/>
  <c r="AM50" i="70"/>
  <c r="AM14" i="70"/>
  <c r="AL64" i="68"/>
  <c r="AK64" i="68"/>
  <c r="AM64" i="68" s="1"/>
  <c r="AH24" i="70"/>
  <c r="AG24" i="70"/>
  <c r="AK58" i="69"/>
  <c r="AM58" i="69" s="1"/>
  <c r="AL58" i="69"/>
  <c r="AK56" i="68"/>
  <c r="AM56" i="68" s="1"/>
  <c r="AL56" i="68"/>
  <c r="AG47" i="70"/>
  <c r="AH47" i="70"/>
  <c r="AG20" i="70"/>
  <c r="AH20" i="70"/>
  <c r="AM21" i="70"/>
  <c r="AG37" i="70"/>
  <c r="AH37" i="70"/>
  <c r="AL58" i="68"/>
  <c r="AK58" i="68"/>
  <c r="AM58" i="68" s="1"/>
  <c r="AH46" i="70"/>
  <c r="AG46" i="70"/>
  <c r="AG22" i="70"/>
  <c r="AH22" i="70"/>
  <c r="AH18" i="70"/>
  <c r="AG18" i="70"/>
  <c r="AL67" i="66"/>
  <c r="AK67" i="66"/>
  <c r="AM67" i="66" s="1"/>
  <c r="AM10" i="69"/>
  <c r="AM46" i="70"/>
  <c r="AM27" i="70"/>
  <c r="AL64" i="69"/>
  <c r="AK64" i="69"/>
  <c r="AM64" i="69" s="1"/>
  <c r="AM22" i="70"/>
  <c r="AH52" i="70"/>
  <c r="AG52" i="70"/>
  <c r="AK57" i="68"/>
  <c r="AM57" i="68" s="1"/>
  <c r="AL57" i="68"/>
  <c r="AG39" i="70"/>
  <c r="AH39" i="70"/>
  <c r="AH9" i="70"/>
  <c r="AG9" i="70"/>
  <c r="AM28" i="70"/>
  <c r="AM52" i="70"/>
  <c r="AL63" i="69"/>
  <c r="AK63" i="69"/>
  <c r="AM63" i="69" s="1"/>
  <c r="AM15" i="70"/>
  <c r="AK57" i="66"/>
  <c r="AM57" i="66" s="1"/>
  <c r="AL57" i="66"/>
  <c r="AM39" i="70"/>
  <c r="AK62" i="68"/>
  <c r="AM62" i="68" s="1"/>
  <c r="AL62" i="68"/>
  <c r="AM54" i="70"/>
  <c r="AM19" i="70"/>
  <c r="AK65" i="66"/>
  <c r="AM65" i="66" s="1"/>
  <c r="AL65" i="66"/>
  <c r="AH28" i="70"/>
  <c r="AG28" i="70"/>
  <c r="AG61" i="70"/>
  <c r="AH61" i="70"/>
  <c r="AH17" i="70"/>
  <c r="AG17" i="70"/>
  <c r="AH32" i="70"/>
  <c r="AG32" i="70"/>
  <c r="AG50" i="70"/>
  <c r="AH50" i="70"/>
  <c r="AM20" i="70"/>
  <c r="AL56" i="69"/>
  <c r="AK56" i="69"/>
  <c r="AM56" i="69" s="1"/>
  <c r="AG29" i="70"/>
  <c r="AH29" i="70"/>
  <c r="AM9" i="70"/>
  <c r="AH26" i="70"/>
  <c r="AG26" i="70"/>
  <c r="AM36" i="70"/>
  <c r="AM18" i="70"/>
  <c r="AM38" i="70"/>
  <c r="AM48" i="70"/>
  <c r="BC41" i="85"/>
  <c r="BD40" i="85"/>
  <c r="BF39" i="85"/>
  <c r="BI39" i="85"/>
  <c r="BH39" i="85"/>
  <c r="BG39" i="85"/>
  <c r="BH38" i="84"/>
  <c r="BG38" i="84"/>
  <c r="BF38" i="84"/>
  <c r="BI38" i="84"/>
  <c r="BD39" i="84"/>
  <c r="BC40" i="84"/>
  <c r="BF35" i="83"/>
  <c r="BG35" i="83"/>
  <c r="BI35" i="83"/>
  <c r="BH35" i="83"/>
  <c r="BD36" i="83"/>
  <c r="BC37" i="83"/>
  <c r="AA12" i="70"/>
  <c r="R14" i="70"/>
  <c r="S12" i="70" s="1"/>
  <c r="AA13" i="70"/>
  <c r="BD30" i="81"/>
  <c r="BC31" i="81"/>
  <c r="BI29" i="81"/>
  <c r="BH29" i="81"/>
  <c r="BG29" i="81"/>
  <c r="BF29" i="81"/>
  <c r="BD29" i="80"/>
  <c r="BC30" i="80"/>
  <c r="BI28" i="80"/>
  <c r="BH28" i="80"/>
  <c r="BG28" i="80"/>
  <c r="BF28" i="80"/>
  <c r="BH27" i="78"/>
  <c r="BG27" i="78"/>
  <c r="BF27" i="78"/>
  <c r="BI27" i="78"/>
  <c r="BD28" i="78"/>
  <c r="BC29" i="78"/>
  <c r="BH27" i="79"/>
  <c r="BG27" i="79"/>
  <c r="BF27" i="79"/>
  <c r="BI27" i="79"/>
  <c r="BD28" i="79"/>
  <c r="BC29" i="79"/>
  <c r="BG24" i="76"/>
  <c r="BH24" i="76"/>
  <c r="BF24" i="76"/>
  <c r="BI24" i="76"/>
  <c r="BC26" i="76"/>
  <c r="BD25" i="76"/>
  <c r="BC25" i="75"/>
  <c r="BD24" i="75"/>
  <c r="BF23" i="75"/>
  <c r="BI23" i="75"/>
  <c r="BH23" i="75"/>
  <c r="BG23" i="75"/>
  <c r="BC23" i="74"/>
  <c r="BD22" i="74"/>
  <c r="BF21" i="74"/>
  <c r="BI21" i="74"/>
  <c r="BH21" i="74"/>
  <c r="BG21" i="74"/>
  <c r="BG19" i="73"/>
  <c r="BF19" i="73"/>
  <c r="BI19" i="73"/>
  <c r="BH19" i="73"/>
  <c r="BC21" i="73"/>
  <c r="BD20" i="73"/>
  <c r="BD18" i="71"/>
  <c r="BC19" i="71"/>
  <c r="BF17" i="71"/>
  <c r="BI17" i="71"/>
  <c r="BG17" i="71"/>
  <c r="BH17" i="71"/>
  <c r="BG15" i="70"/>
  <c r="BF15" i="70"/>
  <c r="BI15" i="70"/>
  <c r="BH15" i="70"/>
  <c r="BC17" i="70"/>
  <c r="BD16" i="70"/>
  <c r="BF15" i="69"/>
  <c r="BG15" i="69"/>
  <c r="BI15" i="69"/>
  <c r="BH15" i="69"/>
  <c r="BD16" i="69"/>
  <c r="BC17" i="69"/>
  <c r="BH14" i="68"/>
  <c r="BG14" i="68"/>
  <c r="BI14" i="68"/>
  <c r="BF14" i="68"/>
  <c r="BD15" i="68"/>
  <c r="BC16" i="68"/>
  <c r="BI10" i="64"/>
  <c r="BF15" i="66"/>
  <c r="BH15" i="66"/>
  <c r="BG15" i="66"/>
  <c r="BI15" i="66"/>
  <c r="BC17" i="66"/>
  <c r="BD16" i="66"/>
  <c r="BH10" i="64"/>
  <c r="BG10" i="64"/>
  <c r="BC19" i="65"/>
  <c r="BD18" i="65"/>
  <c r="BF17" i="65"/>
  <c r="BI17" i="65"/>
  <c r="BH17" i="65"/>
  <c r="BG17" i="65"/>
  <c r="BI8" i="64"/>
  <c r="BF8" i="64"/>
  <c r="BH8" i="64"/>
  <c r="BG8" i="64"/>
  <c r="BI9" i="64"/>
  <c r="BF9" i="64"/>
  <c r="BG9" i="64"/>
  <c r="BH9" i="64"/>
  <c r="BC13" i="64"/>
  <c r="BD12" i="64"/>
  <c r="BI7" i="64"/>
  <c r="BH7" i="64"/>
  <c r="BF7" i="64"/>
  <c r="BG7" i="64"/>
  <c r="BI11" i="64"/>
  <c r="BF11" i="64"/>
  <c r="BG11" i="64"/>
  <c r="BH11" i="64"/>
  <c r="BD14" i="63"/>
  <c r="BG14" i="63" s="1"/>
  <c r="BD15" i="63"/>
  <c r="BC16" i="63"/>
  <c r="BD12" i="63"/>
  <c r="BD10" i="63"/>
  <c r="BD11" i="63"/>
  <c r="BD9" i="63"/>
  <c r="BD8" i="63"/>
  <c r="BD7" i="63"/>
  <c r="BD13" i="63"/>
  <c r="BH62" i="5"/>
  <c r="BG62" i="5"/>
  <c r="BF62" i="5"/>
  <c r="BH61" i="5"/>
  <c r="BH63" i="5" s="1"/>
  <c r="BG61" i="5"/>
  <c r="BG63" i="5" s="1"/>
  <c r="BF61" i="5"/>
  <c r="BF63" i="5" s="1"/>
  <c r="BI57" i="5"/>
  <c r="BH57" i="5"/>
  <c r="BG57" i="5"/>
  <c r="BF57" i="5"/>
  <c r="BI56" i="5"/>
  <c r="BH56" i="5"/>
  <c r="BG56" i="5"/>
  <c r="BG58" i="5" s="1"/>
  <c r="BF56" i="5"/>
  <c r="BF58" i="5" s="1"/>
  <c r="BI47" i="5"/>
  <c r="BH47" i="5"/>
  <c r="BG47" i="5"/>
  <c r="BF47" i="5"/>
  <c r="BI46" i="5"/>
  <c r="BH46" i="5"/>
  <c r="BH52" i="5" s="1"/>
  <c r="BG46" i="5"/>
  <c r="BG52" i="5" s="1"/>
  <c r="BF46" i="5"/>
  <c r="BF52" i="5" s="1"/>
  <c r="BI45" i="5"/>
  <c r="BH45" i="5"/>
  <c r="BG45" i="5"/>
  <c r="BF45" i="5"/>
  <c r="BI44" i="5"/>
  <c r="BH44" i="5"/>
  <c r="BH51" i="5" s="1"/>
  <c r="BH53" i="5" s="1"/>
  <c r="BG44" i="5"/>
  <c r="BG51" i="5" s="1"/>
  <c r="BG53" i="5" s="1"/>
  <c r="BF44" i="5"/>
  <c r="BF51" i="5" s="1"/>
  <c r="BF53" i="5" s="1"/>
  <c r="BI43" i="5"/>
  <c r="BH43" i="5"/>
  <c r="BG43" i="5"/>
  <c r="BF43" i="5"/>
  <c r="BI42" i="5"/>
  <c r="BH42" i="5"/>
  <c r="BH50" i="5" s="1"/>
  <c r="BG42" i="5"/>
  <c r="BG50" i="5" s="1"/>
  <c r="BF42" i="5"/>
  <c r="BF50" i="5" s="1"/>
  <c r="BI40" i="5"/>
  <c r="BH40" i="5"/>
  <c r="BG40" i="5"/>
  <c r="BF40" i="5"/>
  <c r="C68" i="61"/>
  <c r="B68" i="61" s="1"/>
  <c r="AH67" i="61"/>
  <c r="AG67" i="61"/>
  <c r="AF67" i="61"/>
  <c r="AH66" i="61"/>
  <c r="AG66" i="61"/>
  <c r="AF66" i="61"/>
  <c r="AH65" i="61"/>
  <c r="AG65" i="61"/>
  <c r="AF65" i="61"/>
  <c r="AH64" i="61"/>
  <c r="AG64" i="61"/>
  <c r="AF64" i="61"/>
  <c r="AV63" i="61"/>
  <c r="AH63" i="61"/>
  <c r="AG63" i="61"/>
  <c r="AF63" i="61"/>
  <c r="AV62" i="61"/>
  <c r="AH62" i="61"/>
  <c r="AG62" i="61"/>
  <c r="AF62" i="61"/>
  <c r="AV61" i="61"/>
  <c r="AV60" i="61"/>
  <c r="AH60" i="61"/>
  <c r="AG60" i="61"/>
  <c r="AF60" i="61"/>
  <c r="AF61" i="61" s="1"/>
  <c r="G60" i="61"/>
  <c r="E60" i="61" s="1"/>
  <c r="AV59" i="61"/>
  <c r="AH59" i="61"/>
  <c r="AG59" i="61"/>
  <c r="AF59" i="61"/>
  <c r="G59" i="61"/>
  <c r="E59" i="61" s="1"/>
  <c r="AV58" i="61"/>
  <c r="AH58" i="61"/>
  <c r="AG58" i="61"/>
  <c r="AF58" i="61"/>
  <c r="G58" i="61"/>
  <c r="AV57" i="61"/>
  <c r="AH57" i="61"/>
  <c r="AG57" i="61"/>
  <c r="AF57" i="61"/>
  <c r="G57" i="61"/>
  <c r="AV56" i="61"/>
  <c r="AV55" i="61"/>
  <c r="AV54" i="61"/>
  <c r="AV53" i="61"/>
  <c r="AV52" i="61"/>
  <c r="AV51" i="61"/>
  <c r="AV50" i="61"/>
  <c r="AV49" i="61"/>
  <c r="AV48" i="61"/>
  <c r="AV47" i="61"/>
  <c r="AV46" i="61"/>
  <c r="AV45" i="61"/>
  <c r="AV44" i="61"/>
  <c r="AV43" i="61"/>
  <c r="AV42" i="61"/>
  <c r="AV41" i="61"/>
  <c r="AV40" i="61"/>
  <c r="AV39" i="61"/>
  <c r="AV38" i="61"/>
  <c r="AV37" i="61"/>
  <c r="AV36" i="61"/>
  <c r="AV35" i="61"/>
  <c r="AV34" i="61"/>
  <c r="AV33" i="61"/>
  <c r="AV32" i="61"/>
  <c r="AV31" i="61"/>
  <c r="AV30" i="61"/>
  <c r="AV29" i="61"/>
  <c r="AV28" i="61"/>
  <c r="AV27" i="61"/>
  <c r="AV26" i="61"/>
  <c r="AV25" i="61"/>
  <c r="AV24" i="61"/>
  <c r="AV23" i="61"/>
  <c r="AV22" i="61"/>
  <c r="AV21" i="61"/>
  <c r="AV20" i="61"/>
  <c r="AV19" i="61"/>
  <c r="AV18" i="61"/>
  <c r="AV17" i="61"/>
  <c r="AV16" i="61"/>
  <c r="L16" i="61" a="1"/>
  <c r="L16" i="61" s="1"/>
  <c r="AV15" i="61"/>
  <c r="AV14" i="61"/>
  <c r="AV13" i="61"/>
  <c r="L13" i="61"/>
  <c r="AV12" i="61"/>
  <c r="L12" i="61"/>
  <c r="AV11" i="61"/>
  <c r="L11" i="61"/>
  <c r="AV10" i="61"/>
  <c r="L10" i="61"/>
  <c r="AV9" i="61"/>
  <c r="L9" i="61"/>
  <c r="AV8" i="61"/>
  <c r="L8" i="61"/>
  <c r="BC7" i="61"/>
  <c r="AV7" i="61"/>
  <c r="AF7" i="61"/>
  <c r="AF8" i="61" s="1"/>
  <c r="AF9" i="61" s="1"/>
  <c r="AF10" i="61" s="1"/>
  <c r="AF11" i="61" s="1"/>
  <c r="AF12" i="61" s="1"/>
  <c r="AF13" i="61" s="1"/>
  <c r="AF14" i="61" s="1"/>
  <c r="AF15" i="61" s="1"/>
  <c r="AF16" i="61" s="1"/>
  <c r="AF17" i="61" s="1"/>
  <c r="AF18" i="61" s="1"/>
  <c r="AF19" i="61" s="1"/>
  <c r="AF20" i="61" s="1"/>
  <c r="AF21" i="61" s="1"/>
  <c r="AF22" i="61" s="1"/>
  <c r="AF23" i="61" s="1"/>
  <c r="AF24" i="61" s="1"/>
  <c r="AF25" i="61" s="1"/>
  <c r="AF26" i="61" s="1"/>
  <c r="AF27" i="61" s="1"/>
  <c r="AF28" i="61" s="1"/>
  <c r="AF29" i="61" s="1"/>
  <c r="AF30" i="61" s="1"/>
  <c r="AF31" i="61" s="1"/>
  <c r="AF32" i="61" s="1"/>
  <c r="AF33" i="61" s="1"/>
  <c r="AF34" i="61" s="1"/>
  <c r="AF35" i="61" s="1"/>
  <c r="AF36" i="61" s="1"/>
  <c r="AF37" i="61" s="1"/>
  <c r="AF38" i="61" s="1"/>
  <c r="AF39" i="61" s="1"/>
  <c r="AF40" i="61" s="1"/>
  <c r="AF41" i="61" s="1"/>
  <c r="AF42" i="61" s="1"/>
  <c r="AF43" i="61" s="1"/>
  <c r="AF44" i="61" s="1"/>
  <c r="AF45" i="61" s="1"/>
  <c r="AF46" i="61" s="1"/>
  <c r="AF47" i="61" s="1"/>
  <c r="AF48" i="61" s="1"/>
  <c r="AF49" i="61" s="1"/>
  <c r="AF50" i="61" s="1"/>
  <c r="AF51" i="61" s="1"/>
  <c r="AF52" i="61" s="1"/>
  <c r="AF53" i="61" s="1"/>
  <c r="AF54" i="61" s="1"/>
  <c r="AF55" i="61" s="1"/>
  <c r="AF56" i="61" s="1"/>
  <c r="AL4" i="61"/>
  <c r="AK4" i="61"/>
  <c r="AJ4" i="61"/>
  <c r="G3" i="61"/>
  <c r="AL2" i="61"/>
  <c r="AK2" i="61"/>
  <c r="AJ2" i="61"/>
  <c r="E2" i="61"/>
  <c r="E3" i="61" s="1"/>
  <c r="A1" i="61"/>
  <c r="AL9" i="68"/>
  <c r="AK40" i="68"/>
  <c r="AK48" i="68"/>
  <c r="E52" i="69"/>
  <c r="E8" i="66"/>
  <c r="E32" i="69"/>
  <c r="AK32" i="69"/>
  <c r="E51" i="68"/>
  <c r="AL43" i="68"/>
  <c r="AK38" i="69"/>
  <c r="AK8" i="68"/>
  <c r="AK32" i="68"/>
  <c r="AK19" i="68"/>
  <c r="E38" i="68"/>
  <c r="AL54" i="69"/>
  <c r="AK47" i="68"/>
  <c r="AL30" i="69"/>
  <c r="AK28" i="68"/>
  <c r="AL12" i="68"/>
  <c r="AK44" i="68"/>
  <c r="AK15" i="68"/>
  <c r="AL49" i="69"/>
  <c r="E26" i="66"/>
  <c r="AL28" i="69"/>
  <c r="AK21" i="69"/>
  <c r="AL20" i="69"/>
  <c r="E16" i="69"/>
  <c r="AL45" i="68"/>
  <c r="AL36" i="69"/>
  <c r="AL17" i="68"/>
  <c r="E22" i="66"/>
  <c r="AK52" i="68"/>
  <c r="E12" i="69"/>
  <c r="AL24" i="68"/>
  <c r="E8" i="69"/>
  <c r="AK47" i="69"/>
  <c r="AL46" i="69"/>
  <c r="AL35" i="68"/>
  <c r="E40" i="68"/>
  <c r="AK31" i="68"/>
  <c r="AL53" i="69"/>
  <c r="AL13" i="68"/>
  <c r="AL8" i="69"/>
  <c r="AL18" i="69"/>
  <c r="AL34" i="69"/>
  <c r="AL53" i="68"/>
  <c r="AK31" i="69"/>
  <c r="AL29" i="69"/>
  <c r="AL40" i="66"/>
  <c r="AK35" i="69"/>
  <c r="E16" i="68"/>
  <c r="AL54" i="66"/>
  <c r="AL11" i="68"/>
  <c r="AK37" i="68"/>
  <c r="AK19" i="69"/>
  <c r="E29" i="68"/>
  <c r="AL29" i="68"/>
  <c r="AK34" i="68"/>
  <c r="E52" i="68"/>
  <c r="AL44" i="69"/>
  <c r="E17" i="69"/>
  <c r="E10" i="68"/>
  <c r="AL17" i="69"/>
  <c r="AL33" i="68"/>
  <c r="E48" i="68"/>
  <c r="AK51" i="68"/>
  <c r="AK39" i="68"/>
  <c r="AK41" i="69"/>
  <c r="AK41" i="68"/>
  <c r="AK25" i="68"/>
  <c r="AL50" i="69"/>
  <c r="E32" i="66"/>
  <c r="E41" i="69"/>
  <c r="AL37" i="69"/>
  <c r="AL36" i="68"/>
  <c r="E61" i="68"/>
  <c r="E22" i="69"/>
  <c r="E47" i="68"/>
  <c r="AL24" i="69"/>
  <c r="AK42" i="68"/>
  <c r="E18" i="66"/>
  <c r="E35" i="68"/>
  <c r="AK38" i="68"/>
  <c r="AL40" i="69"/>
  <c r="AK43" i="68"/>
  <c r="AL38" i="69"/>
  <c r="AL8" i="68"/>
  <c r="E8" i="68"/>
  <c r="AL49" i="68"/>
  <c r="E39" i="68"/>
  <c r="E7" i="66"/>
  <c r="E46" i="69"/>
  <c r="AK24" i="69"/>
  <c r="E45" i="68"/>
  <c r="AL42" i="68"/>
  <c r="AL39" i="69"/>
  <c r="AL38" i="68"/>
  <c r="AK40" i="69"/>
  <c r="AL30" i="68"/>
  <c r="E44" i="69"/>
  <c r="AK48" i="69"/>
  <c r="E35" i="69"/>
  <c r="E40" i="69"/>
  <c r="AL23" i="69"/>
  <c r="AL10" i="68"/>
  <c r="AL14" i="68"/>
  <c r="E24" i="66"/>
  <c r="E27" i="68"/>
  <c r="AL61" i="69"/>
  <c r="E45" i="69"/>
  <c r="AL33" i="69"/>
  <c r="AK12" i="69"/>
  <c r="AK51" i="69"/>
  <c r="AL13" i="69"/>
  <c r="AL14" i="69"/>
  <c r="AK45" i="69"/>
  <c r="E61" i="69"/>
  <c r="E28" i="69"/>
  <c r="E24" i="68"/>
  <c r="AK52" i="69"/>
  <c r="AK22" i="69"/>
  <c r="E50" i="68"/>
  <c r="E54" i="68"/>
  <c r="E9" i="69"/>
  <c r="AL25" i="69"/>
  <c r="AL20" i="68"/>
  <c r="AL27" i="68"/>
  <c r="E30" i="68"/>
  <c r="E28" i="68"/>
  <c r="E47" i="69"/>
  <c r="E25" i="69"/>
  <c r="AK27" i="69"/>
  <c r="AK16" i="68"/>
  <c r="E18" i="69"/>
  <c r="E9" i="68"/>
  <c r="AK16" i="69"/>
  <c r="AL26" i="69"/>
  <c r="E34" i="68"/>
  <c r="AK22" i="68"/>
  <c r="AL21" i="68"/>
  <c r="E50" i="69"/>
  <c r="AK15" i="69"/>
  <c r="AL43" i="69"/>
  <c r="E53" i="68"/>
  <c r="E20" i="68"/>
  <c r="AL50" i="68"/>
  <c r="E15" i="68"/>
  <c r="AL7" i="68"/>
  <c r="E21" i="68"/>
  <c r="AK42" i="69"/>
  <c r="AL46" i="68"/>
  <c r="AK54" i="68"/>
  <c r="AK61" i="68"/>
  <c r="AK11" i="69"/>
  <c r="AK18" i="68"/>
  <c r="AK23" i="68"/>
  <c r="AK9" i="69"/>
  <c r="AL26" i="68"/>
  <c r="AK9" i="68"/>
  <c r="E14" i="69"/>
  <c r="AK39" i="69"/>
  <c r="AL32" i="69"/>
  <c r="E36" i="69"/>
  <c r="AK54" i="69"/>
  <c r="AK10" i="68"/>
  <c r="AL44" i="68"/>
  <c r="AK49" i="69"/>
  <c r="E53" i="69"/>
  <c r="AK45" i="68"/>
  <c r="AK14" i="69"/>
  <c r="E37" i="69"/>
  <c r="E54" i="66"/>
  <c r="AL47" i="69"/>
  <c r="AK46" i="69"/>
  <c r="AL22" i="69"/>
  <c r="E51" i="69"/>
  <c r="AK13" i="68"/>
  <c r="AK27" i="68"/>
  <c r="E23" i="68"/>
  <c r="AL16" i="68"/>
  <c r="E33" i="68"/>
  <c r="E19" i="68"/>
  <c r="AL22" i="68"/>
  <c r="AK11" i="68"/>
  <c r="AL19" i="69"/>
  <c r="E39" i="69"/>
  <c r="AK17" i="69"/>
  <c r="E11" i="68"/>
  <c r="AK50" i="68"/>
  <c r="AL51" i="68"/>
  <c r="AL41" i="69"/>
  <c r="AK46" i="68"/>
  <c r="AK37" i="69"/>
  <c r="E44" i="68"/>
  <c r="AK18" i="69"/>
  <c r="E36" i="68"/>
  <c r="AK50" i="69"/>
  <c r="AL11" i="69"/>
  <c r="AK49" i="68"/>
  <c r="AL40" i="68"/>
  <c r="AK30" i="68"/>
  <c r="E17" i="68"/>
  <c r="AL19" i="68"/>
  <c r="AL48" i="69"/>
  <c r="E9" i="66"/>
  <c r="E30" i="69"/>
  <c r="AK30" i="69"/>
  <c r="E21" i="69"/>
  <c r="E33" i="69"/>
  <c r="AL15" i="68"/>
  <c r="AK33" i="69"/>
  <c r="AK28" i="69"/>
  <c r="AL51" i="69"/>
  <c r="AK17" i="68"/>
  <c r="AL52" i="68"/>
  <c r="AK24" i="68"/>
  <c r="E49" i="68"/>
  <c r="AK53" i="69"/>
  <c r="AK8" i="69"/>
  <c r="E22" i="68"/>
  <c r="AK34" i="69"/>
  <c r="AL31" i="69"/>
  <c r="E54" i="69"/>
  <c r="AL27" i="69"/>
  <c r="E20" i="69"/>
  <c r="AL35" i="69"/>
  <c r="AL16" i="69"/>
  <c r="AL37" i="68"/>
  <c r="AL15" i="69"/>
  <c r="AK43" i="69"/>
  <c r="AK29" i="68"/>
  <c r="E49" i="69"/>
  <c r="AL25" i="68"/>
  <c r="AL23" i="68"/>
  <c r="AK26" i="68"/>
  <c r="AK21" i="68"/>
  <c r="AK44" i="69"/>
  <c r="AL61" i="68"/>
  <c r="E13" i="68"/>
  <c r="AL48" i="68"/>
  <c r="AL32" i="68"/>
  <c r="E29" i="69"/>
  <c r="E26" i="68"/>
  <c r="E42" i="68"/>
  <c r="AL47" i="68"/>
  <c r="AK23" i="69"/>
  <c r="E19" i="69"/>
  <c r="AK12" i="68"/>
  <c r="E34" i="69"/>
  <c r="AL12" i="69"/>
  <c r="E32" i="68"/>
  <c r="AK36" i="69"/>
  <c r="AK13" i="69"/>
  <c r="AL45" i="69"/>
  <c r="E46" i="68"/>
  <c r="E7" i="69"/>
  <c r="AL31" i="68"/>
  <c r="AK25" i="69"/>
  <c r="AK20" i="68"/>
  <c r="AK53" i="68"/>
  <c r="E13" i="69"/>
  <c r="AK40" i="66"/>
  <c r="AK54" i="66"/>
  <c r="E43" i="69"/>
  <c r="E11" i="69"/>
  <c r="E18" i="68"/>
  <c r="AL39" i="68"/>
  <c r="AL41" i="68"/>
  <c r="AL42" i="69"/>
  <c r="E48" i="69"/>
  <c r="AK36" i="68"/>
  <c r="E28" i="66"/>
  <c r="E42" i="69"/>
  <c r="E25" i="68"/>
  <c r="AK29" i="69"/>
  <c r="AK26" i="69"/>
  <c r="E31" i="68"/>
  <c r="E12" i="68"/>
  <c r="E24" i="69"/>
  <c r="AL54" i="68"/>
  <c r="AL9" i="69"/>
  <c r="E37" i="68"/>
  <c r="E14" i="68"/>
  <c r="E43" i="68"/>
  <c r="E41" i="68"/>
  <c r="AL28" i="68"/>
  <c r="AK14" i="68"/>
  <c r="AK61" i="69"/>
  <c r="E10" i="69"/>
  <c r="AL21" i="69"/>
  <c r="AK20" i="69"/>
  <c r="E7" i="68"/>
  <c r="AL52" i="69"/>
  <c r="AK35" i="68"/>
  <c r="AL34" i="68"/>
  <c r="AK33" i="68"/>
  <c r="AK7" i="68"/>
  <c r="AL18" i="68"/>
  <c r="AA10" i="70" l="1"/>
  <c r="AG18" i="68"/>
  <c r="AH18" i="68"/>
  <c r="AM7" i="68"/>
  <c r="AM33" i="68"/>
  <c r="AG34" i="68"/>
  <c r="AH34" i="68"/>
  <c r="AM35" i="68"/>
  <c r="AG52" i="69"/>
  <c r="AH52" i="69"/>
  <c r="U9" i="68"/>
  <c r="V9" i="68" s="1"/>
  <c r="R9" i="68"/>
  <c r="O13" i="68"/>
  <c r="P13" i="68" s="1"/>
  <c r="O8" i="68"/>
  <c r="O11" i="68"/>
  <c r="R13" i="68"/>
  <c r="R8" i="68"/>
  <c r="U11" i="68"/>
  <c r="V11" i="68" s="1"/>
  <c r="R11" i="68"/>
  <c r="O12" i="68"/>
  <c r="U10" i="68"/>
  <c r="V10" i="68" s="1"/>
  <c r="R10" i="68"/>
  <c r="U8" i="68"/>
  <c r="V8" i="68" s="1"/>
  <c r="U13" i="68"/>
  <c r="V13" i="68" s="1"/>
  <c r="R12" i="68"/>
  <c r="O10" i="68"/>
  <c r="R16" i="68" a="1"/>
  <c r="R16" i="68" s="1"/>
  <c r="O9" i="68"/>
  <c r="U12" i="68"/>
  <c r="V12" i="68" s="1"/>
  <c r="U16" i="68" a="1"/>
  <c r="U16" i="68" s="1"/>
  <c r="O16" i="68" a="1"/>
  <c r="O16" i="68" s="1"/>
  <c r="AM20" i="69"/>
  <c r="AH21" i="69"/>
  <c r="AG21" i="69"/>
  <c r="AM61" i="69"/>
  <c r="AM14" i="68"/>
  <c r="AH28" i="68"/>
  <c r="AG28" i="68"/>
  <c r="AH9" i="69"/>
  <c r="AG9" i="69"/>
  <c r="AG54" i="68"/>
  <c r="AH54" i="68"/>
  <c r="AM26" i="69"/>
  <c r="AM29" i="69"/>
  <c r="AM36" i="68"/>
  <c r="AH42" i="69"/>
  <c r="AG42" i="69"/>
  <c r="AH41" i="68"/>
  <c r="AG41" i="68"/>
  <c r="AH39" i="68"/>
  <c r="AG39" i="68"/>
  <c r="AM54" i="66"/>
  <c r="AM40" i="66"/>
  <c r="AM53" i="68"/>
  <c r="AM20" i="68"/>
  <c r="AM25" i="69"/>
  <c r="AH31" i="68"/>
  <c r="AG31" i="68"/>
  <c r="U16" i="69" a="1"/>
  <c r="U16" i="69" s="1"/>
  <c r="R12" i="69"/>
  <c r="R10" i="69"/>
  <c r="U9" i="69"/>
  <c r="V9" i="69" s="1"/>
  <c r="O16" i="69" a="1"/>
  <c r="O16" i="69" s="1"/>
  <c r="R13" i="69"/>
  <c r="R11" i="69"/>
  <c r="O8" i="69"/>
  <c r="O11" i="69"/>
  <c r="AA11" i="69" s="1"/>
  <c r="R9" i="69"/>
  <c r="R8" i="69"/>
  <c r="U13" i="69"/>
  <c r="V13" i="69" s="1"/>
  <c r="O12" i="69"/>
  <c r="AA12" i="69" s="1"/>
  <c r="O9" i="69"/>
  <c r="U12" i="69"/>
  <c r="V12" i="69" s="1"/>
  <c r="O10" i="69"/>
  <c r="O13" i="69"/>
  <c r="P13" i="69" s="1"/>
  <c r="U11" i="69"/>
  <c r="V11" i="69" s="1"/>
  <c r="R16" i="69" a="1"/>
  <c r="R16" i="69" s="1"/>
  <c r="U10" i="69"/>
  <c r="V10" i="69" s="1"/>
  <c r="U8" i="69"/>
  <c r="V8" i="69" s="1"/>
  <c r="AG45" i="69"/>
  <c r="AH45" i="69"/>
  <c r="AM13" i="69"/>
  <c r="AM36" i="69"/>
  <c r="AH12" i="69"/>
  <c r="AG12" i="69"/>
  <c r="AM12" i="68"/>
  <c r="AM23" i="69"/>
  <c r="AG47" i="68"/>
  <c r="AH47" i="68"/>
  <c r="AG32" i="68"/>
  <c r="AH32" i="68"/>
  <c r="AG48" i="68"/>
  <c r="AH48" i="68"/>
  <c r="AG61" i="68"/>
  <c r="AH61" i="68"/>
  <c r="AM44" i="69"/>
  <c r="AM21" i="68"/>
  <c r="AM26" i="68"/>
  <c r="AG23" i="68"/>
  <c r="AH23" i="68"/>
  <c r="AH25" i="68"/>
  <c r="AG25" i="68"/>
  <c r="AM29" i="68"/>
  <c r="AM43" i="69"/>
  <c r="AG15" i="69"/>
  <c r="AH15" i="69"/>
  <c r="AG37" i="68"/>
  <c r="AH37" i="68"/>
  <c r="AH16" i="69"/>
  <c r="AG16" i="69"/>
  <c r="AH35" i="69"/>
  <c r="AG35" i="69"/>
  <c r="AH27" i="69"/>
  <c r="AG27" i="69"/>
  <c r="AG31" i="69"/>
  <c r="AH31" i="69"/>
  <c r="AM34" i="69"/>
  <c r="AM8" i="69"/>
  <c r="AM53" i="69"/>
  <c r="AM24" i="68"/>
  <c r="AH52" i="68"/>
  <c r="AG52" i="68"/>
  <c r="AM17" i="68"/>
  <c r="AH51" i="69"/>
  <c r="AG51" i="69"/>
  <c r="AM28" i="69"/>
  <c r="AM33" i="69"/>
  <c r="AG15" i="68"/>
  <c r="AH15" i="68"/>
  <c r="AM30" i="69"/>
  <c r="AH48" i="69"/>
  <c r="AG48" i="69"/>
  <c r="AH19" i="68"/>
  <c r="AG19" i="68"/>
  <c r="AM30" i="68"/>
  <c r="AH40" i="68"/>
  <c r="AG40" i="68"/>
  <c r="AM49" i="68"/>
  <c r="AG11" i="69"/>
  <c r="AH11" i="69"/>
  <c r="AM50" i="69"/>
  <c r="AM18" i="69"/>
  <c r="AM37" i="69"/>
  <c r="AM46" i="68"/>
  <c r="AH41" i="69"/>
  <c r="AG41" i="69"/>
  <c r="AG51" i="68"/>
  <c r="AH51" i="68"/>
  <c r="AM50" i="68"/>
  <c r="AM17" i="69"/>
  <c r="AH19" i="69"/>
  <c r="AG19" i="69"/>
  <c r="AM11" i="68"/>
  <c r="AG22" i="68"/>
  <c r="AH22" i="68"/>
  <c r="AH16" i="68"/>
  <c r="AG16" i="68"/>
  <c r="AM27" i="68"/>
  <c r="AM13" i="68"/>
  <c r="AG22" i="69"/>
  <c r="AH22" i="69"/>
  <c r="AM46" i="69"/>
  <c r="AH47" i="69"/>
  <c r="AG47" i="69"/>
  <c r="AM14" i="69"/>
  <c r="AM45" i="68"/>
  <c r="AM49" i="69"/>
  <c r="AG44" i="68"/>
  <c r="AH44" i="68"/>
  <c r="AM10" i="68"/>
  <c r="AM54" i="69"/>
  <c r="AH32" i="69"/>
  <c r="AG32" i="69"/>
  <c r="AM39" i="69"/>
  <c r="AM9" i="68"/>
  <c r="AH26" i="68"/>
  <c r="AG26" i="68"/>
  <c r="AM9" i="69"/>
  <c r="AM23" i="68"/>
  <c r="AM18" i="68"/>
  <c r="AM11" i="69"/>
  <c r="AM61" i="68"/>
  <c r="AM54" i="68"/>
  <c r="AH46" i="68"/>
  <c r="AG46" i="68"/>
  <c r="AM42" i="69"/>
  <c r="AG7" i="68"/>
  <c r="AH7" i="68"/>
  <c r="AH50" i="68"/>
  <c r="AG50" i="68"/>
  <c r="AH43" i="69"/>
  <c r="AG43" i="69"/>
  <c r="AM15" i="69"/>
  <c r="AH21" i="68"/>
  <c r="AG21" i="68"/>
  <c r="AM22" i="68"/>
  <c r="AH26" i="69"/>
  <c r="AG26" i="69"/>
  <c r="AM16" i="69"/>
  <c r="AM16" i="68"/>
  <c r="AM27" i="69"/>
  <c r="AG27" i="68"/>
  <c r="AH27" i="68"/>
  <c r="AH20" i="68"/>
  <c r="AG20" i="68"/>
  <c r="AG25" i="69"/>
  <c r="AH25" i="69"/>
  <c r="AM22" i="69"/>
  <c r="AM52" i="69"/>
  <c r="AM45" i="69"/>
  <c r="AH14" i="69"/>
  <c r="AG14" i="69"/>
  <c r="AH13" i="69"/>
  <c r="AG13" i="69"/>
  <c r="AM51" i="69"/>
  <c r="AM12" i="69"/>
  <c r="AG33" i="69"/>
  <c r="AH33" i="69"/>
  <c r="AH61" i="69"/>
  <c r="AG61" i="69"/>
  <c r="AH14" i="68"/>
  <c r="AG14" i="68"/>
  <c r="AG10" i="68"/>
  <c r="AH10" i="68"/>
  <c r="AG23" i="69"/>
  <c r="AH23" i="69"/>
  <c r="AM48" i="69"/>
  <c r="AH30" i="68"/>
  <c r="AG30" i="68"/>
  <c r="AM40" i="69"/>
  <c r="AG38" i="68"/>
  <c r="AH38" i="68"/>
  <c r="AH39" i="69"/>
  <c r="AG39" i="69"/>
  <c r="AH42" i="68"/>
  <c r="AG42" i="68"/>
  <c r="AM24" i="69"/>
  <c r="AH49" i="68"/>
  <c r="AG49" i="68"/>
  <c r="AH8" i="68"/>
  <c r="AG8" i="68"/>
  <c r="AH38" i="69"/>
  <c r="AG38" i="69"/>
  <c r="AM43" i="68"/>
  <c r="AH40" i="69"/>
  <c r="AG40" i="69"/>
  <c r="AM38" i="68"/>
  <c r="AM42" i="68"/>
  <c r="AG24" i="69"/>
  <c r="AH24" i="69"/>
  <c r="AG36" i="68"/>
  <c r="AH36" i="68"/>
  <c r="AH37" i="69"/>
  <c r="AG37" i="69"/>
  <c r="AG50" i="69"/>
  <c r="AH50" i="69"/>
  <c r="AM25" i="68"/>
  <c r="AM41" i="68"/>
  <c r="AM41" i="69"/>
  <c r="AM39" i="68"/>
  <c r="AM51" i="68"/>
  <c r="AH33" i="68"/>
  <c r="AG33" i="68"/>
  <c r="AG17" i="69"/>
  <c r="AH17" i="69"/>
  <c r="AH44" i="69"/>
  <c r="AG44" i="69"/>
  <c r="AM34" i="68"/>
  <c r="AG29" i="68"/>
  <c r="AH29" i="68"/>
  <c r="AM19" i="69"/>
  <c r="AM37" i="68"/>
  <c r="AH11" i="68"/>
  <c r="AG11" i="68"/>
  <c r="AG54" i="66"/>
  <c r="AH54" i="66"/>
  <c r="AM35" i="69"/>
  <c r="AH40" i="66"/>
  <c r="AG40" i="66"/>
  <c r="AG29" i="69"/>
  <c r="AH29" i="69"/>
  <c r="AM31" i="69"/>
  <c r="AH53" i="68"/>
  <c r="AG53" i="68"/>
  <c r="AH34" i="69"/>
  <c r="AG34" i="69"/>
  <c r="AG18" i="69"/>
  <c r="AH18" i="69"/>
  <c r="AH8" i="69"/>
  <c r="AG8" i="69"/>
  <c r="AH13" i="68"/>
  <c r="AG13" i="68"/>
  <c r="AG53" i="69"/>
  <c r="AH53" i="69"/>
  <c r="AM31" i="68"/>
  <c r="AH35" i="68"/>
  <c r="AG35" i="68"/>
  <c r="AH46" i="69"/>
  <c r="AG46" i="69"/>
  <c r="AM47" i="69"/>
  <c r="AG24" i="68"/>
  <c r="AH24" i="68"/>
  <c r="AM52" i="68"/>
  <c r="AG17" i="68"/>
  <c r="AH17" i="68"/>
  <c r="AG36" i="69"/>
  <c r="AH36" i="69"/>
  <c r="AH45" i="68"/>
  <c r="AG45" i="68"/>
  <c r="AG20" i="69"/>
  <c r="AH20" i="69"/>
  <c r="AM21" i="69"/>
  <c r="AH28" i="69"/>
  <c r="AG28" i="69"/>
  <c r="AH49" i="69"/>
  <c r="AG49" i="69"/>
  <c r="AM15" i="68"/>
  <c r="AM44" i="68"/>
  <c r="AG12" i="68"/>
  <c r="AH12" i="68"/>
  <c r="AM28" i="68"/>
  <c r="AG30" i="69"/>
  <c r="AH30" i="69"/>
  <c r="AM47" i="68"/>
  <c r="AG54" i="69"/>
  <c r="AH54" i="69"/>
  <c r="AM19" i="68"/>
  <c r="AM32" i="68"/>
  <c r="AM8" i="68"/>
  <c r="AM38" i="69"/>
  <c r="AG43" i="68"/>
  <c r="AH43" i="68"/>
  <c r="AM32" i="69"/>
  <c r="AM48" i="68"/>
  <c r="AM40" i="68"/>
  <c r="AH9" i="68"/>
  <c r="AG9" i="68"/>
  <c r="AA9" i="70"/>
  <c r="AA8" i="70"/>
  <c r="AA14" i="70" s="1"/>
  <c r="O14" i="70"/>
  <c r="P11" i="70" s="1"/>
  <c r="U14" i="70"/>
  <c r="S9" i="70"/>
  <c r="AA9" i="68"/>
  <c r="BI50" i="5"/>
  <c r="Q11" i="9" s="1"/>
  <c r="Q14" i="9" s="1"/>
  <c r="BI51" i="5"/>
  <c r="Q12" i="9" s="1"/>
  <c r="BI52" i="5"/>
  <c r="Q13" i="9" s="1"/>
  <c r="AA13" i="68"/>
  <c r="AA11" i="68"/>
  <c r="BG40" i="85"/>
  <c r="BF40" i="85"/>
  <c r="BI40" i="85"/>
  <c r="BH40" i="85"/>
  <c r="BC42" i="85"/>
  <c r="BD41" i="85"/>
  <c r="BD40" i="84"/>
  <c r="BC41" i="84"/>
  <c r="BI39" i="84"/>
  <c r="BH39" i="84"/>
  <c r="BG39" i="84"/>
  <c r="BF39" i="84"/>
  <c r="BI36" i="83"/>
  <c r="BF36" i="83"/>
  <c r="BG36" i="83"/>
  <c r="BH36" i="83"/>
  <c r="BD37" i="83"/>
  <c r="BC38" i="83"/>
  <c r="P12" i="70"/>
  <c r="AA8" i="68"/>
  <c r="R14" i="68"/>
  <c r="S8" i="68" s="1"/>
  <c r="O14" i="68"/>
  <c r="P11" i="68" s="1"/>
  <c r="U14" i="68"/>
  <c r="U5" i="68" s="1"/>
  <c r="S14" i="70"/>
  <c r="S8" i="70"/>
  <c r="S10" i="70"/>
  <c r="S11" i="70"/>
  <c r="S13" i="70"/>
  <c r="R5" i="70"/>
  <c r="BF30" i="81"/>
  <c r="BI30" i="81"/>
  <c r="BH30" i="81"/>
  <c r="BG30" i="81"/>
  <c r="BC32" i="81"/>
  <c r="BD31" i="81"/>
  <c r="BC31" i="80"/>
  <c r="BD30" i="80"/>
  <c r="BF29" i="80"/>
  <c r="BI29" i="80"/>
  <c r="BH29" i="80"/>
  <c r="BG29" i="80"/>
  <c r="BD29" i="78"/>
  <c r="BC30" i="78"/>
  <c r="BI28" i="78"/>
  <c r="BH28" i="78"/>
  <c r="BG28" i="78"/>
  <c r="BF28" i="78"/>
  <c r="BD29" i="79"/>
  <c r="BC30" i="79"/>
  <c r="BI28" i="79"/>
  <c r="BH28" i="79"/>
  <c r="BG28" i="79"/>
  <c r="BF28" i="79"/>
  <c r="BH25" i="76"/>
  <c r="BI25" i="76"/>
  <c r="BG25" i="76"/>
  <c r="BF25" i="76"/>
  <c r="BD26" i="76"/>
  <c r="BC27" i="76"/>
  <c r="BG24" i="75"/>
  <c r="BF24" i="75"/>
  <c r="BI24" i="75"/>
  <c r="BH24" i="75"/>
  <c r="BC26" i="75"/>
  <c r="BD25" i="75"/>
  <c r="BG22" i="74"/>
  <c r="BF22" i="74"/>
  <c r="BI22" i="74"/>
  <c r="BH22" i="74"/>
  <c r="BC24" i="74"/>
  <c r="BD23" i="74"/>
  <c r="BH20" i="73"/>
  <c r="BG20" i="73"/>
  <c r="BI20" i="73"/>
  <c r="BF20" i="73"/>
  <c r="BD21" i="73"/>
  <c r="BC22" i="73"/>
  <c r="BD19" i="71"/>
  <c r="BC20" i="71"/>
  <c r="BI18" i="71"/>
  <c r="BG18" i="71"/>
  <c r="BH18" i="71"/>
  <c r="BF18" i="71"/>
  <c r="BH16" i="70"/>
  <c r="BG16" i="70"/>
  <c r="BI16" i="70"/>
  <c r="BF16" i="70"/>
  <c r="BD17" i="70"/>
  <c r="BC18" i="70"/>
  <c r="BD17" i="69"/>
  <c r="BC18" i="69"/>
  <c r="BH16" i="69"/>
  <c r="BG16" i="69"/>
  <c r="BF16" i="69"/>
  <c r="BI16" i="69"/>
  <c r="AH33" i="66"/>
  <c r="AG33" i="66"/>
  <c r="AM33" i="66"/>
  <c r="BI58" i="5"/>
  <c r="BI61" i="5"/>
  <c r="BI62" i="5"/>
  <c r="Q12" i="10" s="1"/>
  <c r="BG16" i="66"/>
  <c r="BI16" i="66"/>
  <c r="BF16" i="66"/>
  <c r="BH16" i="66"/>
  <c r="BD17" i="66"/>
  <c r="BC18" i="66"/>
  <c r="BG18" i="65"/>
  <c r="BH18" i="65"/>
  <c r="BI18" i="65"/>
  <c r="BF18" i="65"/>
  <c r="BD19" i="65"/>
  <c r="BC20" i="65"/>
  <c r="BI12" i="64"/>
  <c r="BF12" i="64"/>
  <c r="BH12" i="64"/>
  <c r="BG12" i="64"/>
  <c r="BD13" i="64"/>
  <c r="BC14" i="64"/>
  <c r="BF14" i="63"/>
  <c r="BI14" i="63"/>
  <c r="BH14" i="63"/>
  <c r="BF8" i="63"/>
  <c r="BH8" i="63"/>
  <c r="BG8" i="63"/>
  <c r="BI8" i="63"/>
  <c r="BD16" i="63"/>
  <c r="BC17" i="63"/>
  <c r="BF13" i="63"/>
  <c r="BH13" i="63"/>
  <c r="BG13" i="63"/>
  <c r="BI13" i="63"/>
  <c r="BF11" i="63"/>
  <c r="BH11" i="63"/>
  <c r="BG11" i="63"/>
  <c r="BI11" i="63"/>
  <c r="BF15" i="63"/>
  <c r="BH15" i="63"/>
  <c r="BG15" i="63"/>
  <c r="BI15" i="63"/>
  <c r="BF12" i="63"/>
  <c r="BG12" i="63"/>
  <c r="BI12" i="63"/>
  <c r="BH12" i="63"/>
  <c r="BF9" i="63"/>
  <c r="BH9" i="63"/>
  <c r="BG9" i="63"/>
  <c r="BI9" i="63"/>
  <c r="BF7" i="63"/>
  <c r="BH7" i="63"/>
  <c r="BG7" i="63"/>
  <c r="BI7" i="63"/>
  <c r="BF10" i="63"/>
  <c r="BH10" i="63"/>
  <c r="BG10" i="63"/>
  <c r="BI10" i="63"/>
  <c r="BI53" i="5"/>
  <c r="BH58" i="5"/>
  <c r="AW10" i="61"/>
  <c r="AX10" i="61" s="1"/>
  <c r="AW57" i="61"/>
  <c r="AX57" i="61" s="1"/>
  <c r="AW54" i="61"/>
  <c r="AX54" i="61" s="1"/>
  <c r="AW50" i="61"/>
  <c r="AX50" i="61" s="1"/>
  <c r="AW46" i="61"/>
  <c r="AX46" i="61" s="1"/>
  <c r="AW39" i="61"/>
  <c r="AX39" i="61" s="1"/>
  <c r="AW31" i="61"/>
  <c r="AX31" i="61" s="1"/>
  <c r="AW60" i="61"/>
  <c r="AX60" i="61" s="1"/>
  <c r="AW49" i="61"/>
  <c r="AX49" i="61" s="1"/>
  <c r="AW43" i="61"/>
  <c r="AX43" i="61" s="1"/>
  <c r="AW35" i="61"/>
  <c r="AX35" i="61" s="1"/>
  <c r="AW7" i="61"/>
  <c r="AX7" i="61" s="1"/>
  <c r="AW34" i="61"/>
  <c r="AX34" i="61" s="1"/>
  <c r="AW33" i="61"/>
  <c r="AX33" i="61" s="1"/>
  <c r="AW29" i="61"/>
  <c r="AX29" i="61" s="1"/>
  <c r="AW26" i="61"/>
  <c r="AX26" i="61" s="1"/>
  <c r="AW24" i="61"/>
  <c r="AX24" i="61" s="1"/>
  <c r="AW16" i="61"/>
  <c r="AX16" i="61" s="1"/>
  <c r="AW59" i="61"/>
  <c r="AX59" i="61" s="1"/>
  <c r="AW53" i="61"/>
  <c r="AX53" i="61" s="1"/>
  <c r="AW45" i="61"/>
  <c r="AX45" i="61" s="1"/>
  <c r="AW30" i="61"/>
  <c r="AX30" i="61" s="1"/>
  <c r="AW22" i="61"/>
  <c r="AX22" i="61" s="1"/>
  <c r="AW20" i="61"/>
  <c r="AX20" i="61" s="1"/>
  <c r="AW18" i="61"/>
  <c r="AX18" i="61" s="1"/>
  <c r="AW14" i="61"/>
  <c r="AX14" i="61" s="1"/>
  <c r="BC8" i="61"/>
  <c r="AW11" i="61"/>
  <c r="AX11" i="61" s="1"/>
  <c r="AW13" i="61"/>
  <c r="AX13" i="61" s="1"/>
  <c r="AW40" i="61"/>
  <c r="AX40" i="61" s="1"/>
  <c r="AW42" i="61"/>
  <c r="AX42" i="61" s="1"/>
  <c r="AW47" i="61"/>
  <c r="AX47" i="61" s="1"/>
  <c r="AW8" i="61"/>
  <c r="AX8" i="61" s="1"/>
  <c r="AW12" i="61"/>
  <c r="AX12" i="61" s="1"/>
  <c r="AW15" i="61"/>
  <c r="AX15" i="61" s="1"/>
  <c r="AW17" i="61"/>
  <c r="AX17" i="61" s="1"/>
  <c r="AW19" i="61"/>
  <c r="AX19" i="61" s="1"/>
  <c r="AW21" i="61"/>
  <c r="AX21" i="61" s="1"/>
  <c r="AW23" i="61"/>
  <c r="AX23" i="61" s="1"/>
  <c r="AW25" i="61"/>
  <c r="AX25" i="61" s="1"/>
  <c r="AW27" i="61"/>
  <c r="AX27" i="61" s="1"/>
  <c r="AW55" i="61"/>
  <c r="AX55" i="61" s="1"/>
  <c r="AW38" i="61"/>
  <c r="AX38" i="61" s="1"/>
  <c r="AW9" i="61"/>
  <c r="AX9" i="61" s="1"/>
  <c r="L14" i="61"/>
  <c r="M10" i="61" s="1"/>
  <c r="AW32" i="61"/>
  <c r="AX32" i="61" s="1"/>
  <c r="AW36" i="61"/>
  <c r="AX36" i="61" s="1"/>
  <c r="AW41" i="61"/>
  <c r="AX41" i="61" s="1"/>
  <c r="AW28" i="61"/>
  <c r="AX28" i="61" s="1"/>
  <c r="AW37" i="61"/>
  <c r="AX37" i="61" s="1"/>
  <c r="AW44" i="61"/>
  <c r="AX44" i="61" s="1"/>
  <c r="AW51" i="61"/>
  <c r="AX51" i="61" s="1"/>
  <c r="AW58" i="61"/>
  <c r="AX58" i="61" s="1"/>
  <c r="AW63" i="61"/>
  <c r="AX63" i="61" s="1"/>
  <c r="AW48" i="61"/>
  <c r="AX48" i="61" s="1"/>
  <c r="AW52" i="61"/>
  <c r="AX52" i="61" s="1"/>
  <c r="AW56" i="61"/>
  <c r="AX56" i="61" s="1"/>
  <c r="AW61" i="61"/>
  <c r="AX61" i="61" s="1"/>
  <c r="AW62" i="61"/>
  <c r="AX62" i="61" s="1"/>
  <c r="C68" i="60"/>
  <c r="B68" i="60" s="1"/>
  <c r="AH67" i="60"/>
  <c r="AG67" i="60"/>
  <c r="AF67" i="60"/>
  <c r="AH66" i="60"/>
  <c r="AG66" i="60"/>
  <c r="AF66" i="60"/>
  <c r="AH65" i="60"/>
  <c r="AG65" i="60"/>
  <c r="AF65" i="60"/>
  <c r="AH64" i="60"/>
  <c r="AG64" i="60"/>
  <c r="AF64" i="60"/>
  <c r="AV63" i="60"/>
  <c r="AH63" i="60"/>
  <c r="AG63" i="60"/>
  <c r="AF63" i="60"/>
  <c r="AV62" i="60"/>
  <c r="AH62" i="60"/>
  <c r="AG62" i="60"/>
  <c r="AF62" i="60"/>
  <c r="AV61" i="60"/>
  <c r="AV60" i="60"/>
  <c r="AH60" i="60"/>
  <c r="AG60" i="60"/>
  <c r="AF60" i="60"/>
  <c r="AF61" i="60" s="1"/>
  <c r="G60" i="60"/>
  <c r="E60" i="60" s="1"/>
  <c r="AV59" i="60"/>
  <c r="AH59" i="60"/>
  <c r="AG59" i="60"/>
  <c r="AF59" i="60"/>
  <c r="G59" i="60"/>
  <c r="E59" i="60" s="1"/>
  <c r="AV58" i="60"/>
  <c r="AH58" i="60"/>
  <c r="AG58" i="60"/>
  <c r="AF58" i="60"/>
  <c r="G58" i="60"/>
  <c r="AV57" i="60"/>
  <c r="AV56" i="60"/>
  <c r="AV55" i="60"/>
  <c r="AV54" i="60"/>
  <c r="AV53" i="60"/>
  <c r="AV52" i="60"/>
  <c r="AV51" i="60"/>
  <c r="AV50" i="60"/>
  <c r="AV49" i="60"/>
  <c r="AV48" i="60"/>
  <c r="AV47" i="60"/>
  <c r="AV46" i="60"/>
  <c r="AV45" i="60"/>
  <c r="AV44" i="60"/>
  <c r="AV43" i="60"/>
  <c r="AV42" i="60"/>
  <c r="AV41" i="60"/>
  <c r="AV40" i="60"/>
  <c r="AV39" i="60"/>
  <c r="AV38" i="60"/>
  <c r="AV37" i="60"/>
  <c r="AV36" i="60"/>
  <c r="AV35" i="60"/>
  <c r="AV34" i="60"/>
  <c r="AV33" i="60"/>
  <c r="AV32" i="60"/>
  <c r="AV31" i="60"/>
  <c r="AV30" i="60"/>
  <c r="AV29" i="60"/>
  <c r="AV28" i="60"/>
  <c r="AV27" i="60"/>
  <c r="AV26" i="60"/>
  <c r="AV25" i="60"/>
  <c r="AV24" i="60"/>
  <c r="AV23" i="60"/>
  <c r="AV22" i="60"/>
  <c r="AV21" i="60"/>
  <c r="AV20" i="60"/>
  <c r="AV19" i="60"/>
  <c r="AV18" i="60"/>
  <c r="AV17" i="60"/>
  <c r="AV16" i="60"/>
  <c r="L16" i="60" a="1"/>
  <c r="L16" i="60" s="1"/>
  <c r="AV15" i="60"/>
  <c r="AV14" i="60"/>
  <c r="AV13" i="60"/>
  <c r="L13" i="60"/>
  <c r="AV12" i="60"/>
  <c r="L12" i="60"/>
  <c r="AV11" i="60"/>
  <c r="L11" i="60"/>
  <c r="AV10" i="60"/>
  <c r="L10" i="60"/>
  <c r="AV9" i="60"/>
  <c r="L9" i="60"/>
  <c r="AV8" i="60"/>
  <c r="L8" i="60"/>
  <c r="BC7" i="60"/>
  <c r="BC8" i="60" s="1"/>
  <c r="BC9" i="60" s="1"/>
  <c r="AV7" i="60"/>
  <c r="AF7" i="60"/>
  <c r="AF8" i="60" s="1"/>
  <c r="AF9" i="60" s="1"/>
  <c r="AF10" i="60" s="1"/>
  <c r="AF11" i="60" s="1"/>
  <c r="AF12" i="60" s="1"/>
  <c r="AF13" i="60" s="1"/>
  <c r="AF14" i="60" s="1"/>
  <c r="AF15" i="60" s="1"/>
  <c r="AF16" i="60" s="1"/>
  <c r="AF17" i="60" s="1"/>
  <c r="AF18" i="60" s="1"/>
  <c r="AF19" i="60" s="1"/>
  <c r="AF20" i="60" s="1"/>
  <c r="AF21" i="60" s="1"/>
  <c r="AF22" i="60" s="1"/>
  <c r="AF23" i="60" s="1"/>
  <c r="AF24" i="60" s="1"/>
  <c r="AF25" i="60" s="1"/>
  <c r="AF26" i="60" s="1"/>
  <c r="AF27" i="60" s="1"/>
  <c r="AF28" i="60" s="1"/>
  <c r="AF29" i="60" s="1"/>
  <c r="AF30" i="60" s="1"/>
  <c r="AF31" i="60" s="1"/>
  <c r="AF32" i="60" s="1"/>
  <c r="AF33" i="60" s="1"/>
  <c r="AF34" i="60" s="1"/>
  <c r="AF35" i="60" s="1"/>
  <c r="AF36" i="60" s="1"/>
  <c r="AF37" i="60" s="1"/>
  <c r="AF38" i="60" s="1"/>
  <c r="AF39" i="60" s="1"/>
  <c r="AF40" i="60" s="1"/>
  <c r="AF41" i="60" s="1"/>
  <c r="AF42" i="60" s="1"/>
  <c r="AF43" i="60" s="1"/>
  <c r="AF44" i="60" s="1"/>
  <c r="AF45" i="60" s="1"/>
  <c r="AF46" i="60" s="1"/>
  <c r="AF47" i="60" s="1"/>
  <c r="AF48" i="60" s="1"/>
  <c r="AF49" i="60" s="1"/>
  <c r="AF50" i="60" s="1"/>
  <c r="AF51" i="60" s="1"/>
  <c r="AF52" i="60" s="1"/>
  <c r="AF53" i="60" s="1"/>
  <c r="AF54" i="60" s="1"/>
  <c r="AF55" i="60" s="1"/>
  <c r="AF56" i="60" s="1"/>
  <c r="AF57" i="60" s="1"/>
  <c r="AL4" i="60"/>
  <c r="AK4" i="60"/>
  <c r="AK2" i="60" s="1"/>
  <c r="AJ4" i="60"/>
  <c r="AJ2" i="60" s="1"/>
  <c r="G3" i="60"/>
  <c r="AL2" i="60"/>
  <c r="E2" i="60"/>
  <c r="E3" i="60" s="1"/>
  <c r="A1" i="60"/>
  <c r="G56" i="61"/>
  <c r="P8" i="70" l="1"/>
  <c r="AA10" i="69"/>
  <c r="AA8" i="69"/>
  <c r="AA13" i="69"/>
  <c r="R14" i="69"/>
  <c r="S12" i="69" s="1"/>
  <c r="AA12" i="68"/>
  <c r="O14" i="69"/>
  <c r="P10" i="69" s="1"/>
  <c r="S10" i="69"/>
  <c r="U5" i="70"/>
  <c r="V14" i="70"/>
  <c r="AA10" i="68"/>
  <c r="P10" i="70"/>
  <c r="O5" i="70"/>
  <c r="P14" i="70"/>
  <c r="P9" i="70"/>
  <c r="AA9" i="69"/>
  <c r="U14" i="69"/>
  <c r="V14" i="69" s="1"/>
  <c r="S13" i="68"/>
  <c r="S11" i="68"/>
  <c r="S10" i="68"/>
  <c r="R5" i="68"/>
  <c r="S12" i="68"/>
  <c r="AA14" i="68"/>
  <c r="S9" i="68"/>
  <c r="S14" i="68"/>
  <c r="P12" i="69"/>
  <c r="S14" i="69"/>
  <c r="P9" i="69"/>
  <c r="S8" i="69"/>
  <c r="S9" i="69"/>
  <c r="P8" i="69"/>
  <c r="R5" i="69"/>
  <c r="S11" i="69"/>
  <c r="BH41" i="85"/>
  <c r="BG41" i="85"/>
  <c r="BF41" i="85"/>
  <c r="BI41" i="85"/>
  <c r="BC43" i="85"/>
  <c r="BD42" i="85"/>
  <c r="BC42" i="84"/>
  <c r="BD41" i="84"/>
  <c r="BF40" i="84"/>
  <c r="BI40" i="84"/>
  <c r="BH40" i="84"/>
  <c r="BG40" i="84"/>
  <c r="BH37" i="83"/>
  <c r="BI37" i="83"/>
  <c r="BG37" i="83"/>
  <c r="BF37" i="83"/>
  <c r="BC39" i="83"/>
  <c r="BD38" i="83"/>
  <c r="AA14" i="69"/>
  <c r="P14" i="69"/>
  <c r="S13" i="69"/>
  <c r="O5" i="69"/>
  <c r="P11" i="69"/>
  <c r="P14" i="68"/>
  <c r="P12" i="68"/>
  <c r="P8" i="68"/>
  <c r="O5" i="68"/>
  <c r="P9" i="68"/>
  <c r="P10" i="68"/>
  <c r="V14" i="68"/>
  <c r="BG31" i="81"/>
  <c r="BF31" i="81"/>
  <c r="BI31" i="81"/>
  <c r="BH31" i="81"/>
  <c r="BC33" i="81"/>
  <c r="BD32" i="81"/>
  <c r="BG30" i="80"/>
  <c r="BF30" i="80"/>
  <c r="BI30" i="80"/>
  <c r="BH30" i="80"/>
  <c r="BC32" i="80"/>
  <c r="BD31" i="80"/>
  <c r="BC31" i="78"/>
  <c r="BD30" i="78"/>
  <c r="BF29" i="78"/>
  <c r="BI29" i="78"/>
  <c r="BH29" i="78"/>
  <c r="BG29" i="78"/>
  <c r="BC31" i="79"/>
  <c r="BD30" i="79"/>
  <c r="BF29" i="79"/>
  <c r="BI29" i="79"/>
  <c r="BH29" i="79"/>
  <c r="BG29" i="79"/>
  <c r="BC28" i="76"/>
  <c r="BD27" i="76"/>
  <c r="BI26" i="76"/>
  <c r="BF26" i="76"/>
  <c r="BH26" i="76"/>
  <c r="BG26" i="76"/>
  <c r="BH25" i="75"/>
  <c r="BG25" i="75"/>
  <c r="BF25" i="75"/>
  <c r="BI25" i="75"/>
  <c r="BD26" i="75"/>
  <c r="BC27" i="75"/>
  <c r="BH23" i="74"/>
  <c r="BG23" i="74"/>
  <c r="BF23" i="74"/>
  <c r="BI23" i="74"/>
  <c r="BD24" i="74"/>
  <c r="BC25" i="74"/>
  <c r="BD22" i="73"/>
  <c r="BC23" i="73"/>
  <c r="BI21" i="73"/>
  <c r="BH21" i="73"/>
  <c r="BG21" i="73"/>
  <c r="BF21" i="73"/>
  <c r="BI63" i="5"/>
  <c r="BC21" i="71"/>
  <c r="BD20" i="71"/>
  <c r="BF19" i="71"/>
  <c r="BH19" i="71"/>
  <c r="BG19" i="71"/>
  <c r="BI19" i="71"/>
  <c r="BD18" i="70"/>
  <c r="BC19" i="70"/>
  <c r="BI17" i="70"/>
  <c r="BH17" i="70"/>
  <c r="BF17" i="70"/>
  <c r="BG17" i="70"/>
  <c r="BC17" i="68"/>
  <c r="BD16" i="68"/>
  <c r="BI15" i="68"/>
  <c r="BG15" i="68"/>
  <c r="BF15" i="68"/>
  <c r="BH15" i="68"/>
  <c r="Q11" i="10"/>
  <c r="BD18" i="66"/>
  <c r="BC19" i="66"/>
  <c r="BH17" i="66"/>
  <c r="BF17" i="66"/>
  <c r="BI17" i="66"/>
  <c r="BG17" i="66"/>
  <c r="BD20" i="65"/>
  <c r="BC21" i="65"/>
  <c r="BH19" i="65"/>
  <c r="BI19" i="65"/>
  <c r="BG19" i="65"/>
  <c r="BF19" i="65"/>
  <c r="BC15" i="64"/>
  <c r="BD14" i="64"/>
  <c r="BH13" i="64"/>
  <c r="BI13" i="64"/>
  <c r="BG13" i="64"/>
  <c r="BF13" i="64"/>
  <c r="BD17" i="63"/>
  <c r="BC18" i="63"/>
  <c r="BI16" i="63"/>
  <c r="BG16" i="63"/>
  <c r="BF16" i="63"/>
  <c r="BH16" i="63"/>
  <c r="M8" i="61"/>
  <c r="M13" i="61"/>
  <c r="AY20" i="61"/>
  <c r="Y14" i="61"/>
  <c r="M9" i="61"/>
  <c r="M12" i="61"/>
  <c r="C77" i="61"/>
  <c r="AY24" i="61"/>
  <c r="AY49" i="61"/>
  <c r="AY40" i="61"/>
  <c r="AY62" i="61"/>
  <c r="AY13" i="61"/>
  <c r="AY52" i="61"/>
  <c r="AY44" i="61"/>
  <c r="AY16" i="61"/>
  <c r="AY53" i="61"/>
  <c r="AY63" i="61"/>
  <c r="AY36" i="61"/>
  <c r="AY15" i="61"/>
  <c r="AY11" i="61"/>
  <c r="AY42" i="61"/>
  <c r="AY34" i="61"/>
  <c r="AY30" i="61"/>
  <c r="AY56" i="61"/>
  <c r="AY48" i="61"/>
  <c r="AY58" i="61"/>
  <c r="AY28" i="61"/>
  <c r="AY32" i="61"/>
  <c r="AY38" i="61"/>
  <c r="AY60" i="61"/>
  <c r="AY29" i="61"/>
  <c r="M14" i="61"/>
  <c r="L5" i="61"/>
  <c r="AY9" i="61"/>
  <c r="AY27" i="61"/>
  <c r="AY19" i="61"/>
  <c r="AY12" i="61"/>
  <c r="AY8" i="61"/>
  <c r="M11" i="61"/>
  <c r="AY14" i="61"/>
  <c r="AY35" i="61"/>
  <c r="AY31" i="61"/>
  <c r="AY54" i="61"/>
  <c r="AY45" i="61"/>
  <c r="AY33" i="61"/>
  <c r="AY23" i="61"/>
  <c r="AY7" i="61"/>
  <c r="AY46" i="61"/>
  <c r="AY10" i="61"/>
  <c r="AY61" i="61"/>
  <c r="AY21" i="61"/>
  <c r="AY22" i="61"/>
  <c r="AY26" i="61"/>
  <c r="AY50" i="61"/>
  <c r="AY59" i="61"/>
  <c r="AY51" i="61"/>
  <c r="AY37" i="61"/>
  <c r="AY41" i="61"/>
  <c r="AY55" i="61"/>
  <c r="AY25" i="61"/>
  <c r="AY17" i="61"/>
  <c r="AY47" i="61"/>
  <c r="BC9" i="61"/>
  <c r="AY18" i="61"/>
  <c r="AY43" i="61"/>
  <c r="AY39" i="61"/>
  <c r="AY57" i="61"/>
  <c r="AW8" i="60"/>
  <c r="BC10" i="60"/>
  <c r="AW62" i="60"/>
  <c r="AX62" i="60" s="1"/>
  <c r="AW43" i="60"/>
  <c r="AX43" i="60" s="1"/>
  <c r="AW51" i="60"/>
  <c r="AX51" i="60" s="1"/>
  <c r="AW42" i="60"/>
  <c r="AX42" i="60" s="1"/>
  <c r="AW41" i="60"/>
  <c r="AX41" i="60" s="1"/>
  <c r="AW38" i="60"/>
  <c r="AX38" i="60" s="1"/>
  <c r="AW33" i="60"/>
  <c r="AX33" i="60" s="1"/>
  <c r="AW29" i="60"/>
  <c r="AX29" i="60" s="1"/>
  <c r="AW59" i="60"/>
  <c r="AX59" i="60" s="1"/>
  <c r="AW39" i="60"/>
  <c r="AX39" i="60" s="1"/>
  <c r="AW32" i="60"/>
  <c r="AX32" i="60" s="1"/>
  <c r="AW25" i="60"/>
  <c r="AX25" i="60" s="1"/>
  <c r="AW17" i="60"/>
  <c r="AX17" i="60" s="1"/>
  <c r="AW58" i="60"/>
  <c r="AX58" i="60" s="1"/>
  <c r="AW21" i="60"/>
  <c r="AX21" i="60" s="1"/>
  <c r="AW55" i="60"/>
  <c r="AX55" i="60" s="1"/>
  <c r="AW10" i="60"/>
  <c r="AX10" i="60" s="1"/>
  <c r="AW13" i="60"/>
  <c r="AX13" i="60" s="1"/>
  <c r="AW31" i="60"/>
  <c r="AX31" i="60" s="1"/>
  <c r="AW57" i="60"/>
  <c r="AX57" i="60" s="1"/>
  <c r="AW7" i="60"/>
  <c r="AX7" i="60" s="1"/>
  <c r="L14" i="60"/>
  <c r="M9" i="60" s="1"/>
  <c r="AX8" i="60"/>
  <c r="AW11" i="60"/>
  <c r="AX11" i="60" s="1"/>
  <c r="AW15" i="60"/>
  <c r="AX15" i="60" s="1"/>
  <c r="AW47" i="60"/>
  <c r="AX47" i="60" s="1"/>
  <c r="AW12" i="60"/>
  <c r="AX12" i="60" s="1"/>
  <c r="AW14" i="60"/>
  <c r="AW35" i="60"/>
  <c r="AX35" i="60" s="1"/>
  <c r="AW37" i="60"/>
  <c r="AX37" i="60" s="1"/>
  <c r="AW9" i="60"/>
  <c r="AX9" i="60" s="1"/>
  <c r="AX14" i="60"/>
  <c r="AW16" i="60"/>
  <c r="AX16" i="60" s="1"/>
  <c r="AW19" i="60"/>
  <c r="AX19" i="60" s="1"/>
  <c r="AW20" i="60"/>
  <c r="AX20" i="60" s="1"/>
  <c r="AW23" i="60"/>
  <c r="AX23" i="60" s="1"/>
  <c r="AW24" i="60"/>
  <c r="AX24" i="60" s="1"/>
  <c r="AW27" i="60"/>
  <c r="AX27" i="60" s="1"/>
  <c r="AW28" i="60"/>
  <c r="AX28" i="60" s="1"/>
  <c r="AW40" i="60"/>
  <c r="AX40" i="60" s="1"/>
  <c r="AW49" i="60"/>
  <c r="AX49" i="60" s="1"/>
  <c r="AW18" i="60"/>
  <c r="AX18" i="60" s="1"/>
  <c r="AW26" i="60"/>
  <c r="AX26" i="60" s="1"/>
  <c r="AW22" i="60"/>
  <c r="AX22" i="60" s="1"/>
  <c r="AW30" i="60"/>
  <c r="AX30" i="60" s="1"/>
  <c r="AW34" i="60"/>
  <c r="AX34" i="60" s="1"/>
  <c r="AW50" i="60"/>
  <c r="AX50" i="60" s="1"/>
  <c r="AW63" i="60"/>
  <c r="AX63" i="60" s="1"/>
  <c r="AW36" i="60"/>
  <c r="AX36" i="60" s="1"/>
  <c r="AW45" i="60"/>
  <c r="AX45" i="60" s="1"/>
  <c r="AW53" i="60"/>
  <c r="AX53" i="60" s="1"/>
  <c r="AW44" i="60"/>
  <c r="AX44" i="60" s="1"/>
  <c r="AW46" i="60"/>
  <c r="AX46" i="60" s="1"/>
  <c r="AW54" i="60"/>
  <c r="AX54" i="60" s="1"/>
  <c r="AW60" i="60"/>
  <c r="AX60" i="60" s="1"/>
  <c r="AW48" i="60"/>
  <c r="AX48" i="60" s="1"/>
  <c r="AW52" i="60"/>
  <c r="AX52" i="60" s="1"/>
  <c r="AW56" i="60"/>
  <c r="AX56" i="60" s="1"/>
  <c r="AW61" i="60"/>
  <c r="AX61" i="60" s="1"/>
  <c r="C68" i="58"/>
  <c r="B68" i="58" s="1"/>
  <c r="AH67" i="58"/>
  <c r="AG67" i="58"/>
  <c r="AF67" i="58"/>
  <c r="AH66" i="58"/>
  <c r="AG66" i="58"/>
  <c r="AF66" i="58"/>
  <c r="AH65" i="58"/>
  <c r="AG65" i="58"/>
  <c r="AF65" i="58"/>
  <c r="AH64" i="58"/>
  <c r="AG64" i="58"/>
  <c r="AF64" i="58"/>
  <c r="AV63" i="58"/>
  <c r="AH63" i="58"/>
  <c r="AG63" i="58"/>
  <c r="AF63" i="58"/>
  <c r="AV62" i="58"/>
  <c r="AH62" i="58"/>
  <c r="AG62" i="58"/>
  <c r="AF62" i="58"/>
  <c r="AV61" i="58"/>
  <c r="AV60" i="58"/>
  <c r="AH60" i="58"/>
  <c r="AG60" i="58"/>
  <c r="AF60" i="58"/>
  <c r="AF61" i="58" s="1"/>
  <c r="G60" i="58"/>
  <c r="E60" i="58" s="1"/>
  <c r="AV59" i="58"/>
  <c r="AH59" i="58"/>
  <c r="AG59" i="58"/>
  <c r="AF59" i="58"/>
  <c r="G59" i="58"/>
  <c r="E59" i="58" s="1"/>
  <c r="AV58" i="58"/>
  <c r="AH58" i="58"/>
  <c r="AG58" i="58"/>
  <c r="AF58" i="58"/>
  <c r="G58" i="58"/>
  <c r="E58" i="58" s="1"/>
  <c r="AV57" i="58"/>
  <c r="AV56" i="58"/>
  <c r="AV55" i="58"/>
  <c r="AV54" i="58"/>
  <c r="AV53" i="58"/>
  <c r="AV52" i="58"/>
  <c r="AV51" i="58"/>
  <c r="AV50" i="58"/>
  <c r="AV49" i="58"/>
  <c r="AV48" i="58"/>
  <c r="AV47" i="58"/>
  <c r="AV46" i="58"/>
  <c r="AV45" i="58"/>
  <c r="AV44" i="58"/>
  <c r="AV43" i="58"/>
  <c r="AV42" i="58"/>
  <c r="AV41" i="58"/>
  <c r="AV40" i="58"/>
  <c r="AV39" i="58"/>
  <c r="AV38" i="58"/>
  <c r="AV37" i="58"/>
  <c r="AV36" i="58"/>
  <c r="AV35" i="58"/>
  <c r="AV34" i="58"/>
  <c r="AV33" i="58"/>
  <c r="AV32" i="58"/>
  <c r="AV31" i="58"/>
  <c r="AV30" i="58"/>
  <c r="AV29" i="58"/>
  <c r="AV28" i="58"/>
  <c r="AV27" i="58"/>
  <c r="AV26" i="58"/>
  <c r="AV25" i="58"/>
  <c r="AV24" i="58"/>
  <c r="AV23" i="58"/>
  <c r="AV22" i="58"/>
  <c r="AV21" i="58"/>
  <c r="AV20" i="58"/>
  <c r="AV19" i="58"/>
  <c r="AV18" i="58"/>
  <c r="AV17" i="58"/>
  <c r="AV16" i="58"/>
  <c r="L16" i="58" a="1"/>
  <c r="L16" i="58" s="1"/>
  <c r="AV15" i="58"/>
  <c r="AV14" i="58"/>
  <c r="AV13" i="58"/>
  <c r="L13" i="58"/>
  <c r="AV12" i="58"/>
  <c r="L12" i="58"/>
  <c r="AV11" i="58"/>
  <c r="L11" i="58"/>
  <c r="AV10" i="58"/>
  <c r="L10" i="58"/>
  <c r="AV9" i="58"/>
  <c r="L9" i="58"/>
  <c r="AV8" i="58"/>
  <c r="L8" i="58"/>
  <c r="BC7" i="58"/>
  <c r="BC8" i="58" s="1"/>
  <c r="AV7" i="58"/>
  <c r="AF7" i="58"/>
  <c r="AF8" i="58" s="1"/>
  <c r="AF9" i="58" s="1"/>
  <c r="AF10" i="58" s="1"/>
  <c r="AF11" i="58" s="1"/>
  <c r="AF12" i="58" s="1"/>
  <c r="AF13" i="58" s="1"/>
  <c r="AF14" i="58" s="1"/>
  <c r="AF15" i="58" s="1"/>
  <c r="AF16" i="58" s="1"/>
  <c r="AF17" i="58" s="1"/>
  <c r="AF18" i="58" s="1"/>
  <c r="AF19" i="58" s="1"/>
  <c r="AF20" i="58" s="1"/>
  <c r="AF21" i="58" s="1"/>
  <c r="AF22" i="58" s="1"/>
  <c r="AF23" i="58" s="1"/>
  <c r="AF24" i="58" s="1"/>
  <c r="AF25" i="58" s="1"/>
  <c r="AF26" i="58" s="1"/>
  <c r="AF27" i="58" s="1"/>
  <c r="AF28" i="58" s="1"/>
  <c r="AF29" i="58" s="1"/>
  <c r="AF30" i="58" s="1"/>
  <c r="AF31" i="58" s="1"/>
  <c r="AF32" i="58" s="1"/>
  <c r="AF33" i="58" s="1"/>
  <c r="AF34" i="58" s="1"/>
  <c r="AF35" i="58" s="1"/>
  <c r="AF36" i="58" s="1"/>
  <c r="AF37" i="58" s="1"/>
  <c r="AF38" i="58" s="1"/>
  <c r="AF39" i="58" s="1"/>
  <c r="AF40" i="58" s="1"/>
  <c r="AF41" i="58" s="1"/>
  <c r="AF42" i="58" s="1"/>
  <c r="AF43" i="58" s="1"/>
  <c r="AF44" i="58" s="1"/>
  <c r="AF45" i="58" s="1"/>
  <c r="AF46" i="58" s="1"/>
  <c r="AF47" i="58" s="1"/>
  <c r="AF48" i="58" s="1"/>
  <c r="AF49" i="58" s="1"/>
  <c r="AF50" i="58" s="1"/>
  <c r="AF51" i="58" s="1"/>
  <c r="AF52" i="58" s="1"/>
  <c r="AF53" i="58" s="1"/>
  <c r="AF54" i="58" s="1"/>
  <c r="AF55" i="58" s="1"/>
  <c r="AF56" i="58" s="1"/>
  <c r="AF57" i="58" s="1"/>
  <c r="AL4" i="58"/>
  <c r="AK4" i="58"/>
  <c r="AK2" i="58" s="1"/>
  <c r="AJ4" i="58"/>
  <c r="AJ2" i="58" s="1"/>
  <c r="G3" i="58"/>
  <c r="AL2" i="58"/>
  <c r="E2" i="58"/>
  <c r="E3" i="58" s="1"/>
  <c r="A1" i="58"/>
  <c r="G57" i="60"/>
  <c r="U5" i="69" l="1"/>
  <c r="BF42" i="85"/>
  <c r="BI42" i="85"/>
  <c r="BH42" i="85"/>
  <c r="BG42" i="85"/>
  <c r="BC44" i="85"/>
  <c r="BD43" i="85"/>
  <c r="BG41" i="84"/>
  <c r="BF41" i="84"/>
  <c r="BI41" i="84"/>
  <c r="BH41" i="84"/>
  <c r="BC43" i="84"/>
  <c r="BD42" i="84"/>
  <c r="BG38" i="83"/>
  <c r="BH38" i="83"/>
  <c r="BI38" i="83"/>
  <c r="BF38" i="83"/>
  <c r="BC40" i="83"/>
  <c r="BD39" i="83"/>
  <c r="BH32" i="81"/>
  <c r="BG32" i="81"/>
  <c r="BI32" i="81"/>
  <c r="BF32" i="81"/>
  <c r="BD33" i="81"/>
  <c r="BC34" i="81"/>
  <c r="BH31" i="80"/>
  <c r="BG31" i="80"/>
  <c r="BI31" i="80"/>
  <c r="BF31" i="80"/>
  <c r="BD32" i="80"/>
  <c r="BC33" i="80"/>
  <c r="BG30" i="78"/>
  <c r="BF30" i="78"/>
  <c r="BI30" i="78"/>
  <c r="BH30" i="78"/>
  <c r="BC32" i="78"/>
  <c r="BD31" i="78"/>
  <c r="BG30" i="79"/>
  <c r="BF30" i="79"/>
  <c r="BI30" i="79"/>
  <c r="BH30" i="79"/>
  <c r="BC32" i="79"/>
  <c r="BD31" i="79"/>
  <c r="BF27" i="76"/>
  <c r="BH27" i="76"/>
  <c r="BG27" i="76"/>
  <c r="BI27" i="76"/>
  <c r="BC29" i="76"/>
  <c r="BD28" i="76"/>
  <c r="BD27" i="75"/>
  <c r="BC28" i="75"/>
  <c r="BI26" i="75"/>
  <c r="BH26" i="75"/>
  <c r="BG26" i="75"/>
  <c r="BF26" i="75"/>
  <c r="BD25" i="74"/>
  <c r="BC26" i="74"/>
  <c r="BI24" i="74"/>
  <c r="BH24" i="74"/>
  <c r="BG24" i="74"/>
  <c r="BF24" i="74"/>
  <c r="BC24" i="73"/>
  <c r="BD23" i="73"/>
  <c r="BF22" i="73"/>
  <c r="BI22" i="73"/>
  <c r="BH22" i="73"/>
  <c r="BG22" i="73"/>
  <c r="BG20" i="71"/>
  <c r="BI20" i="71"/>
  <c r="BH20" i="71"/>
  <c r="BF20" i="71"/>
  <c r="BC22" i="71"/>
  <c r="BD21" i="71"/>
  <c r="BC20" i="70"/>
  <c r="BD19" i="70"/>
  <c r="BF18" i="70"/>
  <c r="BI18" i="70"/>
  <c r="BH18" i="70"/>
  <c r="BG18" i="70"/>
  <c r="BC19" i="69"/>
  <c r="BD18" i="69"/>
  <c r="BI17" i="69"/>
  <c r="BG17" i="69"/>
  <c r="BH17" i="69"/>
  <c r="BF17" i="69"/>
  <c r="BC18" i="68"/>
  <c r="BD17" i="68"/>
  <c r="BF16" i="68"/>
  <c r="BI16" i="68"/>
  <c r="BG16" i="68"/>
  <c r="BH16" i="68"/>
  <c r="Q14" i="10"/>
  <c r="Q13" i="10" s="1"/>
  <c r="BD19" i="66"/>
  <c r="BC20" i="66"/>
  <c r="BI18" i="66"/>
  <c r="BG18" i="66"/>
  <c r="BF18" i="66"/>
  <c r="BH18" i="66"/>
  <c r="BC22" i="65"/>
  <c r="BD21" i="65"/>
  <c r="BI20" i="65"/>
  <c r="BF20" i="65"/>
  <c r="BH20" i="65"/>
  <c r="BG20" i="65"/>
  <c r="BG14" i="64"/>
  <c r="BF14" i="64"/>
  <c r="BH14" i="64"/>
  <c r="BI14" i="64"/>
  <c r="BD15" i="64"/>
  <c r="BC16" i="64"/>
  <c r="BF17" i="63"/>
  <c r="BH17" i="63"/>
  <c r="BI17" i="63"/>
  <c r="BG17" i="63"/>
  <c r="BC19" i="63"/>
  <c r="BD18" i="63"/>
  <c r="BD8" i="61"/>
  <c r="BF8" i="61" s="1"/>
  <c r="AG56" i="61"/>
  <c r="AH56" i="61"/>
  <c r="BD7" i="61"/>
  <c r="BD9" i="61"/>
  <c r="BC10" i="61"/>
  <c r="C77" i="60"/>
  <c r="AY50" i="60"/>
  <c r="AY11" i="60"/>
  <c r="AY61" i="60"/>
  <c r="AY45" i="60"/>
  <c r="AY12" i="60"/>
  <c r="AY44" i="60"/>
  <c r="AY19" i="60"/>
  <c r="AY41" i="60"/>
  <c r="AY62" i="60"/>
  <c r="AY54" i="60"/>
  <c r="AY63" i="60"/>
  <c r="AY30" i="60"/>
  <c r="AY49" i="60"/>
  <c r="AY16" i="60"/>
  <c r="AY57" i="60"/>
  <c r="AY22" i="60"/>
  <c r="AY23" i="60"/>
  <c r="AY28" i="60"/>
  <c r="AY13" i="60"/>
  <c r="AY35" i="60"/>
  <c r="AY31" i="60"/>
  <c r="AY59" i="60"/>
  <c r="AY52" i="60"/>
  <c r="AY27" i="60"/>
  <c r="AY10" i="60"/>
  <c r="AY24" i="60"/>
  <c r="AY25" i="60"/>
  <c r="AY29" i="60"/>
  <c r="AY42" i="60"/>
  <c r="AY9" i="60"/>
  <c r="M11" i="60"/>
  <c r="AY58" i="60"/>
  <c r="AY48" i="60"/>
  <c r="AY40" i="60"/>
  <c r="AY26" i="60"/>
  <c r="AY21" i="60"/>
  <c r="AY32" i="60"/>
  <c r="AY33" i="60"/>
  <c r="AY51" i="60"/>
  <c r="AY56" i="60"/>
  <c r="AY37" i="60"/>
  <c r="AY20" i="60"/>
  <c r="L5" i="60"/>
  <c r="M12" i="60"/>
  <c r="M10" i="60"/>
  <c r="M14" i="60"/>
  <c r="M8" i="60"/>
  <c r="AY55" i="60"/>
  <c r="AY17" i="60"/>
  <c r="M13" i="60"/>
  <c r="AY47" i="60"/>
  <c r="Y14" i="60"/>
  <c r="AY7" i="60"/>
  <c r="AY60" i="60"/>
  <c r="AY46" i="60"/>
  <c r="AY53" i="60"/>
  <c r="AY36" i="60"/>
  <c r="AY34" i="60"/>
  <c r="AY18" i="60"/>
  <c r="AY14" i="60"/>
  <c r="AY8" i="60"/>
  <c r="AY15" i="60"/>
  <c r="AY39" i="60"/>
  <c r="AY38" i="60"/>
  <c r="AY43" i="60"/>
  <c r="BC11" i="60"/>
  <c r="AW27" i="58"/>
  <c r="AX27" i="58" s="1"/>
  <c r="AW35" i="58"/>
  <c r="AX35" i="58" s="1"/>
  <c r="L14" i="58"/>
  <c r="M12" i="58" s="1"/>
  <c r="AW60" i="58"/>
  <c r="AX60" i="58" s="1"/>
  <c r="AW31" i="58"/>
  <c r="AX31" i="58" s="1"/>
  <c r="AW13" i="58"/>
  <c r="AX13" i="58" s="1"/>
  <c r="AW19" i="58"/>
  <c r="AX19" i="58" s="1"/>
  <c r="AW36" i="58"/>
  <c r="AX36" i="58" s="1"/>
  <c r="AW62" i="58"/>
  <c r="AX62" i="58" s="1"/>
  <c r="AW58" i="58"/>
  <c r="AX58" i="58" s="1"/>
  <c r="AW54" i="58"/>
  <c r="AX54" i="58" s="1"/>
  <c r="AW50" i="58"/>
  <c r="AX50" i="58" s="1"/>
  <c r="AW46" i="58"/>
  <c r="AX46" i="58" s="1"/>
  <c r="AW61" i="58"/>
  <c r="AX61" i="58" s="1"/>
  <c r="AW63" i="58"/>
  <c r="AX63" i="58" s="1"/>
  <c r="AW57" i="58"/>
  <c r="AX57" i="58" s="1"/>
  <c r="AW49" i="58"/>
  <c r="AX49" i="58" s="1"/>
  <c r="AW45" i="58"/>
  <c r="AX45" i="58" s="1"/>
  <c r="AW33" i="58"/>
  <c r="AX33" i="58" s="1"/>
  <c r="AW29" i="58"/>
  <c r="AX29" i="58" s="1"/>
  <c r="AW25" i="58"/>
  <c r="AX25" i="58" s="1"/>
  <c r="AW21" i="58"/>
  <c r="AX21" i="58" s="1"/>
  <c r="AW17" i="58"/>
  <c r="AX17" i="58" s="1"/>
  <c r="AW53" i="58"/>
  <c r="AX53" i="58" s="1"/>
  <c r="AW40" i="58"/>
  <c r="AX40" i="58" s="1"/>
  <c r="AW12" i="58"/>
  <c r="AX12" i="58" s="1"/>
  <c r="AW41" i="58"/>
  <c r="AX41" i="58" s="1"/>
  <c r="AW32" i="58"/>
  <c r="AX32" i="58" s="1"/>
  <c r="AW28" i="58"/>
  <c r="AX28" i="58" s="1"/>
  <c r="AW24" i="58"/>
  <c r="AX24" i="58" s="1"/>
  <c r="AW20" i="58"/>
  <c r="AX20" i="58" s="1"/>
  <c r="AW16" i="58"/>
  <c r="AX16" i="58" s="1"/>
  <c r="AW7" i="58"/>
  <c r="AX7" i="58" s="1"/>
  <c r="AW9" i="58"/>
  <c r="AX9" i="58" s="1"/>
  <c r="AW11" i="58"/>
  <c r="AX11" i="58" s="1"/>
  <c r="AW14" i="58"/>
  <c r="AX14" i="58" s="1"/>
  <c r="AW15" i="58"/>
  <c r="AX15" i="58" s="1"/>
  <c r="AW8" i="58"/>
  <c r="AX8" i="58" s="1"/>
  <c r="BC9" i="58"/>
  <c r="AW10" i="58"/>
  <c r="AX10" i="58" s="1"/>
  <c r="AW23" i="58"/>
  <c r="AX23" i="58" s="1"/>
  <c r="AW37" i="58"/>
  <c r="AX37" i="58" s="1"/>
  <c r="AW43" i="58"/>
  <c r="AX43" i="58" s="1"/>
  <c r="AW55" i="58"/>
  <c r="AX55" i="58" s="1"/>
  <c r="AW18" i="58"/>
  <c r="AX18" i="58" s="1"/>
  <c r="AW22" i="58"/>
  <c r="AX22" i="58" s="1"/>
  <c r="AW26" i="58"/>
  <c r="AX26" i="58" s="1"/>
  <c r="AW30" i="58"/>
  <c r="AX30" i="58" s="1"/>
  <c r="AW34" i="58"/>
  <c r="AX34" i="58" s="1"/>
  <c r="AW39" i="58"/>
  <c r="AX39" i="58" s="1"/>
  <c r="AW47" i="58"/>
  <c r="AX47" i="58" s="1"/>
  <c r="AW59" i="58"/>
  <c r="AX59" i="58" s="1"/>
  <c r="AW51" i="58"/>
  <c r="AX51" i="58" s="1"/>
  <c r="AW38" i="58"/>
  <c r="AX38" i="58" s="1"/>
  <c r="AW42" i="58"/>
  <c r="AX42" i="58" s="1"/>
  <c r="AW44" i="58"/>
  <c r="AX44" i="58" s="1"/>
  <c r="AW48" i="58"/>
  <c r="AX48" i="58" s="1"/>
  <c r="AW52" i="58"/>
  <c r="AX52" i="58" s="1"/>
  <c r="AW56" i="58"/>
  <c r="AX56" i="58" s="1"/>
  <c r="BD62" i="5"/>
  <c r="BC62" i="5"/>
  <c r="BB62" i="5"/>
  <c r="BD61" i="5"/>
  <c r="BD63" i="5" s="1"/>
  <c r="BC61" i="5"/>
  <c r="BC63" i="5" s="1"/>
  <c r="BB61" i="5"/>
  <c r="BB63" i="5" s="1"/>
  <c r="BE57" i="5"/>
  <c r="BD57" i="5"/>
  <c r="BC57" i="5"/>
  <c r="BB57" i="5"/>
  <c r="BE56" i="5"/>
  <c r="BD56" i="5"/>
  <c r="BD58" i="5" s="1"/>
  <c r="BC56" i="5"/>
  <c r="BC58" i="5" s="1"/>
  <c r="BB56" i="5"/>
  <c r="BE47" i="5"/>
  <c r="BD47" i="5"/>
  <c r="BC47" i="5"/>
  <c r="BB47" i="5"/>
  <c r="BE46" i="5"/>
  <c r="BD46" i="5"/>
  <c r="BD52" i="5" s="1"/>
  <c r="BC46" i="5"/>
  <c r="BC52" i="5" s="1"/>
  <c r="BB46" i="5"/>
  <c r="BB52" i="5" s="1"/>
  <c r="BE45" i="5"/>
  <c r="BD45" i="5"/>
  <c r="BC45" i="5"/>
  <c r="BB45" i="5"/>
  <c r="BE44" i="5"/>
  <c r="BD44" i="5"/>
  <c r="BD51" i="5" s="1"/>
  <c r="BD53" i="5" s="1"/>
  <c r="BC44" i="5"/>
  <c r="BC51" i="5" s="1"/>
  <c r="BC53" i="5" s="1"/>
  <c r="BB44" i="5"/>
  <c r="BB51" i="5" s="1"/>
  <c r="BB53" i="5" s="1"/>
  <c r="BE43" i="5"/>
  <c r="BD43" i="5"/>
  <c r="BC43" i="5"/>
  <c r="BB43" i="5"/>
  <c r="BE42" i="5"/>
  <c r="BD42" i="5"/>
  <c r="BD50" i="5" s="1"/>
  <c r="BC42" i="5"/>
  <c r="BC50" i="5" s="1"/>
  <c r="BB42" i="5"/>
  <c r="BB50" i="5" s="1"/>
  <c r="BE40" i="5"/>
  <c r="BD40" i="5"/>
  <c r="BC40" i="5"/>
  <c r="BB40" i="5"/>
  <c r="CC31" i="7"/>
  <c r="CC21" i="7"/>
  <c r="CC11" i="7"/>
  <c r="CC7" i="7"/>
  <c r="BE50" i="5" l="1"/>
  <c r="P11" i="9" s="1"/>
  <c r="BE58" i="5"/>
  <c r="BE52" i="5"/>
  <c r="P13" i="9" s="1"/>
  <c r="BE51" i="5"/>
  <c r="P12" i="9" s="1"/>
  <c r="P14" i="9" s="1"/>
  <c r="BG43" i="85"/>
  <c r="BF43" i="85"/>
  <c r="BH43" i="85"/>
  <c r="BI43" i="85"/>
  <c r="BC45" i="85"/>
  <c r="BD44" i="85"/>
  <c r="BH42" i="84"/>
  <c r="BI42" i="84"/>
  <c r="BG42" i="84"/>
  <c r="BF42" i="84"/>
  <c r="BD43" i="84"/>
  <c r="BC44" i="84"/>
  <c r="BF39" i="83"/>
  <c r="BG39" i="83"/>
  <c r="BH39" i="83"/>
  <c r="BI39" i="83"/>
  <c r="BD40" i="83"/>
  <c r="BC41" i="83"/>
  <c r="BD34" i="81"/>
  <c r="BC35" i="81"/>
  <c r="BI33" i="81"/>
  <c r="BH33" i="81"/>
  <c r="BF33" i="81"/>
  <c r="BG33" i="81"/>
  <c r="BD33" i="80"/>
  <c r="BC34" i="80"/>
  <c r="BI32" i="80"/>
  <c r="BH32" i="80"/>
  <c r="BG32" i="80"/>
  <c r="BF32" i="80"/>
  <c r="BD32" i="78"/>
  <c r="BC33" i="78"/>
  <c r="BH31" i="78"/>
  <c r="BG31" i="78"/>
  <c r="BI31" i="78"/>
  <c r="BF31" i="78"/>
  <c r="BH31" i="79"/>
  <c r="BG31" i="79"/>
  <c r="BF31" i="79"/>
  <c r="BI31" i="79"/>
  <c r="BD32" i="79"/>
  <c r="BC33" i="79"/>
  <c r="BG28" i="76"/>
  <c r="BI28" i="76"/>
  <c r="BH28" i="76"/>
  <c r="BF28" i="76"/>
  <c r="BD29" i="76"/>
  <c r="BC30" i="76"/>
  <c r="BC29" i="75"/>
  <c r="BD28" i="75"/>
  <c r="BF27" i="75"/>
  <c r="BI27" i="75"/>
  <c r="BH27" i="75"/>
  <c r="BG27" i="75"/>
  <c r="BC27" i="74"/>
  <c r="BD26" i="74"/>
  <c r="BF25" i="74"/>
  <c r="BI25" i="74"/>
  <c r="BH25" i="74"/>
  <c r="BG25" i="74"/>
  <c r="BG23" i="73"/>
  <c r="BF23" i="73"/>
  <c r="BI23" i="73"/>
  <c r="BH23" i="73"/>
  <c r="BC25" i="73"/>
  <c r="BD24" i="73"/>
  <c r="BH21" i="71"/>
  <c r="BF21" i="71"/>
  <c r="BI21" i="71"/>
  <c r="BG21" i="71"/>
  <c r="BD22" i="71"/>
  <c r="BC23" i="71"/>
  <c r="M8" i="58"/>
  <c r="BG19" i="70"/>
  <c r="BF19" i="70"/>
  <c r="BI19" i="70"/>
  <c r="BH19" i="70"/>
  <c r="BC21" i="70"/>
  <c r="BD20" i="70"/>
  <c r="BF18" i="69"/>
  <c r="BI18" i="69"/>
  <c r="BG18" i="69"/>
  <c r="BH18" i="69"/>
  <c r="BC20" i="69"/>
  <c r="BD19" i="69"/>
  <c r="BG17" i="68"/>
  <c r="BF17" i="68"/>
  <c r="BI17" i="68"/>
  <c r="BH17" i="68"/>
  <c r="BC19" i="68"/>
  <c r="BD18" i="68"/>
  <c r="BF19" i="66"/>
  <c r="BH19" i="66"/>
  <c r="BI19" i="66"/>
  <c r="BG19" i="66"/>
  <c r="BC21" i="66"/>
  <c r="BD20" i="66"/>
  <c r="BF21" i="65"/>
  <c r="BH21" i="65"/>
  <c r="BG21" i="65"/>
  <c r="BI21" i="65"/>
  <c r="BC23" i="65"/>
  <c r="BD22" i="65"/>
  <c r="BD16" i="64"/>
  <c r="BC17" i="64"/>
  <c r="BH15" i="64"/>
  <c r="BG15" i="64"/>
  <c r="BI15" i="64"/>
  <c r="BF15" i="64"/>
  <c r="BD19" i="63"/>
  <c r="BC20" i="63"/>
  <c r="BG18" i="63"/>
  <c r="BI18" i="63"/>
  <c r="BF18" i="63"/>
  <c r="BH18" i="63"/>
  <c r="BH8" i="61"/>
  <c r="BG8" i="61"/>
  <c r="BI8" i="61"/>
  <c r="BI9" i="61"/>
  <c r="BF9" i="61"/>
  <c r="BH9" i="61"/>
  <c r="BG9" i="61"/>
  <c r="BI7" i="61"/>
  <c r="BH7" i="61"/>
  <c r="BG7" i="61"/>
  <c r="BF7" i="61"/>
  <c r="BD10" i="61"/>
  <c r="BC11" i="61"/>
  <c r="AG57" i="60"/>
  <c r="AH57" i="60"/>
  <c r="BD7" i="60"/>
  <c r="BD9" i="60"/>
  <c r="BD8" i="60"/>
  <c r="BC12" i="60"/>
  <c r="BD11" i="60"/>
  <c r="BD10" i="60"/>
  <c r="M10" i="58"/>
  <c r="Y14" i="58"/>
  <c r="M13" i="58"/>
  <c r="M9" i="58"/>
  <c r="M14" i="58"/>
  <c r="C77" i="58"/>
  <c r="L5" i="58"/>
  <c r="M11" i="58"/>
  <c r="AY59" i="58"/>
  <c r="AY23" i="58"/>
  <c r="AY34" i="58"/>
  <c r="AY10" i="58"/>
  <c r="AY60" i="58"/>
  <c r="AY56" i="58"/>
  <c r="AY51" i="58"/>
  <c r="AY22" i="58"/>
  <c r="AY43" i="58"/>
  <c r="AY45" i="58"/>
  <c r="AY8" i="58"/>
  <c r="AY9" i="58"/>
  <c r="AY18" i="58"/>
  <c r="AY11" i="58"/>
  <c r="AY7" i="58"/>
  <c r="AY38" i="58"/>
  <c r="AY47" i="58"/>
  <c r="AY30" i="58"/>
  <c r="AY28" i="58"/>
  <c r="AY61" i="58"/>
  <c r="AY48" i="58"/>
  <c r="AY35" i="58"/>
  <c r="AY19" i="58"/>
  <c r="AY32" i="58"/>
  <c r="AY25" i="58"/>
  <c r="AY62" i="58"/>
  <c r="AY15" i="58"/>
  <c r="AY20" i="58"/>
  <c r="AY41" i="58"/>
  <c r="AY53" i="58"/>
  <c r="AY29" i="58"/>
  <c r="AY57" i="58"/>
  <c r="AY50" i="58"/>
  <c r="AY52" i="58"/>
  <c r="AY44" i="58"/>
  <c r="AY39" i="58"/>
  <c r="AY55" i="58"/>
  <c r="AY14" i="58"/>
  <c r="AY12" i="58"/>
  <c r="AY21" i="58"/>
  <c r="AY58" i="58"/>
  <c r="AY13" i="58"/>
  <c r="AY27" i="58"/>
  <c r="AY16" i="58"/>
  <c r="AY40" i="58"/>
  <c r="AY49" i="58"/>
  <c r="AY46" i="58"/>
  <c r="AY42" i="58"/>
  <c r="AY31" i="58"/>
  <c r="AY26" i="58"/>
  <c r="AY37" i="58"/>
  <c r="BC10" i="58"/>
  <c r="AY24" i="58"/>
  <c r="AY17" i="58"/>
  <c r="AY33" i="58"/>
  <c r="AY63" i="58"/>
  <c r="AY54" i="58"/>
  <c r="AY36" i="58"/>
  <c r="BE61" i="5"/>
  <c r="BE62" i="5"/>
  <c r="P12" i="10" s="1"/>
  <c r="BE53" i="5"/>
  <c r="BB58" i="5"/>
  <c r="BH44" i="85" l="1"/>
  <c r="BG44" i="85"/>
  <c r="BF44" i="85"/>
  <c r="BI44" i="85"/>
  <c r="BC46" i="85"/>
  <c r="BD45" i="85"/>
  <c r="BD44" i="84"/>
  <c r="BC45" i="84"/>
  <c r="BI43" i="84"/>
  <c r="BF43" i="84"/>
  <c r="BH43" i="84"/>
  <c r="BG43" i="84"/>
  <c r="BI40" i="83"/>
  <c r="BF40" i="83"/>
  <c r="BH40" i="83"/>
  <c r="BG40" i="83"/>
  <c r="BD41" i="83"/>
  <c r="BC42" i="83"/>
  <c r="BC36" i="81"/>
  <c r="BD35" i="81"/>
  <c r="BF34" i="81"/>
  <c r="BI34" i="81"/>
  <c r="BH34" i="81"/>
  <c r="BG34" i="81"/>
  <c r="BC35" i="80"/>
  <c r="BD34" i="80"/>
  <c r="BF33" i="80"/>
  <c r="BI33" i="80"/>
  <c r="BH33" i="80"/>
  <c r="BG33" i="80"/>
  <c r="BD33" i="78"/>
  <c r="BC34" i="78"/>
  <c r="BI32" i="78"/>
  <c r="BH32" i="78"/>
  <c r="BG32" i="78"/>
  <c r="BF32" i="78"/>
  <c r="BD33" i="79"/>
  <c r="BC34" i="79"/>
  <c r="BI32" i="79"/>
  <c r="BH32" i="79"/>
  <c r="BG32" i="79"/>
  <c r="BF32" i="79"/>
  <c r="BD30" i="76"/>
  <c r="BC31" i="76"/>
  <c r="BH29" i="76"/>
  <c r="BF29" i="76"/>
  <c r="BI29" i="76"/>
  <c r="BG29" i="76"/>
  <c r="BI28" i="75"/>
  <c r="BG28" i="75"/>
  <c r="BF28" i="75"/>
  <c r="BH28" i="75"/>
  <c r="BC30" i="75"/>
  <c r="BD29" i="75"/>
  <c r="BG26" i="74"/>
  <c r="BF26" i="74"/>
  <c r="BI26" i="74"/>
  <c r="BH26" i="74"/>
  <c r="BC28" i="74"/>
  <c r="BD27" i="74"/>
  <c r="BH24" i="73"/>
  <c r="BG24" i="73"/>
  <c r="BI24" i="73"/>
  <c r="BF24" i="73"/>
  <c r="BD25" i="73"/>
  <c r="BC26" i="73"/>
  <c r="BD23" i="71"/>
  <c r="BC24" i="71"/>
  <c r="BI22" i="71"/>
  <c r="BH22" i="71"/>
  <c r="BG22" i="71"/>
  <c r="BF22" i="71"/>
  <c r="BH20" i="70"/>
  <c r="BG20" i="70"/>
  <c r="BI20" i="70"/>
  <c r="BF20" i="70"/>
  <c r="BD21" i="70"/>
  <c r="BC22" i="70"/>
  <c r="BC21" i="69"/>
  <c r="BD20" i="69"/>
  <c r="BG19" i="69"/>
  <c r="BF19" i="69"/>
  <c r="BI19" i="69"/>
  <c r="BH19" i="69"/>
  <c r="BH18" i="68"/>
  <c r="BG18" i="68"/>
  <c r="BF18" i="68"/>
  <c r="BI18" i="68"/>
  <c r="BC20" i="68"/>
  <c r="BD19" i="68"/>
  <c r="BG20" i="66"/>
  <c r="BI20" i="66"/>
  <c r="BF20" i="66"/>
  <c r="BH20" i="66"/>
  <c r="BD21" i="66"/>
  <c r="BC22" i="66"/>
  <c r="BG22" i="65"/>
  <c r="BF22" i="65"/>
  <c r="BH22" i="65"/>
  <c r="BI22" i="65"/>
  <c r="BD23" i="65"/>
  <c r="BC24" i="65"/>
  <c r="BD17" i="64"/>
  <c r="BC18" i="64"/>
  <c r="BI16" i="64"/>
  <c r="BF16" i="64"/>
  <c r="BG16" i="64"/>
  <c r="BH16" i="64"/>
  <c r="BH19" i="63"/>
  <c r="BF19" i="63"/>
  <c r="BI19" i="63"/>
  <c r="BG19" i="63"/>
  <c r="BD20" i="63"/>
  <c r="BC21" i="63"/>
  <c r="BD11" i="61"/>
  <c r="BC12" i="61"/>
  <c r="BI10" i="61"/>
  <c r="BH10" i="61"/>
  <c r="BG10" i="61"/>
  <c r="BF10" i="61"/>
  <c r="BF11" i="60"/>
  <c r="BI11" i="60"/>
  <c r="BH11" i="60"/>
  <c r="BG11" i="60"/>
  <c r="BF7" i="60"/>
  <c r="BI7" i="60"/>
  <c r="BG7" i="60"/>
  <c r="BH7" i="60"/>
  <c r="BF10" i="60"/>
  <c r="BI10" i="60"/>
  <c r="BH10" i="60"/>
  <c r="BG10" i="60"/>
  <c r="BF9" i="60"/>
  <c r="BG9" i="60"/>
  <c r="BI9" i="60"/>
  <c r="BH9" i="60"/>
  <c r="BC13" i="60"/>
  <c r="BD12" i="60"/>
  <c r="BF8" i="60"/>
  <c r="BH8" i="60"/>
  <c r="BI8" i="60"/>
  <c r="BG8" i="60"/>
  <c r="BD10" i="58"/>
  <c r="BC11" i="58"/>
  <c r="BD8" i="58"/>
  <c r="BD7" i="58"/>
  <c r="BD9" i="58"/>
  <c r="BE63" i="5"/>
  <c r="P11" i="10"/>
  <c r="P14" i="10" s="1"/>
  <c r="P13" i="10" s="1"/>
  <c r="BI45" i="85" l="1"/>
  <c r="BH45" i="85"/>
  <c r="BG45" i="85"/>
  <c r="BF45" i="85"/>
  <c r="BC47" i="85"/>
  <c r="BD46" i="85"/>
  <c r="BC46" i="84"/>
  <c r="BD45" i="84"/>
  <c r="BF44" i="84"/>
  <c r="BH44" i="84"/>
  <c r="BG44" i="84"/>
  <c r="BI44" i="84"/>
  <c r="BH41" i="83"/>
  <c r="BI41" i="83"/>
  <c r="BF41" i="83"/>
  <c r="BG41" i="83"/>
  <c r="BD42" i="83"/>
  <c r="BC43" i="83"/>
  <c r="BG35" i="81"/>
  <c r="BF35" i="81"/>
  <c r="BH35" i="81"/>
  <c r="BI35" i="81"/>
  <c r="BC37" i="81"/>
  <c r="BD36" i="81"/>
  <c r="BG34" i="80"/>
  <c r="BF34" i="80"/>
  <c r="BI34" i="80"/>
  <c r="BH34" i="80"/>
  <c r="BC36" i="80"/>
  <c r="BD35" i="80"/>
  <c r="BC35" i="78"/>
  <c r="BD34" i="78"/>
  <c r="BF33" i="78"/>
  <c r="BI33" i="78"/>
  <c r="BH33" i="78"/>
  <c r="BG33" i="78"/>
  <c r="BC35" i="79"/>
  <c r="BD34" i="79"/>
  <c r="BF33" i="79"/>
  <c r="BI33" i="79"/>
  <c r="BH33" i="79"/>
  <c r="BG33" i="79"/>
  <c r="BD31" i="76"/>
  <c r="BC32" i="76"/>
  <c r="BI30" i="76"/>
  <c r="BH30" i="76"/>
  <c r="BG30" i="76"/>
  <c r="BF30" i="76"/>
  <c r="BG29" i="75"/>
  <c r="BF29" i="75"/>
  <c r="BI29" i="75"/>
  <c r="BH29" i="75"/>
  <c r="BC31" i="75"/>
  <c r="BD30" i="75"/>
  <c r="BH27" i="74"/>
  <c r="BG27" i="74"/>
  <c r="BF27" i="74"/>
  <c r="BI27" i="74"/>
  <c r="BC29" i="74"/>
  <c r="BD28" i="74"/>
  <c r="BD26" i="73"/>
  <c r="BC27" i="73"/>
  <c r="BI25" i="73"/>
  <c r="BH25" i="73"/>
  <c r="BG25" i="73"/>
  <c r="BF25" i="73"/>
  <c r="BC25" i="71"/>
  <c r="BD24" i="71"/>
  <c r="BF23" i="71"/>
  <c r="BI23" i="71"/>
  <c r="BH23" i="71"/>
  <c r="BG23" i="71"/>
  <c r="BC23" i="70"/>
  <c r="BD22" i="70"/>
  <c r="BI21" i="70"/>
  <c r="BH21" i="70"/>
  <c r="BG21" i="70"/>
  <c r="BF21" i="70"/>
  <c r="BD21" i="69"/>
  <c r="BC22" i="69"/>
  <c r="BH20" i="69"/>
  <c r="BG20" i="69"/>
  <c r="BI20" i="69"/>
  <c r="BF20" i="69"/>
  <c r="BI19" i="68"/>
  <c r="BH19" i="68"/>
  <c r="BG19" i="68"/>
  <c r="BF19" i="68"/>
  <c r="BD20" i="68"/>
  <c r="BC21" i="68"/>
  <c r="BD22" i="66"/>
  <c r="BC23" i="66"/>
  <c r="BH21" i="66"/>
  <c r="BF21" i="66"/>
  <c r="BI21" i="66"/>
  <c r="BG21" i="66"/>
  <c r="BD24" i="65"/>
  <c r="BC25" i="65"/>
  <c r="BH23" i="65"/>
  <c r="BF23" i="65"/>
  <c r="BG23" i="65"/>
  <c r="BI23" i="65"/>
  <c r="BC19" i="64"/>
  <c r="BD18" i="64"/>
  <c r="BF17" i="64"/>
  <c r="BH17" i="64"/>
  <c r="BI17" i="64"/>
  <c r="BG17" i="64"/>
  <c r="BI20" i="63"/>
  <c r="BG20" i="63"/>
  <c r="BF20" i="63"/>
  <c r="BH20" i="63"/>
  <c r="BD21" i="63"/>
  <c r="BC22" i="63"/>
  <c r="BD12" i="61"/>
  <c r="BC13" i="61"/>
  <c r="BI11" i="61"/>
  <c r="BH11" i="61"/>
  <c r="BG11" i="61"/>
  <c r="BF11" i="61"/>
  <c r="BC14" i="60"/>
  <c r="BD13" i="60"/>
  <c r="BF12" i="60"/>
  <c r="BH12" i="60"/>
  <c r="BG12" i="60"/>
  <c r="BI12" i="60"/>
  <c r="BF9" i="58"/>
  <c r="BI9" i="58"/>
  <c r="BH9" i="58"/>
  <c r="BG9" i="58"/>
  <c r="BF10" i="58"/>
  <c r="BI10" i="58"/>
  <c r="BH10" i="58"/>
  <c r="BG10" i="58"/>
  <c r="BC12" i="58"/>
  <c r="BD11" i="58"/>
  <c r="BF7" i="58"/>
  <c r="BI7" i="58"/>
  <c r="BH7" i="58"/>
  <c r="BG7" i="58"/>
  <c r="BF8" i="58"/>
  <c r="BI8" i="58"/>
  <c r="BH8" i="58"/>
  <c r="BG8" i="58"/>
  <c r="C68" i="57"/>
  <c r="B68" i="57" s="1"/>
  <c r="AH67" i="57"/>
  <c r="AG67" i="57"/>
  <c r="AF67" i="57"/>
  <c r="AH66" i="57"/>
  <c r="AG66" i="57"/>
  <c r="AF66" i="57"/>
  <c r="AH65" i="57"/>
  <c r="AG65" i="57"/>
  <c r="AF65" i="57"/>
  <c r="AH64" i="57"/>
  <c r="AG64" i="57"/>
  <c r="AF64" i="57"/>
  <c r="AV63" i="57"/>
  <c r="AH63" i="57"/>
  <c r="AG63" i="57"/>
  <c r="AF63" i="57"/>
  <c r="AV62" i="57"/>
  <c r="AH62" i="57"/>
  <c r="AG62" i="57"/>
  <c r="AF62" i="57"/>
  <c r="AV61" i="57"/>
  <c r="AV60" i="57"/>
  <c r="AH60" i="57"/>
  <c r="AG60" i="57"/>
  <c r="AF60" i="57"/>
  <c r="AF61" i="57" s="1"/>
  <c r="G60" i="57"/>
  <c r="E60" i="57" s="1"/>
  <c r="AV59" i="57"/>
  <c r="AH59" i="57"/>
  <c r="AG59" i="57"/>
  <c r="AF59" i="57"/>
  <c r="G59" i="57"/>
  <c r="E59" i="57" s="1"/>
  <c r="AV58" i="57"/>
  <c r="AV57" i="57"/>
  <c r="AV56" i="57"/>
  <c r="AV55" i="57"/>
  <c r="AV54" i="57"/>
  <c r="AV53" i="57"/>
  <c r="AV52" i="57"/>
  <c r="AV51" i="57"/>
  <c r="AV50" i="57"/>
  <c r="AV49" i="57"/>
  <c r="AV48" i="57"/>
  <c r="AV47" i="57"/>
  <c r="AV46" i="57"/>
  <c r="AV45" i="57"/>
  <c r="AV44" i="57"/>
  <c r="AV43" i="57"/>
  <c r="AV42" i="57"/>
  <c r="AV41" i="57"/>
  <c r="AV40" i="57"/>
  <c r="AV39" i="57"/>
  <c r="AV38" i="57"/>
  <c r="AV37" i="57"/>
  <c r="AV36" i="57"/>
  <c r="AV35" i="57"/>
  <c r="AV34" i="57"/>
  <c r="AV33" i="57"/>
  <c r="AV32" i="57"/>
  <c r="AV31" i="57"/>
  <c r="AV30" i="57"/>
  <c r="AV29" i="57"/>
  <c r="AV28" i="57"/>
  <c r="AV27" i="57"/>
  <c r="AV26" i="57"/>
  <c r="AV25" i="57"/>
  <c r="AV24" i="57"/>
  <c r="AV23" i="57"/>
  <c r="AV22" i="57"/>
  <c r="AV21" i="57"/>
  <c r="AV20" i="57"/>
  <c r="AV19" i="57"/>
  <c r="AV18" i="57"/>
  <c r="AV17" i="57"/>
  <c r="AV16" i="57"/>
  <c r="L16" i="57" a="1"/>
  <c r="L16" i="57" s="1"/>
  <c r="AV15" i="57"/>
  <c r="AV14" i="57"/>
  <c r="AV13" i="57"/>
  <c r="L13" i="57"/>
  <c r="AV12" i="57"/>
  <c r="L12" i="57"/>
  <c r="AV11" i="57"/>
  <c r="L11" i="57"/>
  <c r="AV10" i="57"/>
  <c r="L10" i="57"/>
  <c r="AV9" i="57"/>
  <c r="L9" i="57"/>
  <c r="AV8" i="57"/>
  <c r="L8" i="57"/>
  <c r="BC7" i="57"/>
  <c r="BC8" i="57" s="1"/>
  <c r="BC9" i="57" s="1"/>
  <c r="AV7" i="57"/>
  <c r="AF7" i="57"/>
  <c r="AF8" i="57" s="1"/>
  <c r="AF9" i="57" s="1"/>
  <c r="AF10" i="57" s="1"/>
  <c r="AF11" i="57" s="1"/>
  <c r="AF12" i="57" s="1"/>
  <c r="AF13" i="57" s="1"/>
  <c r="AF14" i="57" s="1"/>
  <c r="AF15" i="57" s="1"/>
  <c r="AF16" i="57" s="1"/>
  <c r="AF17" i="57" s="1"/>
  <c r="AF18" i="57" s="1"/>
  <c r="AF19" i="57" s="1"/>
  <c r="AF20" i="57" s="1"/>
  <c r="AF21" i="57" s="1"/>
  <c r="AF22" i="57" s="1"/>
  <c r="AF23" i="57" s="1"/>
  <c r="AF24" i="57" s="1"/>
  <c r="AF25" i="57" s="1"/>
  <c r="AF26" i="57" s="1"/>
  <c r="AF27" i="57" s="1"/>
  <c r="AF28" i="57" s="1"/>
  <c r="AF29" i="57" s="1"/>
  <c r="AF30" i="57" s="1"/>
  <c r="AF31" i="57" s="1"/>
  <c r="AF32" i="57" s="1"/>
  <c r="AF33" i="57" s="1"/>
  <c r="AF34" i="57" s="1"/>
  <c r="AF35" i="57" s="1"/>
  <c r="AF36" i="57" s="1"/>
  <c r="AF37" i="57" s="1"/>
  <c r="AF38" i="57" s="1"/>
  <c r="AF39" i="57" s="1"/>
  <c r="AF40" i="57" s="1"/>
  <c r="AF41" i="57" s="1"/>
  <c r="AF42" i="57" s="1"/>
  <c r="AF43" i="57" s="1"/>
  <c r="AF44" i="57" s="1"/>
  <c r="AF45" i="57" s="1"/>
  <c r="AF46" i="57" s="1"/>
  <c r="AF47" i="57" s="1"/>
  <c r="AF48" i="57" s="1"/>
  <c r="AF49" i="57" s="1"/>
  <c r="AF50" i="57" s="1"/>
  <c r="AF51" i="57" s="1"/>
  <c r="AF52" i="57" s="1"/>
  <c r="AF53" i="57" s="1"/>
  <c r="AF54" i="57" s="1"/>
  <c r="AF55" i="57" s="1"/>
  <c r="AF56" i="57" s="1"/>
  <c r="AF57" i="57" s="1"/>
  <c r="AF58" i="57" s="1"/>
  <c r="AL4" i="57"/>
  <c r="AL2" i="57" s="1"/>
  <c r="AK4" i="57"/>
  <c r="AJ4" i="57"/>
  <c r="AJ2" i="57" s="1"/>
  <c r="G3" i="57"/>
  <c r="AK2" i="57"/>
  <c r="E2" i="57"/>
  <c r="E3" i="57" s="1"/>
  <c r="A1" i="57"/>
  <c r="BH46" i="85" l="1"/>
  <c r="BF46" i="85"/>
  <c r="BI46" i="85"/>
  <c r="BG46" i="85"/>
  <c r="BD47" i="85"/>
  <c r="BC48" i="85"/>
  <c r="BG45" i="84"/>
  <c r="BF45" i="84"/>
  <c r="BI45" i="84"/>
  <c r="BH45" i="84"/>
  <c r="BC47" i="84"/>
  <c r="BD46" i="84"/>
  <c r="BG42" i="83"/>
  <c r="BH42" i="83"/>
  <c r="BI42" i="83"/>
  <c r="BF42" i="83"/>
  <c r="BC44" i="83"/>
  <c r="BD43" i="83"/>
  <c r="BH36" i="81"/>
  <c r="BG36" i="81"/>
  <c r="BI36" i="81"/>
  <c r="BF36" i="81"/>
  <c r="BD37" i="81"/>
  <c r="BC38" i="81"/>
  <c r="BH35" i="80"/>
  <c r="BG35" i="80"/>
  <c r="BI35" i="80"/>
  <c r="BF35" i="80"/>
  <c r="BD36" i="80"/>
  <c r="BC37" i="80"/>
  <c r="BG34" i="78"/>
  <c r="BF34" i="78"/>
  <c r="BI34" i="78"/>
  <c r="BH34" i="78"/>
  <c r="BC36" i="78"/>
  <c r="BD35" i="78"/>
  <c r="BF34" i="79"/>
  <c r="BI34" i="79"/>
  <c r="BH34" i="79"/>
  <c r="BG34" i="79"/>
  <c r="BC36" i="79"/>
  <c r="BD35" i="79"/>
  <c r="BC33" i="76"/>
  <c r="BD32" i="76"/>
  <c r="BF31" i="76"/>
  <c r="BI31" i="76"/>
  <c r="BH31" i="76"/>
  <c r="BG31" i="76"/>
  <c r="BH30" i="75"/>
  <c r="BG30" i="75"/>
  <c r="BF30" i="75"/>
  <c r="BI30" i="75"/>
  <c r="BD31" i="75"/>
  <c r="BC32" i="75"/>
  <c r="BI28" i="74"/>
  <c r="BH28" i="74"/>
  <c r="BG28" i="74"/>
  <c r="BF28" i="74"/>
  <c r="BC30" i="74"/>
  <c r="BD29" i="74"/>
  <c r="BC28" i="73"/>
  <c r="BD27" i="73"/>
  <c r="BF26" i="73"/>
  <c r="BI26" i="73"/>
  <c r="BH26" i="73"/>
  <c r="BG26" i="73"/>
  <c r="BG24" i="71"/>
  <c r="BF24" i="71"/>
  <c r="BI24" i="71"/>
  <c r="BH24" i="71"/>
  <c r="BC26" i="71"/>
  <c r="BD25" i="71"/>
  <c r="AW8" i="57"/>
  <c r="AX8" i="57" s="1"/>
  <c r="BF22" i="70"/>
  <c r="BI22" i="70"/>
  <c r="BH22" i="70"/>
  <c r="BG22" i="70"/>
  <c r="BC24" i="70"/>
  <c r="BD23" i="70"/>
  <c r="BC23" i="69"/>
  <c r="BD22" i="69"/>
  <c r="BI21" i="69"/>
  <c r="BG21" i="69"/>
  <c r="BF21" i="69"/>
  <c r="BH21" i="69"/>
  <c r="BD21" i="68"/>
  <c r="BC22" i="68"/>
  <c r="BH20" i="68"/>
  <c r="BF20" i="68"/>
  <c r="BI20" i="68"/>
  <c r="BG20" i="68"/>
  <c r="BD23" i="66"/>
  <c r="BC24" i="66"/>
  <c r="BI22" i="66"/>
  <c r="BG22" i="66"/>
  <c r="BF22" i="66"/>
  <c r="BH22" i="66"/>
  <c r="BC26" i="65"/>
  <c r="BD25" i="65"/>
  <c r="BI24" i="65"/>
  <c r="BH24" i="65"/>
  <c r="BG24" i="65"/>
  <c r="BF24" i="65"/>
  <c r="BG18" i="64"/>
  <c r="BF18" i="64"/>
  <c r="BI18" i="64"/>
  <c r="BH18" i="64"/>
  <c r="BC20" i="64"/>
  <c r="BD19" i="64"/>
  <c r="BF21" i="63"/>
  <c r="BH21" i="63"/>
  <c r="BI21" i="63"/>
  <c r="BG21" i="63"/>
  <c r="BC23" i="63"/>
  <c r="BD22" i="63"/>
  <c r="BI12" i="61"/>
  <c r="BG12" i="61"/>
  <c r="BF12" i="61"/>
  <c r="BH12" i="61"/>
  <c r="BC14" i="61"/>
  <c r="BD13" i="61"/>
  <c r="BH13" i="60"/>
  <c r="BF13" i="60"/>
  <c r="BG13" i="60"/>
  <c r="BI13" i="60"/>
  <c r="BC15" i="60"/>
  <c r="BD14" i="60"/>
  <c r="BG11" i="58"/>
  <c r="BH11" i="58"/>
  <c r="BF11" i="58"/>
  <c r="BI11" i="58"/>
  <c r="BC13" i="58"/>
  <c r="BD12" i="58"/>
  <c r="AW29" i="57"/>
  <c r="AW17" i="57"/>
  <c r="AX17" i="57" s="1"/>
  <c r="AW25" i="57"/>
  <c r="AW31" i="57"/>
  <c r="AX31" i="57" s="1"/>
  <c r="AW12" i="57"/>
  <c r="AX12" i="57" s="1"/>
  <c r="L14" i="57"/>
  <c r="M8" i="57" s="1"/>
  <c r="AW33" i="57"/>
  <c r="AX33" i="57" s="1"/>
  <c r="AW10" i="57"/>
  <c r="AX10" i="57" s="1"/>
  <c r="AW19" i="57"/>
  <c r="AX19" i="57" s="1"/>
  <c r="AW21" i="57"/>
  <c r="AX21" i="57" s="1"/>
  <c r="AW27" i="57"/>
  <c r="AX27" i="57" s="1"/>
  <c r="AW52" i="57"/>
  <c r="AX52" i="57" s="1"/>
  <c r="AW13" i="57"/>
  <c r="AX13" i="57" s="1"/>
  <c r="AW15" i="57"/>
  <c r="AX15" i="57" s="1"/>
  <c r="AW23" i="57"/>
  <c r="AX23" i="57" s="1"/>
  <c r="AW9" i="57"/>
  <c r="AX9" i="57" s="1"/>
  <c r="BC10" i="57"/>
  <c r="AW61" i="57"/>
  <c r="AX61" i="57" s="1"/>
  <c r="AW57" i="57"/>
  <c r="AX57" i="57" s="1"/>
  <c r="AW53" i="57"/>
  <c r="AX53" i="57" s="1"/>
  <c r="AW63" i="57"/>
  <c r="AX63" i="57" s="1"/>
  <c r="AW45" i="57"/>
  <c r="AX45" i="57" s="1"/>
  <c r="AW38" i="57"/>
  <c r="AX38" i="57" s="1"/>
  <c r="AW14" i="57"/>
  <c r="AX14" i="57" s="1"/>
  <c r="AW49" i="57"/>
  <c r="AX49" i="57" s="1"/>
  <c r="AW47" i="57"/>
  <c r="AX47" i="57" s="1"/>
  <c r="AW42" i="57"/>
  <c r="AX42" i="57" s="1"/>
  <c r="AW34" i="57"/>
  <c r="AX34" i="57" s="1"/>
  <c r="AW30" i="57"/>
  <c r="AX30" i="57" s="1"/>
  <c r="AW26" i="57"/>
  <c r="AX26" i="57" s="1"/>
  <c r="AW22" i="57"/>
  <c r="AX22" i="57" s="1"/>
  <c r="AW18" i="57"/>
  <c r="AX18" i="57" s="1"/>
  <c r="AW7" i="57"/>
  <c r="AX7" i="57" s="1"/>
  <c r="AW11" i="57"/>
  <c r="AX11" i="57" s="1"/>
  <c r="AW35" i="57"/>
  <c r="AX35" i="57" s="1"/>
  <c r="AW48" i="57"/>
  <c r="AX48" i="57" s="1"/>
  <c r="AW60" i="57"/>
  <c r="AX60" i="57" s="1"/>
  <c r="AW16" i="57"/>
  <c r="AX16" i="57" s="1"/>
  <c r="AW20" i="57"/>
  <c r="AX20" i="57" s="1"/>
  <c r="AW24" i="57"/>
  <c r="AX24" i="57" s="1"/>
  <c r="AW28" i="57"/>
  <c r="AX28" i="57" s="1"/>
  <c r="AW32" i="57"/>
  <c r="AX32" i="57" s="1"/>
  <c r="AW36" i="57"/>
  <c r="AX36" i="57" s="1"/>
  <c r="AW39" i="57"/>
  <c r="AX39" i="57" s="1"/>
  <c r="AW41" i="57"/>
  <c r="AX41" i="57" s="1"/>
  <c r="AW44" i="57"/>
  <c r="AX44" i="57" s="1"/>
  <c r="AX25" i="57"/>
  <c r="AX29" i="57"/>
  <c r="AW37" i="57"/>
  <c r="AX37" i="57" s="1"/>
  <c r="AW54" i="57"/>
  <c r="AX54" i="57" s="1"/>
  <c r="AW43" i="57"/>
  <c r="AX43" i="57" s="1"/>
  <c r="AW46" i="57"/>
  <c r="AX46" i="57" s="1"/>
  <c r="AW50" i="57"/>
  <c r="AX50" i="57" s="1"/>
  <c r="AW58" i="57"/>
  <c r="AX58" i="57" s="1"/>
  <c r="AW59" i="57"/>
  <c r="AX59" i="57" s="1"/>
  <c r="AW40" i="57"/>
  <c r="AX40" i="57" s="1"/>
  <c r="AW56" i="57"/>
  <c r="AX56" i="57" s="1"/>
  <c r="AW62" i="57"/>
  <c r="AX62" i="57" s="1"/>
  <c r="AW51" i="57"/>
  <c r="AX51" i="57" s="1"/>
  <c r="AW55" i="57"/>
  <c r="AX55" i="57" s="1"/>
  <c r="G58" i="57"/>
  <c r="BC49" i="85" l="1"/>
  <c r="BD48" i="85"/>
  <c r="BI47" i="85"/>
  <c r="BG47" i="85"/>
  <c r="BF47" i="85"/>
  <c r="BH47" i="85"/>
  <c r="BI46" i="84"/>
  <c r="BH46" i="84"/>
  <c r="BG46" i="84"/>
  <c r="BF46" i="84"/>
  <c r="BD47" i="84"/>
  <c r="BC48" i="84"/>
  <c r="BF43" i="83"/>
  <c r="BG43" i="83"/>
  <c r="BI43" i="83"/>
  <c r="BH43" i="83"/>
  <c r="BC45" i="83"/>
  <c r="BD44" i="83"/>
  <c r="BD38" i="81"/>
  <c r="BC39" i="81"/>
  <c r="BI37" i="81"/>
  <c r="BH37" i="81"/>
  <c r="BG37" i="81"/>
  <c r="BF37" i="81"/>
  <c r="BD37" i="80"/>
  <c r="BC38" i="80"/>
  <c r="BI36" i="80"/>
  <c r="BH36" i="80"/>
  <c r="BG36" i="80"/>
  <c r="BF36" i="80"/>
  <c r="BH35" i="78"/>
  <c r="BG35" i="78"/>
  <c r="BI35" i="78"/>
  <c r="BF35" i="78"/>
  <c r="BD36" i="78"/>
  <c r="BC37" i="78"/>
  <c r="BG35" i="79"/>
  <c r="BF35" i="79"/>
  <c r="BI35" i="79"/>
  <c r="BH35" i="79"/>
  <c r="BC37" i="79"/>
  <c r="BD36" i="79"/>
  <c r="BG32" i="76"/>
  <c r="BH32" i="76"/>
  <c r="BF32" i="76"/>
  <c r="BI32" i="76"/>
  <c r="BC34" i="76"/>
  <c r="BD33" i="76"/>
  <c r="BD32" i="75"/>
  <c r="BC33" i="75"/>
  <c r="BI31" i="75"/>
  <c r="BH31" i="75"/>
  <c r="BG31" i="75"/>
  <c r="BF31" i="75"/>
  <c r="BF29" i="74"/>
  <c r="BI29" i="74"/>
  <c r="BH29" i="74"/>
  <c r="BG29" i="74"/>
  <c r="BC31" i="74"/>
  <c r="BD30" i="74"/>
  <c r="BG27" i="73"/>
  <c r="BF27" i="73"/>
  <c r="BI27" i="73"/>
  <c r="BH27" i="73"/>
  <c r="BC29" i="73"/>
  <c r="BD28" i="73"/>
  <c r="M11" i="57"/>
  <c r="M10" i="57"/>
  <c r="BH25" i="71"/>
  <c r="BG25" i="71"/>
  <c r="BF25" i="71"/>
  <c r="BI25" i="71"/>
  <c r="BD26" i="71"/>
  <c r="BC27" i="71"/>
  <c r="C77" i="57"/>
  <c r="BH23" i="70"/>
  <c r="BI23" i="70"/>
  <c r="BG23" i="70"/>
  <c r="BF23" i="70"/>
  <c r="BD24" i="70"/>
  <c r="BC25" i="70"/>
  <c r="BF22" i="69"/>
  <c r="BG22" i="69"/>
  <c r="BI22" i="69"/>
  <c r="BH22" i="69"/>
  <c r="BC24" i="69"/>
  <c r="BD23" i="69"/>
  <c r="BD22" i="68"/>
  <c r="BC23" i="68"/>
  <c r="BI21" i="68"/>
  <c r="BG21" i="68"/>
  <c r="BH21" i="68"/>
  <c r="BF21" i="68"/>
  <c r="BC25" i="66"/>
  <c r="BD24" i="66"/>
  <c r="BF23" i="66"/>
  <c r="BH23" i="66"/>
  <c r="BI23" i="66"/>
  <c r="BG23" i="66"/>
  <c r="BF25" i="65"/>
  <c r="BI25" i="65"/>
  <c r="BH25" i="65"/>
  <c r="BG25" i="65"/>
  <c r="BC27" i="65"/>
  <c r="BD26" i="65"/>
  <c r="BH19" i="64"/>
  <c r="BF19" i="64"/>
  <c r="BG19" i="64"/>
  <c r="BI19" i="64"/>
  <c r="BD20" i="64"/>
  <c r="BC21" i="64"/>
  <c r="BD23" i="63"/>
  <c r="BC24" i="63"/>
  <c r="BG22" i="63"/>
  <c r="BI22" i="63"/>
  <c r="BF22" i="63"/>
  <c r="BH22" i="63"/>
  <c r="BG13" i="61"/>
  <c r="BI13" i="61"/>
  <c r="BH13" i="61"/>
  <c r="BF13" i="61"/>
  <c r="BD14" i="61"/>
  <c r="BC15" i="61"/>
  <c r="BG14" i="60"/>
  <c r="BI14" i="60"/>
  <c r="BH14" i="60"/>
  <c r="BF14" i="60"/>
  <c r="BD15" i="60"/>
  <c r="BC16" i="60"/>
  <c r="BD13" i="58"/>
  <c r="BC14" i="58"/>
  <c r="BG12" i="58"/>
  <c r="BF12" i="58"/>
  <c r="BI12" i="58"/>
  <c r="BH12" i="58"/>
  <c r="AY41" i="57"/>
  <c r="AY20" i="57"/>
  <c r="AY51" i="57"/>
  <c r="AY40" i="57"/>
  <c r="AY28" i="57"/>
  <c r="AY47" i="57"/>
  <c r="AY17" i="57"/>
  <c r="AY36" i="57"/>
  <c r="AY12" i="57"/>
  <c r="AY46" i="57"/>
  <c r="AY44" i="57"/>
  <c r="AY60" i="57"/>
  <c r="AY9" i="57"/>
  <c r="AY43" i="57"/>
  <c r="AY39" i="57"/>
  <c r="AY24" i="57"/>
  <c r="AY16" i="57"/>
  <c r="AY48" i="57"/>
  <c r="AY11" i="57"/>
  <c r="AY61" i="57"/>
  <c r="AY19" i="57"/>
  <c r="AY30" i="57"/>
  <c r="AY63" i="57"/>
  <c r="AY15" i="57"/>
  <c r="AY31" i="57"/>
  <c r="AY13" i="57"/>
  <c r="AY62" i="57"/>
  <c r="AY50" i="57"/>
  <c r="AY29" i="57"/>
  <c r="AY18" i="57"/>
  <c r="AY34" i="57"/>
  <c r="AY14" i="57"/>
  <c r="AY53" i="57"/>
  <c r="AY8" i="57"/>
  <c r="M13" i="57"/>
  <c r="M12" i="57"/>
  <c r="AY58" i="57"/>
  <c r="AY37" i="57"/>
  <c r="AY21" i="57"/>
  <c r="AY32" i="57"/>
  <c r="AY35" i="57"/>
  <c r="AY26" i="57"/>
  <c r="AY45" i="57"/>
  <c r="BC11" i="57"/>
  <c r="AY27" i="57"/>
  <c r="AY56" i="57"/>
  <c r="AY33" i="57"/>
  <c r="AY7" i="57"/>
  <c r="AY49" i="57"/>
  <c r="AY55" i="57"/>
  <c r="AY59" i="57"/>
  <c r="AY54" i="57"/>
  <c r="AY25" i="57"/>
  <c r="AY22" i="57"/>
  <c r="AY42" i="57"/>
  <c r="AY38" i="57"/>
  <c r="AY57" i="57"/>
  <c r="AY23" i="57"/>
  <c r="AY52" i="57"/>
  <c r="AY10" i="57"/>
  <c r="M14" i="57"/>
  <c r="L5" i="57"/>
  <c r="M9" i="57"/>
  <c r="Y14" i="57"/>
  <c r="E58" i="57"/>
  <c r="BF48" i="85" l="1"/>
  <c r="BH48" i="85"/>
  <c r="BI48" i="85"/>
  <c r="BG48" i="85"/>
  <c r="BC50" i="85"/>
  <c r="BD49" i="85"/>
  <c r="BC49" i="84"/>
  <c r="BD48" i="84"/>
  <c r="BF47" i="84"/>
  <c r="BI47" i="84"/>
  <c r="BH47" i="84"/>
  <c r="BG47" i="84"/>
  <c r="BI44" i="83"/>
  <c r="BG44" i="83"/>
  <c r="BF44" i="83"/>
  <c r="BH44" i="83"/>
  <c r="BD45" i="83"/>
  <c r="BC46" i="83"/>
  <c r="BC40" i="81"/>
  <c r="BD39" i="81"/>
  <c r="BF38" i="81"/>
  <c r="BI38" i="81"/>
  <c r="BH38" i="81"/>
  <c r="BG38" i="81"/>
  <c r="BC39" i="80"/>
  <c r="BD38" i="80"/>
  <c r="BF37" i="80"/>
  <c r="BI37" i="80"/>
  <c r="BH37" i="80"/>
  <c r="BG37" i="80"/>
  <c r="BD37" i="78"/>
  <c r="BC38" i="78"/>
  <c r="BI36" i="78"/>
  <c r="BH36" i="78"/>
  <c r="BG36" i="78"/>
  <c r="BF36" i="78"/>
  <c r="BH36" i="79"/>
  <c r="BG36" i="79"/>
  <c r="BI36" i="79"/>
  <c r="BF36" i="79"/>
  <c r="BD37" i="79"/>
  <c r="BC38" i="79"/>
  <c r="BH33" i="76"/>
  <c r="BI33" i="76"/>
  <c r="BG33" i="76"/>
  <c r="BF33" i="76"/>
  <c r="BD34" i="76"/>
  <c r="BC35" i="76"/>
  <c r="BC34" i="75"/>
  <c r="BD33" i="75"/>
  <c r="BF32" i="75"/>
  <c r="BI32" i="75"/>
  <c r="BG32" i="75"/>
  <c r="BH32" i="75"/>
  <c r="BG30" i="74"/>
  <c r="BI30" i="74"/>
  <c r="BF30" i="74"/>
  <c r="BH30" i="74"/>
  <c r="BC32" i="74"/>
  <c r="BD31" i="74"/>
  <c r="BH28" i="73"/>
  <c r="BG28" i="73"/>
  <c r="BI28" i="73"/>
  <c r="BF28" i="73"/>
  <c r="BD29" i="73"/>
  <c r="BC30" i="73"/>
  <c r="BD27" i="71"/>
  <c r="BC28" i="71"/>
  <c r="BI26" i="71"/>
  <c r="BH26" i="71"/>
  <c r="BG26" i="71"/>
  <c r="BF26" i="71"/>
  <c r="BD25" i="70"/>
  <c r="BC26" i="70"/>
  <c r="BH24" i="70"/>
  <c r="BI24" i="70"/>
  <c r="BG24" i="70"/>
  <c r="BF24" i="70"/>
  <c r="BG23" i="69"/>
  <c r="BI23" i="69"/>
  <c r="BF23" i="69"/>
  <c r="BH23" i="69"/>
  <c r="BD24" i="69"/>
  <c r="BC25" i="69"/>
  <c r="BC24" i="68"/>
  <c r="BD23" i="68"/>
  <c r="BF22" i="68"/>
  <c r="BH22" i="68"/>
  <c r="BI22" i="68"/>
  <c r="BG22" i="68"/>
  <c r="BG24" i="66"/>
  <c r="BI24" i="66"/>
  <c r="BF24" i="66"/>
  <c r="BH24" i="66"/>
  <c r="BD25" i="66"/>
  <c r="BC26" i="66"/>
  <c r="BG26" i="65"/>
  <c r="BF26" i="65"/>
  <c r="BI26" i="65"/>
  <c r="BH26" i="65"/>
  <c r="BC28" i="65"/>
  <c r="BD27" i="65"/>
  <c r="BD21" i="64"/>
  <c r="BC22" i="64"/>
  <c r="BI20" i="64"/>
  <c r="BH20" i="64"/>
  <c r="BG20" i="64"/>
  <c r="BF20" i="64"/>
  <c r="BH23" i="63"/>
  <c r="BF23" i="63"/>
  <c r="BI23" i="63"/>
  <c r="BG23" i="63"/>
  <c r="BD24" i="63"/>
  <c r="BC25" i="63"/>
  <c r="BF14" i="61"/>
  <c r="BH14" i="61"/>
  <c r="BI14" i="61"/>
  <c r="BG14" i="61"/>
  <c r="BC16" i="61"/>
  <c r="BD15" i="61"/>
  <c r="BC17" i="60"/>
  <c r="BD16" i="60"/>
  <c r="BH15" i="60"/>
  <c r="BF15" i="60"/>
  <c r="BI15" i="60"/>
  <c r="BG15" i="60"/>
  <c r="BC15" i="58"/>
  <c r="BD14" i="58"/>
  <c r="BG13" i="58"/>
  <c r="BI13" i="58"/>
  <c r="BH13" i="58"/>
  <c r="BF13" i="58"/>
  <c r="BD10" i="57"/>
  <c r="BF10" i="57" s="1"/>
  <c r="AH58" i="57"/>
  <c r="AG58" i="57"/>
  <c r="BD11" i="57"/>
  <c r="BC12" i="57"/>
  <c r="BD8" i="57"/>
  <c r="BD9" i="57"/>
  <c r="BD7" i="57"/>
  <c r="BG49" i="85" l="1"/>
  <c r="BI49" i="85"/>
  <c r="BF49" i="85"/>
  <c r="BH49" i="85"/>
  <c r="BC51" i="85"/>
  <c r="BD50" i="85"/>
  <c r="BG48" i="84"/>
  <c r="BF48" i="84"/>
  <c r="BI48" i="84"/>
  <c r="BH48" i="84"/>
  <c r="BC50" i="84"/>
  <c r="BD49" i="84"/>
  <c r="BH45" i="83"/>
  <c r="BI45" i="83"/>
  <c r="BG45" i="83"/>
  <c r="BF45" i="83"/>
  <c r="BD46" i="83"/>
  <c r="BC47" i="83"/>
  <c r="BD47" i="83" s="1"/>
  <c r="BG39" i="81"/>
  <c r="BF39" i="81"/>
  <c r="BI39" i="81"/>
  <c r="BH39" i="81"/>
  <c r="BC41" i="81"/>
  <c r="BD40" i="81"/>
  <c r="BG38" i="80"/>
  <c r="BF38" i="80"/>
  <c r="BI38" i="80"/>
  <c r="BH38" i="80"/>
  <c r="BC40" i="80"/>
  <c r="BD39" i="80"/>
  <c r="BC39" i="78"/>
  <c r="BD38" i="78"/>
  <c r="BF37" i="78"/>
  <c r="BI37" i="78"/>
  <c r="BH37" i="78"/>
  <c r="BG37" i="78"/>
  <c r="BC39" i="79"/>
  <c r="BD38" i="79"/>
  <c r="BI37" i="79"/>
  <c r="BH37" i="79"/>
  <c r="BG37" i="79"/>
  <c r="BF37" i="79"/>
  <c r="BD35" i="76"/>
  <c r="BC36" i="76"/>
  <c r="BI34" i="76"/>
  <c r="BH34" i="76"/>
  <c r="BG34" i="76"/>
  <c r="BF34" i="76"/>
  <c r="BG33" i="75"/>
  <c r="BF33" i="75"/>
  <c r="BI33" i="75"/>
  <c r="BH33" i="75"/>
  <c r="BC35" i="75"/>
  <c r="BD34" i="75"/>
  <c r="BH31" i="74"/>
  <c r="BF31" i="74"/>
  <c r="BI31" i="74"/>
  <c r="BG31" i="74"/>
  <c r="BD32" i="74"/>
  <c r="BC33" i="74"/>
  <c r="BD30" i="73"/>
  <c r="BC31" i="73"/>
  <c r="BI29" i="73"/>
  <c r="BH29" i="73"/>
  <c r="BG29" i="73"/>
  <c r="BF29" i="73"/>
  <c r="BC29" i="71"/>
  <c r="BD28" i="71"/>
  <c r="BF27" i="71"/>
  <c r="BI27" i="71"/>
  <c r="BH27" i="71"/>
  <c r="BG27" i="71"/>
  <c r="BC27" i="70"/>
  <c r="BD26" i="70"/>
  <c r="BI25" i="70"/>
  <c r="BF25" i="70"/>
  <c r="BG25" i="70"/>
  <c r="BH25" i="70"/>
  <c r="BD25" i="69"/>
  <c r="BC26" i="69"/>
  <c r="BH24" i="69"/>
  <c r="BG24" i="69"/>
  <c r="BF24" i="69"/>
  <c r="BI24" i="69"/>
  <c r="BG23" i="68"/>
  <c r="BI23" i="68"/>
  <c r="BH23" i="68"/>
  <c r="BF23" i="68"/>
  <c r="BD24" i="68"/>
  <c r="BC25" i="68"/>
  <c r="BD26" i="66"/>
  <c r="BC27" i="66"/>
  <c r="BH25" i="66"/>
  <c r="BF25" i="66"/>
  <c r="BI25" i="66"/>
  <c r="BG25" i="66"/>
  <c r="BH27" i="65"/>
  <c r="BG27" i="65"/>
  <c r="BF27" i="65"/>
  <c r="BI27" i="65"/>
  <c r="BD28" i="65"/>
  <c r="BC29" i="65"/>
  <c r="BC23" i="64"/>
  <c r="BD22" i="64"/>
  <c r="BF21" i="64"/>
  <c r="BG21" i="64"/>
  <c r="BI21" i="64"/>
  <c r="BH21" i="64"/>
  <c r="BI24" i="63"/>
  <c r="BG24" i="63"/>
  <c r="BF24" i="63"/>
  <c r="BH24" i="63"/>
  <c r="BD25" i="63"/>
  <c r="BC26" i="63"/>
  <c r="BG15" i="61"/>
  <c r="BI15" i="61"/>
  <c r="BH15" i="61"/>
  <c r="BF15" i="61"/>
  <c r="BD16" i="61"/>
  <c r="BC17" i="61"/>
  <c r="BG16" i="60"/>
  <c r="BH16" i="60"/>
  <c r="BI16" i="60"/>
  <c r="BF16" i="60"/>
  <c r="BC18" i="60"/>
  <c r="BD17" i="60"/>
  <c r="BH10" i="57"/>
  <c r="BG10" i="57"/>
  <c r="BI10" i="57"/>
  <c r="BF14" i="58"/>
  <c r="BH14" i="58"/>
  <c r="BG14" i="58"/>
  <c r="BI14" i="58"/>
  <c r="BC16" i="58"/>
  <c r="BD15" i="58"/>
  <c r="BI9" i="57"/>
  <c r="BH9" i="57"/>
  <c r="BF9" i="57"/>
  <c r="BG9" i="57"/>
  <c r="BC13" i="57"/>
  <c r="BD12" i="57"/>
  <c r="BI7" i="57"/>
  <c r="BF7" i="57"/>
  <c r="BH7" i="57"/>
  <c r="BG7" i="57"/>
  <c r="BF11" i="57"/>
  <c r="BI11" i="57"/>
  <c r="BH11" i="57"/>
  <c r="BG11" i="57"/>
  <c r="BI8" i="57"/>
  <c r="BG8" i="57"/>
  <c r="BH8" i="57"/>
  <c r="BF8" i="57"/>
  <c r="BF50" i="85" l="1"/>
  <c r="BH50" i="85"/>
  <c r="BI50" i="85"/>
  <c r="BG50" i="85"/>
  <c r="BC52" i="85"/>
  <c r="BD51" i="85"/>
  <c r="BH49" i="84"/>
  <c r="BG49" i="84"/>
  <c r="BF49" i="84"/>
  <c r="BI49" i="84"/>
  <c r="BC51" i="84"/>
  <c r="BD50" i="84"/>
  <c r="BF47" i="83"/>
  <c r="BG47" i="83"/>
  <c r="BH47" i="83"/>
  <c r="BI47" i="83"/>
  <c r="BG46" i="83"/>
  <c r="BH46" i="83"/>
  <c r="BF46" i="83"/>
  <c r="BI46" i="83"/>
  <c r="BC48" i="83"/>
  <c r="BH40" i="81"/>
  <c r="BG40" i="81"/>
  <c r="BI40" i="81"/>
  <c r="BF40" i="81"/>
  <c r="BD41" i="81"/>
  <c r="BC42" i="81"/>
  <c r="BH39" i="80"/>
  <c r="BG39" i="80"/>
  <c r="BI39" i="80"/>
  <c r="BF39" i="80"/>
  <c r="BD40" i="80"/>
  <c r="BC41" i="80"/>
  <c r="BG38" i="78"/>
  <c r="BF38" i="78"/>
  <c r="BI38" i="78"/>
  <c r="BH38" i="78"/>
  <c r="BC40" i="78"/>
  <c r="BD39" i="78"/>
  <c r="BF38" i="79"/>
  <c r="BI38" i="79"/>
  <c r="BH38" i="79"/>
  <c r="BG38" i="79"/>
  <c r="BC40" i="79"/>
  <c r="BD39" i="79"/>
  <c r="BC37" i="76"/>
  <c r="BD36" i="76"/>
  <c r="BF35" i="76"/>
  <c r="BI35" i="76"/>
  <c r="BH35" i="76"/>
  <c r="BG35" i="76"/>
  <c r="BH34" i="75"/>
  <c r="BG34" i="75"/>
  <c r="BF34" i="75"/>
  <c r="BI34" i="75"/>
  <c r="BD35" i="75"/>
  <c r="BC36" i="75"/>
  <c r="BC34" i="74"/>
  <c r="BD33" i="74"/>
  <c r="BI32" i="74"/>
  <c r="BG32" i="74"/>
  <c r="BF32" i="74"/>
  <c r="BH32" i="74"/>
  <c r="BC32" i="73"/>
  <c r="BD31" i="73"/>
  <c r="BF30" i="73"/>
  <c r="BI30" i="73"/>
  <c r="BH30" i="73"/>
  <c r="BG30" i="73"/>
  <c r="BG28" i="71"/>
  <c r="BF28" i="71"/>
  <c r="BI28" i="71"/>
  <c r="BH28" i="71"/>
  <c r="BC30" i="71"/>
  <c r="BD29" i="71"/>
  <c r="BC28" i="70"/>
  <c r="BD27" i="70"/>
  <c r="BF26" i="70"/>
  <c r="BG26" i="70"/>
  <c r="BI26" i="70"/>
  <c r="BH26" i="70"/>
  <c r="BD26" i="69"/>
  <c r="BC27" i="69"/>
  <c r="BI25" i="69"/>
  <c r="BG25" i="69"/>
  <c r="BH25" i="69"/>
  <c r="BF25" i="69"/>
  <c r="BD25" i="68"/>
  <c r="BC26" i="68"/>
  <c r="BH24" i="68"/>
  <c r="BF24" i="68"/>
  <c r="BI24" i="68"/>
  <c r="BG24" i="68"/>
  <c r="BD27" i="66"/>
  <c r="BC28" i="66"/>
  <c r="BI26" i="66"/>
  <c r="BG26" i="66"/>
  <c r="BF26" i="66"/>
  <c r="BH26" i="66"/>
  <c r="BC30" i="65"/>
  <c r="BD29" i="65"/>
  <c r="BI28" i="65"/>
  <c r="BH28" i="65"/>
  <c r="BG28" i="65"/>
  <c r="BF28" i="65"/>
  <c r="BG22" i="64"/>
  <c r="BH22" i="64"/>
  <c r="BI22" i="64"/>
  <c r="BF22" i="64"/>
  <c r="BD23" i="64"/>
  <c r="BC24" i="64"/>
  <c r="BC27" i="63"/>
  <c r="BD26" i="63"/>
  <c r="BF25" i="63"/>
  <c r="BH25" i="63"/>
  <c r="BI25" i="63"/>
  <c r="BG25" i="63"/>
  <c r="BH16" i="61"/>
  <c r="BF16" i="61"/>
  <c r="BI16" i="61"/>
  <c r="BG16" i="61"/>
  <c r="BD17" i="61"/>
  <c r="BC18" i="61"/>
  <c r="BH17" i="60"/>
  <c r="BF17" i="60"/>
  <c r="BI17" i="60"/>
  <c r="BG17" i="60"/>
  <c r="BD18" i="60"/>
  <c r="BC19" i="60"/>
  <c r="BG15" i="58"/>
  <c r="BI15" i="58"/>
  <c r="BF15" i="58"/>
  <c r="BH15" i="58"/>
  <c r="BC17" i="58"/>
  <c r="BD16" i="58"/>
  <c r="BI12" i="57"/>
  <c r="BF12" i="57"/>
  <c r="BG12" i="57"/>
  <c r="BH12" i="57"/>
  <c r="BC14" i="57"/>
  <c r="BD13" i="57"/>
  <c r="BC53" i="85" l="1"/>
  <c r="BD52" i="85"/>
  <c r="BF50" i="84"/>
  <c r="BI50" i="84"/>
  <c r="BH50" i="84"/>
  <c r="BG50" i="84"/>
  <c r="BC52" i="84"/>
  <c r="BD51" i="84"/>
  <c r="BC49" i="83"/>
  <c r="BD48" i="83"/>
  <c r="BC43" i="81"/>
  <c r="BD42" i="81"/>
  <c r="BI41" i="81"/>
  <c r="BH41" i="81"/>
  <c r="BF41" i="81"/>
  <c r="BG41" i="81"/>
  <c r="BD41" i="80"/>
  <c r="BC42" i="80"/>
  <c r="BI40" i="80"/>
  <c r="BH40" i="80"/>
  <c r="BG40" i="80"/>
  <c r="BF40" i="80"/>
  <c r="BH39" i="78"/>
  <c r="BG39" i="78"/>
  <c r="BI39" i="78"/>
  <c r="BF39" i="78"/>
  <c r="BD40" i="78"/>
  <c r="BC41" i="78"/>
  <c r="BH39" i="79"/>
  <c r="BG39" i="79"/>
  <c r="BF39" i="79"/>
  <c r="BI39" i="79"/>
  <c r="BD40" i="79"/>
  <c r="BC41" i="79"/>
  <c r="BG36" i="76"/>
  <c r="BF36" i="76"/>
  <c r="BI36" i="76"/>
  <c r="BH36" i="76"/>
  <c r="BC38" i="76"/>
  <c r="BD37" i="76"/>
  <c r="BD36" i="75"/>
  <c r="BC37" i="75"/>
  <c r="BI35" i="75"/>
  <c r="BH35" i="75"/>
  <c r="BG35" i="75"/>
  <c r="BF35" i="75"/>
  <c r="BF33" i="74"/>
  <c r="BH33" i="74"/>
  <c r="BI33" i="74"/>
  <c r="BG33" i="74"/>
  <c r="BC35" i="74"/>
  <c r="BD34" i="74"/>
  <c r="BG31" i="73"/>
  <c r="BF31" i="73"/>
  <c r="BI31" i="73"/>
  <c r="BH31" i="73"/>
  <c r="BD32" i="73"/>
  <c r="BC33" i="73"/>
  <c r="BH29" i="71"/>
  <c r="BG29" i="71"/>
  <c r="BF29" i="71"/>
  <c r="BI29" i="71"/>
  <c r="BD30" i="71"/>
  <c r="BC31" i="71"/>
  <c r="BG27" i="70"/>
  <c r="BH27" i="70"/>
  <c r="BI27" i="70"/>
  <c r="BF27" i="70"/>
  <c r="BD28" i="70"/>
  <c r="BC29" i="70"/>
  <c r="BC28" i="69"/>
  <c r="BD27" i="69"/>
  <c r="BI26" i="69"/>
  <c r="BF26" i="69"/>
  <c r="BH26" i="69"/>
  <c r="BG26" i="69"/>
  <c r="BD26" i="68"/>
  <c r="BC27" i="68"/>
  <c r="BI25" i="68"/>
  <c r="BG25" i="68"/>
  <c r="BH25" i="68"/>
  <c r="BF25" i="68"/>
  <c r="BC29" i="66"/>
  <c r="BD28" i="66"/>
  <c r="BF27" i="66"/>
  <c r="BH27" i="66"/>
  <c r="BI27" i="66"/>
  <c r="BG27" i="66"/>
  <c r="BF29" i="65"/>
  <c r="BG29" i="65"/>
  <c r="BI29" i="65"/>
  <c r="BH29" i="65"/>
  <c r="BC31" i="65"/>
  <c r="BD30" i="65"/>
  <c r="BD24" i="64"/>
  <c r="BC25" i="64"/>
  <c r="BH23" i="64"/>
  <c r="BI23" i="64"/>
  <c r="BF23" i="64"/>
  <c r="BG23" i="64"/>
  <c r="BD27" i="63"/>
  <c r="BC28" i="63"/>
  <c r="BG26" i="63"/>
  <c r="BI26" i="63"/>
  <c r="BF26" i="63"/>
  <c r="BH26" i="63"/>
  <c r="BI17" i="61"/>
  <c r="BG17" i="61"/>
  <c r="BH17" i="61"/>
  <c r="BF17" i="61"/>
  <c r="BD18" i="61"/>
  <c r="BC19" i="61"/>
  <c r="BI18" i="60"/>
  <c r="BH18" i="60"/>
  <c r="BF18" i="60"/>
  <c r="BG18" i="60"/>
  <c r="BD19" i="60"/>
  <c r="BC20" i="60"/>
  <c r="BH16" i="58"/>
  <c r="BG16" i="58"/>
  <c r="BI16" i="58"/>
  <c r="BF16" i="58"/>
  <c r="BD17" i="58"/>
  <c r="BC18" i="58"/>
  <c r="BD14" i="57"/>
  <c r="BC15" i="57"/>
  <c r="BI13" i="57"/>
  <c r="BH13" i="57"/>
  <c r="BG13" i="57"/>
  <c r="BF13" i="57"/>
  <c r="BI51" i="85" l="1"/>
  <c r="BG51" i="85"/>
  <c r="BH51" i="85"/>
  <c r="BF51" i="85"/>
  <c r="BC54" i="85"/>
  <c r="BD53" i="85"/>
  <c r="BC53" i="84"/>
  <c r="BD52" i="84"/>
  <c r="BI48" i="83"/>
  <c r="BH48" i="83"/>
  <c r="BF48" i="83"/>
  <c r="BG48" i="83"/>
  <c r="BD49" i="83"/>
  <c r="BC50" i="83"/>
  <c r="BI42" i="81"/>
  <c r="BF42" i="81"/>
  <c r="BH42" i="81"/>
  <c r="BG42" i="81"/>
  <c r="BC44" i="81"/>
  <c r="BD43" i="81"/>
  <c r="BC43" i="80"/>
  <c r="BD42" i="80"/>
  <c r="BF41" i="80"/>
  <c r="BI41" i="80"/>
  <c r="BH41" i="80"/>
  <c r="BG41" i="80"/>
  <c r="BD41" i="78"/>
  <c r="BC42" i="78"/>
  <c r="BI40" i="78"/>
  <c r="BH40" i="78"/>
  <c r="BG40" i="78"/>
  <c r="BF40" i="78"/>
  <c r="BD41" i="79"/>
  <c r="BC42" i="79"/>
  <c r="BI40" i="79"/>
  <c r="BH40" i="79"/>
  <c r="BG40" i="79"/>
  <c r="BF40" i="79"/>
  <c r="BH37" i="76"/>
  <c r="BG37" i="76"/>
  <c r="BI37" i="76"/>
  <c r="BF37" i="76"/>
  <c r="BD38" i="76"/>
  <c r="BC39" i="76"/>
  <c r="BC38" i="75"/>
  <c r="BD37" i="75"/>
  <c r="BF36" i="75"/>
  <c r="BI36" i="75"/>
  <c r="BG36" i="75"/>
  <c r="BH36" i="75"/>
  <c r="BG34" i="74"/>
  <c r="BI34" i="74"/>
  <c r="BF34" i="74"/>
  <c r="BH34" i="74"/>
  <c r="BC36" i="74"/>
  <c r="BD35" i="74"/>
  <c r="BC34" i="73"/>
  <c r="BD33" i="73"/>
  <c r="BI32" i="73"/>
  <c r="BF32" i="73"/>
  <c r="BG32" i="73"/>
  <c r="BH32" i="73"/>
  <c r="BC32" i="71"/>
  <c r="BD31" i="71"/>
  <c r="BI30" i="71"/>
  <c r="BH30" i="71"/>
  <c r="BG30" i="71"/>
  <c r="BF30" i="71"/>
  <c r="BD29" i="70"/>
  <c r="BC30" i="70"/>
  <c r="BH28" i="70"/>
  <c r="BF28" i="70"/>
  <c r="BI28" i="70"/>
  <c r="BG28" i="70"/>
  <c r="BF27" i="69"/>
  <c r="BG27" i="69"/>
  <c r="BI27" i="69"/>
  <c r="BH27" i="69"/>
  <c r="BC29" i="69"/>
  <c r="BD28" i="69"/>
  <c r="BD27" i="68"/>
  <c r="BC28" i="68"/>
  <c r="BF26" i="68"/>
  <c r="BH26" i="68"/>
  <c r="BI26" i="68"/>
  <c r="BG26" i="68"/>
  <c r="BG28" i="66"/>
  <c r="BI28" i="66"/>
  <c r="BF28" i="66"/>
  <c r="BH28" i="66"/>
  <c r="BD29" i="66"/>
  <c r="BC30" i="66"/>
  <c r="BG30" i="65"/>
  <c r="BI30" i="65"/>
  <c r="BF30" i="65"/>
  <c r="BH30" i="65"/>
  <c r="BD31" i="65"/>
  <c r="BC32" i="65"/>
  <c r="BC26" i="64"/>
  <c r="BD25" i="64"/>
  <c r="BI24" i="64"/>
  <c r="BF24" i="64"/>
  <c r="BG24" i="64"/>
  <c r="BH24" i="64"/>
  <c r="BH27" i="63"/>
  <c r="BF27" i="63"/>
  <c r="BI27" i="63"/>
  <c r="BG27" i="63"/>
  <c r="BD28" i="63"/>
  <c r="BC29" i="63"/>
  <c r="BF18" i="61"/>
  <c r="BH18" i="61"/>
  <c r="BI18" i="61"/>
  <c r="BG18" i="61"/>
  <c r="BC20" i="61"/>
  <c r="BD19" i="61"/>
  <c r="BF19" i="60"/>
  <c r="BH19" i="60"/>
  <c r="BI19" i="60"/>
  <c r="BG19" i="60"/>
  <c r="BC21" i="60"/>
  <c r="BD20" i="60"/>
  <c r="BD18" i="58"/>
  <c r="BC19" i="58"/>
  <c r="BI17" i="58"/>
  <c r="BH17" i="58"/>
  <c r="BF17" i="58"/>
  <c r="BG17" i="58"/>
  <c r="BH14" i="57"/>
  <c r="BF14" i="57"/>
  <c r="BG14" i="57"/>
  <c r="BI14" i="57"/>
  <c r="BD15" i="57"/>
  <c r="BC16" i="57"/>
  <c r="BH52" i="85" l="1"/>
  <c r="BF52" i="85"/>
  <c r="BG52" i="85"/>
  <c r="BI52" i="85"/>
  <c r="BC55" i="85"/>
  <c r="BD54" i="85"/>
  <c r="BI51" i="84"/>
  <c r="BH51" i="84"/>
  <c r="BG51" i="84"/>
  <c r="BF51" i="84"/>
  <c r="BC54" i="84"/>
  <c r="BD53" i="84"/>
  <c r="BH49" i="83"/>
  <c r="BI49" i="83"/>
  <c r="BF49" i="83"/>
  <c r="BG49" i="83"/>
  <c r="BC51" i="83"/>
  <c r="BD50" i="83"/>
  <c r="BF43" i="81"/>
  <c r="BH43" i="81"/>
  <c r="BI43" i="81"/>
  <c r="BG43" i="81"/>
  <c r="BC45" i="81"/>
  <c r="BD44" i="81"/>
  <c r="BG42" i="80"/>
  <c r="BF42" i="80"/>
  <c r="BI42" i="80"/>
  <c r="BH42" i="80"/>
  <c r="BC44" i="80"/>
  <c r="BD43" i="80"/>
  <c r="BC43" i="78"/>
  <c r="BD42" i="78"/>
  <c r="BF41" i="78"/>
  <c r="BI41" i="78"/>
  <c r="BH41" i="78"/>
  <c r="BG41" i="78"/>
  <c r="BC43" i="79"/>
  <c r="BD42" i="79"/>
  <c r="BF41" i="79"/>
  <c r="BI41" i="79"/>
  <c r="BH41" i="79"/>
  <c r="BG41" i="79"/>
  <c r="BD39" i="76"/>
  <c r="BC40" i="76"/>
  <c r="BI38" i="76"/>
  <c r="BH38" i="76"/>
  <c r="BF38" i="76"/>
  <c r="BG38" i="76"/>
  <c r="BG37" i="75"/>
  <c r="BF37" i="75"/>
  <c r="BI37" i="75"/>
  <c r="BH37" i="75"/>
  <c r="BC39" i="75"/>
  <c r="BD38" i="75"/>
  <c r="BH35" i="74"/>
  <c r="BF35" i="74"/>
  <c r="BI35" i="74"/>
  <c r="BG35" i="74"/>
  <c r="BD36" i="74"/>
  <c r="BC37" i="74"/>
  <c r="BF33" i="73"/>
  <c r="BH33" i="73"/>
  <c r="BG33" i="73"/>
  <c r="BI33" i="73"/>
  <c r="BC35" i="73"/>
  <c r="BD34" i="73"/>
  <c r="BF31" i="71"/>
  <c r="BI31" i="71"/>
  <c r="BH31" i="71"/>
  <c r="BG31" i="71"/>
  <c r="BD32" i="71"/>
  <c r="BC33" i="71"/>
  <c r="BD30" i="70"/>
  <c r="BC31" i="70"/>
  <c r="BI29" i="70"/>
  <c r="BG29" i="70"/>
  <c r="BH29" i="70"/>
  <c r="BF29" i="70"/>
  <c r="BG28" i="69"/>
  <c r="BH28" i="69"/>
  <c r="BI28" i="69"/>
  <c r="BF28" i="69"/>
  <c r="BD29" i="69"/>
  <c r="BC30" i="69"/>
  <c r="BD28" i="68"/>
  <c r="BC29" i="68"/>
  <c r="BG27" i="68"/>
  <c r="BI27" i="68"/>
  <c r="BH27" i="68"/>
  <c r="BF27" i="68"/>
  <c r="BD30" i="66"/>
  <c r="BC31" i="66"/>
  <c r="BH29" i="66"/>
  <c r="BF29" i="66"/>
  <c r="BI29" i="66"/>
  <c r="BG29" i="66"/>
  <c r="BD32" i="65"/>
  <c r="BC33" i="65"/>
  <c r="BH31" i="65"/>
  <c r="BF31" i="65"/>
  <c r="BI31" i="65"/>
  <c r="BG31" i="65"/>
  <c r="BF25" i="64"/>
  <c r="BH25" i="64"/>
  <c r="BI25" i="64"/>
  <c r="BG25" i="64"/>
  <c r="BC27" i="64"/>
  <c r="BD26" i="64"/>
  <c r="BI28" i="63"/>
  <c r="BG28" i="63"/>
  <c r="BF28" i="63"/>
  <c r="BH28" i="63"/>
  <c r="BD29" i="63"/>
  <c r="BC30" i="63"/>
  <c r="BD20" i="61"/>
  <c r="BC21" i="61"/>
  <c r="BG19" i="61"/>
  <c r="BI19" i="61"/>
  <c r="BH19" i="61"/>
  <c r="BF19" i="61"/>
  <c r="BC22" i="60"/>
  <c r="BD21" i="60"/>
  <c r="BG20" i="60"/>
  <c r="BH20" i="60"/>
  <c r="BI20" i="60"/>
  <c r="BF20" i="60"/>
  <c r="BC20" i="58"/>
  <c r="BD19" i="58"/>
  <c r="BF18" i="58"/>
  <c r="BI18" i="58"/>
  <c r="BG18" i="58"/>
  <c r="BH18" i="58"/>
  <c r="BD16" i="57"/>
  <c r="BC17" i="57"/>
  <c r="BI15" i="57"/>
  <c r="BH15" i="57"/>
  <c r="BG15" i="57"/>
  <c r="BF15" i="57"/>
  <c r="AJ61" i="61"/>
  <c r="G39" i="58"/>
  <c r="G10" i="57"/>
  <c r="E41" i="66"/>
  <c r="G61" i="60"/>
  <c r="AJ62" i="60"/>
  <c r="G7" i="63"/>
  <c r="AJ48" i="65"/>
  <c r="AK19" i="66"/>
  <c r="AK52" i="66"/>
  <c r="AJ19" i="60"/>
  <c r="G43" i="64"/>
  <c r="G33" i="57"/>
  <c r="AJ50" i="60"/>
  <c r="AK34" i="66"/>
  <c r="AJ64" i="58"/>
  <c r="AJ33" i="60"/>
  <c r="AJ53" i="63"/>
  <c r="AJ52" i="57"/>
  <c r="AJ40" i="63"/>
  <c r="AJ54" i="64"/>
  <c r="AJ67" i="57"/>
  <c r="G25" i="63"/>
  <c r="AL31" i="66"/>
  <c r="G23" i="57"/>
  <c r="AJ51" i="57"/>
  <c r="AJ33" i="61"/>
  <c r="G42" i="61"/>
  <c r="AL16" i="66"/>
  <c r="G33" i="63"/>
  <c r="AJ11" i="64"/>
  <c r="AJ26" i="63"/>
  <c r="G26" i="65"/>
  <c r="AK25" i="66"/>
  <c r="AJ27" i="58"/>
  <c r="AJ13" i="58"/>
  <c r="AJ28" i="60"/>
  <c r="G41" i="64"/>
  <c r="AJ12" i="57"/>
  <c r="AJ9" i="61"/>
  <c r="AK35" i="66"/>
  <c r="G30" i="58"/>
  <c r="G19" i="65"/>
  <c r="AJ10" i="64"/>
  <c r="E33" i="66"/>
  <c r="AJ24" i="58"/>
  <c r="AJ65" i="65"/>
  <c r="AJ42" i="61"/>
  <c r="G19" i="61"/>
  <c r="AJ48" i="63"/>
  <c r="AJ21" i="64"/>
  <c r="G30" i="61"/>
  <c r="AJ36" i="61"/>
  <c r="G49" i="63"/>
  <c r="AJ28" i="57"/>
  <c r="E6" i="63"/>
  <c r="AJ17" i="61"/>
  <c r="G50" i="57"/>
  <c r="AJ9" i="58"/>
  <c r="G15" i="61"/>
  <c r="AJ54" i="65"/>
  <c r="AJ49" i="57"/>
  <c r="AJ31" i="58"/>
  <c r="G54" i="57"/>
  <c r="AJ60" i="60"/>
  <c r="G17" i="58"/>
  <c r="G61" i="58"/>
  <c r="AJ61" i="57"/>
  <c r="AJ11" i="60"/>
  <c r="AJ27" i="63"/>
  <c r="AJ47" i="57"/>
  <c r="AJ49" i="58"/>
  <c r="AJ57" i="64"/>
  <c r="G24" i="60"/>
  <c r="G22" i="63"/>
  <c r="G18" i="64"/>
  <c r="AJ61" i="60"/>
  <c r="AJ45" i="64"/>
  <c r="AJ13" i="63"/>
  <c r="AJ58" i="58"/>
  <c r="AJ67" i="63"/>
  <c r="AL35" i="66"/>
  <c r="AK32" i="66"/>
  <c r="AL13" i="66"/>
  <c r="AK20" i="66"/>
  <c r="AJ38" i="60"/>
  <c r="AJ41" i="63"/>
  <c r="G11" i="65"/>
  <c r="AK53" i="66"/>
  <c r="AL14" i="66"/>
  <c r="G29" i="58"/>
  <c r="AJ31" i="64"/>
  <c r="AJ45" i="65"/>
  <c r="AJ29" i="64"/>
  <c r="G39" i="65"/>
  <c r="AJ24" i="57"/>
  <c r="AJ44" i="61"/>
  <c r="AK24" i="66"/>
  <c r="AL12" i="66"/>
  <c r="AJ67" i="58"/>
  <c r="G32" i="63"/>
  <c r="AJ56" i="65"/>
  <c r="AJ8" i="57"/>
  <c r="G20" i="64"/>
  <c r="G16" i="64"/>
  <c r="AJ60" i="64"/>
  <c r="AJ53" i="64"/>
  <c r="AJ19" i="64"/>
  <c r="AJ54" i="60"/>
  <c r="AL38" i="66"/>
  <c r="G49" i="60"/>
  <c r="G21" i="61"/>
  <c r="E38" i="66"/>
  <c r="AL11" i="66"/>
  <c r="AJ25" i="63"/>
  <c r="AJ17" i="58"/>
  <c r="AJ27" i="61"/>
  <c r="G38" i="64"/>
  <c r="G9" i="61"/>
  <c r="AK17" i="65"/>
  <c r="AJ63" i="58"/>
  <c r="AK12" i="66"/>
  <c r="G19" i="58"/>
  <c r="AK42" i="66"/>
  <c r="G14" i="61"/>
  <c r="AL28" i="66"/>
  <c r="AJ16" i="61"/>
  <c r="AL18" i="66"/>
  <c r="G13" i="64"/>
  <c r="G50" i="65"/>
  <c r="G51" i="64"/>
  <c r="G44" i="60"/>
  <c r="AK31" i="66"/>
  <c r="AK10" i="66"/>
  <c r="G14" i="63"/>
  <c r="AJ56" i="57"/>
  <c r="AJ8" i="64"/>
  <c r="AJ37" i="64"/>
  <c r="AJ14" i="60"/>
  <c r="AJ40" i="65"/>
  <c r="E20" i="66"/>
  <c r="AJ67" i="65"/>
  <c r="AJ18" i="60"/>
  <c r="AJ36" i="58"/>
  <c r="G54" i="64"/>
  <c r="G51" i="60"/>
  <c r="G43" i="65"/>
  <c r="AJ22" i="63"/>
  <c r="AJ48" i="61"/>
  <c r="AJ39" i="57"/>
  <c r="G32" i="60"/>
  <c r="AJ54" i="61"/>
  <c r="AJ60" i="57"/>
  <c r="G37" i="60"/>
  <c r="AJ7" i="63"/>
  <c r="G54" i="58"/>
  <c r="G11" i="61"/>
  <c r="G22" i="61"/>
  <c r="AJ36" i="60"/>
  <c r="AJ30" i="63"/>
  <c r="G47" i="61"/>
  <c r="AJ28" i="63"/>
  <c r="G39" i="63"/>
  <c r="AJ43" i="63"/>
  <c r="G21" i="57"/>
  <c r="E6" i="60"/>
  <c r="G11" i="64"/>
  <c r="G9" i="60"/>
  <c r="G21" i="60"/>
  <c r="E43" i="66"/>
  <c r="G15" i="60"/>
  <c r="AJ61" i="65"/>
  <c r="E30" i="66"/>
  <c r="AJ58" i="64"/>
  <c r="AJ54" i="58"/>
  <c r="AJ17" i="63"/>
  <c r="AJ47" i="58"/>
  <c r="AL41" i="66"/>
  <c r="AK14" i="66"/>
  <c r="AK38" i="66"/>
  <c r="AJ18" i="58"/>
  <c r="AJ32" i="60"/>
  <c r="G13" i="60"/>
  <c r="AL22" i="66"/>
  <c r="AJ38" i="57"/>
  <c r="AL20" i="65"/>
  <c r="AJ12" i="63"/>
  <c r="G38" i="58"/>
  <c r="E10" i="66"/>
  <c r="G27" i="63"/>
  <c r="AJ30" i="58"/>
  <c r="G37" i="63"/>
  <c r="AL10" i="66"/>
  <c r="G48" i="65"/>
  <c r="AJ33" i="65"/>
  <c r="E48" i="66"/>
  <c r="AJ21" i="57"/>
  <c r="G41" i="57"/>
  <c r="AJ55" i="61"/>
  <c r="G33" i="58"/>
  <c r="AJ37" i="65"/>
  <c r="AJ43" i="57"/>
  <c r="AJ11" i="57"/>
  <c r="AJ10" i="61"/>
  <c r="AK30" i="66"/>
  <c r="G29" i="60"/>
  <c r="AJ11" i="63"/>
  <c r="AJ57" i="58"/>
  <c r="G35" i="61"/>
  <c r="AL30" i="66"/>
  <c r="AJ59" i="58"/>
  <c r="AK26" i="66"/>
  <c r="G39" i="60"/>
  <c r="G52" i="65"/>
  <c r="G36" i="57"/>
  <c r="AJ11" i="61"/>
  <c r="G51" i="65"/>
  <c r="AJ30" i="61"/>
  <c r="AJ59" i="64"/>
  <c r="G51" i="61"/>
  <c r="G50" i="61"/>
  <c r="AJ8" i="58"/>
  <c r="G48" i="61"/>
  <c r="G51" i="63"/>
  <c r="AJ34" i="57"/>
  <c r="AJ7" i="57"/>
  <c r="G52" i="58"/>
  <c r="G25" i="61"/>
  <c r="G24" i="64"/>
  <c r="G8" i="58"/>
  <c r="AL15" i="66"/>
  <c r="G24" i="57"/>
  <c r="G27" i="64"/>
  <c r="G31" i="60"/>
  <c r="G33" i="64"/>
  <c r="AJ48" i="58"/>
  <c r="AJ59" i="57"/>
  <c r="G27" i="65"/>
  <c r="E14" i="66"/>
  <c r="AJ19" i="65"/>
  <c r="G28" i="64"/>
  <c r="G20" i="58"/>
  <c r="G44" i="65"/>
  <c r="AJ17" i="60"/>
  <c r="AJ34" i="60"/>
  <c r="G14" i="60"/>
  <c r="G23" i="61"/>
  <c r="E45" i="66"/>
  <c r="G18" i="63"/>
  <c r="G61" i="65"/>
  <c r="G31" i="57"/>
  <c r="G16" i="63"/>
  <c r="G40" i="65"/>
  <c r="AJ40" i="58"/>
  <c r="AJ10" i="63"/>
  <c r="G52" i="61"/>
  <c r="AL26" i="66"/>
  <c r="AK21" i="66"/>
  <c r="AJ40" i="60"/>
  <c r="G37" i="65"/>
  <c r="G12" i="61"/>
  <c r="AJ18" i="57"/>
  <c r="G43" i="63"/>
  <c r="G46" i="61"/>
  <c r="G26" i="63"/>
  <c r="AJ41" i="64"/>
  <c r="AJ43" i="60"/>
  <c r="AL34" i="66"/>
  <c r="G31" i="63"/>
  <c r="AJ42" i="63"/>
  <c r="AJ47" i="65"/>
  <c r="AL47" i="66"/>
  <c r="AJ22" i="57"/>
  <c r="AJ46" i="64"/>
  <c r="AJ14" i="65"/>
  <c r="AJ9" i="60"/>
  <c r="E37" i="66"/>
  <c r="E6" i="57"/>
  <c r="E6" i="58"/>
  <c r="G52" i="57"/>
  <c r="AK13" i="66"/>
  <c r="G12" i="63"/>
  <c r="AJ66" i="64"/>
  <c r="AJ10" i="60"/>
  <c r="G10" i="60"/>
  <c r="AL20" i="66"/>
  <c r="E19" i="66"/>
  <c r="AJ13" i="57"/>
  <c r="AJ35" i="63"/>
  <c r="G41" i="61"/>
  <c r="AK37" i="66"/>
  <c r="AJ41" i="61"/>
  <c r="AJ9" i="64"/>
  <c r="E40" i="66"/>
  <c r="G23" i="64"/>
  <c r="AJ33" i="64"/>
  <c r="AJ62" i="64"/>
  <c r="AK44" i="66"/>
  <c r="G13" i="61"/>
  <c r="AJ14" i="63"/>
  <c r="AJ58" i="63"/>
  <c r="G62" i="64"/>
  <c r="E47" i="66"/>
  <c r="G47" i="63"/>
  <c r="AJ64" i="63"/>
  <c r="AJ27" i="65"/>
  <c r="AJ28" i="65"/>
  <c r="G10" i="58"/>
  <c r="G46" i="63"/>
  <c r="AK41" i="66"/>
  <c r="G9" i="57"/>
  <c r="AJ46" i="63"/>
  <c r="G36" i="64"/>
  <c r="AJ66" i="60"/>
  <c r="AJ55" i="64"/>
  <c r="G12" i="58"/>
  <c r="G62" i="58"/>
  <c r="G44" i="64"/>
  <c r="G38" i="60"/>
  <c r="AJ8" i="65"/>
  <c r="AJ36" i="63"/>
  <c r="G45" i="58"/>
  <c r="AJ29" i="58"/>
  <c r="AK39" i="66"/>
  <c r="G24" i="61"/>
  <c r="G61" i="63"/>
  <c r="AJ46" i="60"/>
  <c r="AJ10" i="65"/>
  <c r="G55" i="64"/>
  <c r="AJ21" i="63"/>
  <c r="AJ28" i="64"/>
  <c r="G24" i="65"/>
  <c r="AL32" i="66"/>
  <c r="G61" i="64"/>
  <c r="AJ31" i="61"/>
  <c r="G48" i="64"/>
  <c r="AJ43" i="58"/>
  <c r="AJ66" i="57"/>
  <c r="G45" i="63"/>
  <c r="AJ64" i="60"/>
  <c r="G10" i="65"/>
  <c r="G18" i="58"/>
  <c r="G9" i="58"/>
  <c r="AJ45" i="57"/>
  <c r="AJ63" i="57"/>
  <c r="G53" i="57"/>
  <c r="AJ32" i="57"/>
  <c r="G17" i="60"/>
  <c r="G17" i="57"/>
  <c r="G53" i="64"/>
  <c r="AJ67" i="61"/>
  <c r="AJ37" i="58"/>
  <c r="AJ59" i="60"/>
  <c r="G25" i="57"/>
  <c r="AJ38" i="63"/>
  <c r="E31" i="66"/>
  <c r="G26" i="58"/>
  <c r="AL39" i="66"/>
  <c r="AJ47" i="64"/>
  <c r="AJ56" i="58"/>
  <c r="AJ44" i="64"/>
  <c r="G39" i="57"/>
  <c r="G33" i="60"/>
  <c r="G19" i="57"/>
  <c r="AJ37" i="57"/>
  <c r="AJ22" i="58"/>
  <c r="G46" i="64"/>
  <c r="AJ50" i="65"/>
  <c r="AJ50" i="58"/>
  <c r="E46" i="66"/>
  <c r="G14" i="57"/>
  <c r="G12" i="60"/>
  <c r="E23" i="66"/>
  <c r="E44" i="66"/>
  <c r="AK27" i="66"/>
  <c r="G35" i="58"/>
  <c r="AJ26" i="57"/>
  <c r="AJ34" i="61"/>
  <c r="AJ59" i="65"/>
  <c r="AJ17" i="57"/>
  <c r="AJ51" i="63"/>
  <c r="AJ11" i="58"/>
  <c r="G31" i="64"/>
  <c r="G34" i="60"/>
  <c r="G29" i="61"/>
  <c r="AK61" i="66"/>
  <c r="AK17" i="66"/>
  <c r="AJ32" i="63"/>
  <c r="G47" i="65"/>
  <c r="G43" i="57"/>
  <c r="AL45" i="58"/>
  <c r="AJ12" i="60"/>
  <c r="G8" i="64"/>
  <c r="G56" i="60"/>
  <c r="AJ48" i="64"/>
  <c r="G39" i="61"/>
  <c r="AJ22" i="61"/>
  <c r="AK41" i="65"/>
  <c r="G46" i="58"/>
  <c r="AK49" i="66"/>
  <c r="G7" i="58"/>
  <c r="AJ23" i="61"/>
  <c r="G41" i="58"/>
  <c r="G34" i="57"/>
  <c r="G54" i="61"/>
  <c r="AJ33" i="58"/>
  <c r="G18" i="65"/>
  <c r="E36" i="66"/>
  <c r="G8" i="63"/>
  <c r="AJ29" i="57"/>
  <c r="AJ66" i="61"/>
  <c r="AL17" i="66"/>
  <c r="AJ46" i="61"/>
  <c r="AJ26" i="58"/>
  <c r="AJ32" i="61"/>
  <c r="AL46" i="66"/>
  <c r="AK29" i="66"/>
  <c r="AK43" i="66"/>
  <c r="G21" i="63"/>
  <c r="G29" i="57"/>
  <c r="G20" i="57"/>
  <c r="AJ53" i="58"/>
  <c r="AJ56" i="60"/>
  <c r="G53" i="60"/>
  <c r="AJ61" i="64"/>
  <c r="AJ47" i="61"/>
  <c r="G17" i="64"/>
  <c r="AJ54" i="57"/>
  <c r="AL7" i="66"/>
  <c r="G45" i="64"/>
  <c r="AK7" i="66"/>
  <c r="AJ43" i="61"/>
  <c r="AJ56" i="61"/>
  <c r="AJ48" i="60"/>
  <c r="G14" i="58"/>
  <c r="AJ32" i="58"/>
  <c r="AJ67" i="64"/>
  <c r="G13" i="65"/>
  <c r="G53" i="61"/>
  <c r="G44" i="63"/>
  <c r="AJ24" i="61"/>
  <c r="G49" i="65"/>
  <c r="G15" i="57"/>
  <c r="G30" i="65"/>
  <c r="AK24" i="65"/>
  <c r="AJ59" i="61"/>
  <c r="G22" i="60"/>
  <c r="AJ52" i="61"/>
  <c r="AK45" i="66"/>
  <c r="AJ49" i="64"/>
  <c r="G62" i="65"/>
  <c r="G50" i="63"/>
  <c r="AK22" i="65"/>
  <c r="G30" i="64"/>
  <c r="AJ40" i="57"/>
  <c r="AL49" i="66"/>
  <c r="AJ13" i="64"/>
  <c r="E52" i="66"/>
  <c r="G25" i="65"/>
  <c r="AJ36" i="65"/>
  <c r="AJ53" i="60"/>
  <c r="G35" i="63"/>
  <c r="AJ20" i="64"/>
  <c r="AL43" i="66"/>
  <c r="AJ35" i="60"/>
  <c r="AJ63" i="65"/>
  <c r="AL53" i="66"/>
  <c r="AJ66" i="65"/>
  <c r="G48" i="57"/>
  <c r="AJ57" i="63"/>
  <c r="AJ43" i="64"/>
  <c r="AJ60" i="61"/>
  <c r="G31" i="58"/>
  <c r="G45" i="65"/>
  <c r="G54" i="60"/>
  <c r="AJ21" i="58"/>
  <c r="AL61" i="66"/>
  <c r="E35" i="66"/>
  <c r="AJ62" i="65"/>
  <c r="G49" i="58"/>
  <c r="G42" i="63"/>
  <c r="G35" i="65"/>
  <c r="G19" i="63"/>
  <c r="AK48" i="66"/>
  <c r="E27" i="66"/>
  <c r="G20" i="61"/>
  <c r="G22" i="57"/>
  <c r="AJ52" i="58"/>
  <c r="AJ57" i="57"/>
  <c r="AJ33" i="57"/>
  <c r="G13" i="57"/>
  <c r="G29" i="65"/>
  <c r="AJ32" i="65"/>
  <c r="AJ30" i="64"/>
  <c r="AJ10" i="58"/>
  <c r="G10" i="63"/>
  <c r="G46" i="57"/>
  <c r="AJ39" i="61"/>
  <c r="AJ58" i="60"/>
  <c r="AL52" i="66"/>
  <c r="AJ22" i="60"/>
  <c r="E16" i="66"/>
  <c r="E15" i="66"/>
  <c r="G7" i="65"/>
  <c r="AJ12" i="64"/>
  <c r="G51" i="57"/>
  <c r="AJ46" i="58"/>
  <c r="AJ27" i="57"/>
  <c r="E39" i="66"/>
  <c r="AK47" i="66"/>
  <c r="AJ18" i="61"/>
  <c r="G27" i="58"/>
  <c r="E6" i="64"/>
  <c r="AJ65" i="57"/>
  <c r="AJ16" i="65"/>
  <c r="AJ8" i="60"/>
  <c r="AJ35" i="65"/>
  <c r="AJ41" i="57"/>
  <c r="AJ29" i="65"/>
  <c r="AL44" i="66"/>
  <c r="AJ15" i="58"/>
  <c r="E6" i="61"/>
  <c r="AJ36" i="57"/>
  <c r="G17" i="61"/>
  <c r="G13" i="63"/>
  <c r="G34" i="61"/>
  <c r="AJ65" i="60"/>
  <c r="AJ53" i="61"/>
  <c r="G62" i="61"/>
  <c r="G40" i="57"/>
  <c r="AJ18" i="64"/>
  <c r="E17" i="66"/>
  <c r="AJ28" i="58"/>
  <c r="AJ20" i="58"/>
  <c r="G53" i="63"/>
  <c r="AK15" i="66"/>
  <c r="G56" i="57"/>
  <c r="G9" i="65"/>
  <c r="AJ47" i="63"/>
  <c r="AJ19" i="63"/>
  <c r="AJ52" i="60"/>
  <c r="G16" i="65"/>
  <c r="G15" i="63"/>
  <c r="G57" i="57"/>
  <c r="G55" i="57"/>
  <c r="AL45" i="66"/>
  <c r="AK20" i="65"/>
  <c r="G61" i="61"/>
  <c r="AK18" i="66"/>
  <c r="G46" i="60"/>
  <c r="AK8" i="66"/>
  <c r="AJ20" i="63"/>
  <c r="AJ9" i="57"/>
  <c r="G30" i="57"/>
  <c r="AJ51" i="64"/>
  <c r="G12" i="64"/>
  <c r="G53" i="65"/>
  <c r="AJ43" i="65"/>
  <c r="AJ29" i="61"/>
  <c r="AJ23" i="57"/>
  <c r="E13" i="66"/>
  <c r="AJ38" i="61"/>
  <c r="AJ34" i="58"/>
  <c r="G40" i="64"/>
  <c r="AJ18" i="63"/>
  <c r="AJ40" i="64"/>
  <c r="G39" i="64"/>
  <c r="G7" i="60"/>
  <c r="AL25" i="66"/>
  <c r="AJ52" i="63"/>
  <c r="G31" i="65"/>
  <c r="AJ31" i="65"/>
  <c r="AJ24" i="64"/>
  <c r="G21" i="58"/>
  <c r="AJ23" i="63"/>
  <c r="AJ63" i="60"/>
  <c r="AK16" i="66"/>
  <c r="AJ42" i="64"/>
  <c r="G22" i="58"/>
  <c r="G45" i="57"/>
  <c r="AJ7" i="60"/>
  <c r="G53" i="58"/>
  <c r="AJ66" i="58"/>
  <c r="G20" i="65"/>
  <c r="G38" i="63"/>
  <c r="AJ38" i="58"/>
  <c r="G45" i="61"/>
  <c r="G38" i="57"/>
  <c r="AL23" i="66"/>
  <c r="G23" i="58"/>
  <c r="G25" i="60"/>
  <c r="G23" i="63"/>
  <c r="AJ20" i="60"/>
  <c r="G55" i="61"/>
  <c r="AJ51" i="61"/>
  <c r="AJ60" i="58"/>
  <c r="AJ39" i="64"/>
  <c r="G44" i="61"/>
  <c r="G50" i="58"/>
  <c r="G16" i="61"/>
  <c r="AJ65" i="64"/>
  <c r="G62" i="63"/>
  <c r="G20" i="60"/>
  <c r="AJ35" i="61"/>
  <c r="G12" i="65"/>
  <c r="AJ25" i="60"/>
  <c r="AJ9" i="65"/>
  <c r="G28" i="57"/>
  <c r="AJ24" i="63"/>
  <c r="G26" i="60"/>
  <c r="AJ48" i="57"/>
  <c r="AJ23" i="60"/>
  <c r="E42" i="66"/>
  <c r="AJ42" i="65"/>
  <c r="G42" i="58"/>
  <c r="AK36" i="66"/>
  <c r="AJ53" i="57"/>
  <c r="AJ63" i="61"/>
  <c r="G52" i="60"/>
  <c r="AJ27" i="64"/>
  <c r="G37" i="61"/>
  <c r="AJ63" i="63"/>
  <c r="G26" i="64"/>
  <c r="E25" i="66"/>
  <c r="G28" i="63"/>
  <c r="AJ59" i="63"/>
  <c r="AL50" i="66"/>
  <c r="E34" i="66"/>
  <c r="G50" i="60"/>
  <c r="AJ39" i="58"/>
  <c r="AJ34" i="63"/>
  <c r="AJ57" i="65"/>
  <c r="AJ37" i="61"/>
  <c r="G10" i="61"/>
  <c r="AJ14" i="61"/>
  <c r="AJ25" i="57"/>
  <c r="AJ52" i="64"/>
  <c r="G36" i="61"/>
  <c r="AL9" i="66"/>
  <c r="AJ16" i="64"/>
  <c r="AJ23" i="64"/>
  <c r="G34" i="64"/>
  <c r="AJ29" i="63"/>
  <c r="G45" i="60"/>
  <c r="G42" i="64"/>
  <c r="AJ50" i="64"/>
  <c r="G24" i="58"/>
  <c r="AJ15" i="64"/>
  <c r="AK22" i="66"/>
  <c r="G62" i="57"/>
  <c r="AJ8" i="63"/>
  <c r="AL24" i="66"/>
  <c r="AJ40" i="61"/>
  <c r="AJ55" i="65"/>
  <c r="AJ51" i="58"/>
  <c r="G37" i="58"/>
  <c r="G43" i="58"/>
  <c r="G34" i="65"/>
  <c r="AJ65" i="58"/>
  <c r="AJ45" i="61"/>
  <c r="G51" i="58"/>
  <c r="AL27" i="66"/>
  <c r="AJ7" i="64"/>
  <c r="G35" i="57"/>
  <c r="AJ42" i="58"/>
  <c r="AL21" i="66"/>
  <c r="E53" i="66"/>
  <c r="G36" i="58"/>
  <c r="AJ64" i="61"/>
  <c r="AJ26" i="64"/>
  <c r="AJ57" i="61"/>
  <c r="AJ25" i="65"/>
  <c r="AJ28" i="61"/>
  <c r="G54" i="63"/>
  <c r="AJ16" i="58"/>
  <c r="AJ62" i="61"/>
  <c r="AJ35" i="58"/>
  <c r="AJ25" i="58"/>
  <c r="AJ34" i="65"/>
  <c r="AJ61" i="63"/>
  <c r="G14" i="65"/>
  <c r="G43" i="60"/>
  <c r="G20" i="63"/>
  <c r="AJ10" i="57"/>
  <c r="G37" i="57"/>
  <c r="AJ15" i="63"/>
  <c r="AJ49" i="63"/>
  <c r="AJ42" i="57"/>
  <c r="AJ36" i="64"/>
  <c r="G41" i="60"/>
  <c r="AJ30" i="60"/>
  <c r="AL22" i="65"/>
  <c r="AJ24" i="60"/>
  <c r="AJ51" i="65"/>
  <c r="G34" i="63"/>
  <c r="G9" i="63"/>
  <c r="AJ44" i="58"/>
  <c r="G36" i="60"/>
  <c r="AJ19" i="57"/>
  <c r="AL8" i="66"/>
  <c r="G16" i="58"/>
  <c r="G52" i="63"/>
  <c r="G29" i="63"/>
  <c r="AJ50" i="63"/>
  <c r="AL24" i="65"/>
  <c r="G12" i="57"/>
  <c r="AJ16" i="60"/>
  <c r="AK28" i="66"/>
  <c r="AJ15" i="60"/>
  <c r="AJ13" i="65"/>
  <c r="AJ38" i="65"/>
  <c r="AJ37" i="60"/>
  <c r="G62" i="60"/>
  <c r="G50" i="64"/>
  <c r="AJ18" i="65"/>
  <c r="AJ23" i="58"/>
  <c r="G40" i="61"/>
  <c r="G17" i="63"/>
  <c r="AL19" i="66"/>
  <c r="G55" i="65"/>
  <c r="AJ12" i="65"/>
  <c r="AJ14" i="57"/>
  <c r="G15" i="64"/>
  <c r="G48" i="63"/>
  <c r="AJ47" i="60"/>
  <c r="G22" i="65"/>
  <c r="AJ7" i="65"/>
  <c r="AJ57" i="60"/>
  <c r="AJ23" i="65"/>
  <c r="G18" i="57"/>
  <c r="G38" i="65"/>
  <c r="G7" i="61"/>
  <c r="AJ34" i="64"/>
  <c r="G33" i="61"/>
  <c r="G56" i="58"/>
  <c r="AL37" i="66"/>
  <c r="G54" i="65"/>
  <c r="AJ58" i="57"/>
  <c r="G55" i="58"/>
  <c r="AJ9" i="63"/>
  <c r="AJ13" i="61"/>
  <c r="G33" i="65"/>
  <c r="AJ7" i="58"/>
  <c r="AJ62" i="57"/>
  <c r="AL17" i="65"/>
  <c r="G55" i="63"/>
  <c r="AJ42" i="60"/>
  <c r="AK51" i="66"/>
  <c r="AJ12" i="61"/>
  <c r="AJ14" i="64"/>
  <c r="AJ27" i="60"/>
  <c r="AJ39" i="63"/>
  <c r="AJ21" i="61"/>
  <c r="G40" i="60"/>
  <c r="G11" i="58"/>
  <c r="G47" i="60"/>
  <c r="G49" i="64"/>
  <c r="G19" i="64"/>
  <c r="AL36" i="66"/>
  <c r="AJ22" i="64"/>
  <c r="E11" i="66"/>
  <c r="AJ60" i="63"/>
  <c r="AJ16" i="57"/>
  <c r="G13" i="58"/>
  <c r="AJ20" i="57"/>
  <c r="AJ26" i="65"/>
  <c r="AJ15" i="65"/>
  <c r="AK11" i="66"/>
  <c r="AJ7" i="61"/>
  <c r="G8" i="60"/>
  <c r="G32" i="57"/>
  <c r="AJ15" i="61"/>
  <c r="G37" i="64"/>
  <c r="AJ15" i="57"/>
  <c r="AJ16" i="63"/>
  <c r="AJ44" i="60"/>
  <c r="AJ64" i="65"/>
  <c r="AJ31" i="63"/>
  <c r="AJ44" i="57"/>
  <c r="G44" i="57"/>
  <c r="G46" i="65"/>
  <c r="AJ65" i="61"/>
  <c r="AJ8" i="61"/>
  <c r="G23" i="65"/>
  <c r="G49" i="61"/>
  <c r="G61" i="57"/>
  <c r="AJ14" i="58"/>
  <c r="G30" i="63"/>
  <c r="AJ46" i="65"/>
  <c r="G25" i="64"/>
  <c r="G28" i="61"/>
  <c r="AJ44" i="65"/>
  <c r="AJ39" i="60"/>
  <c r="E12" i="66"/>
  <c r="AJ30" i="65"/>
  <c r="E51" i="66"/>
  <c r="E50" i="66"/>
  <c r="AJ65" i="63"/>
  <c r="AJ32" i="64"/>
  <c r="AJ64" i="64"/>
  <c r="AJ58" i="61"/>
  <c r="AJ19" i="61"/>
  <c r="AJ50" i="61"/>
  <c r="G32" i="61"/>
  <c r="E61" i="66"/>
  <c r="G26" i="61"/>
  <c r="AJ11" i="65"/>
  <c r="G47" i="64"/>
  <c r="AJ41" i="60"/>
  <c r="AJ63" i="64"/>
  <c r="AJ30" i="57"/>
  <c r="G36" i="63"/>
  <c r="AJ26" i="60"/>
  <c r="G7" i="57"/>
  <c r="G31" i="61"/>
  <c r="G21" i="65"/>
  <c r="G43" i="61"/>
  <c r="AJ51" i="60"/>
  <c r="G38" i="61"/>
  <c r="G11" i="60"/>
  <c r="AJ31" i="57"/>
  <c r="G8" i="65"/>
  <c r="AJ21" i="60"/>
  <c r="G19" i="60"/>
  <c r="G42" i="57"/>
  <c r="AK23" i="66"/>
  <c r="AK46" i="66"/>
  <c r="G57" i="58"/>
  <c r="AJ56" i="64"/>
  <c r="G17" i="65"/>
  <c r="G24" i="63"/>
  <c r="G44" i="58"/>
  <c r="G26" i="57"/>
  <c r="G10" i="64"/>
  <c r="G11" i="57"/>
  <c r="G27" i="60"/>
  <c r="G15" i="65"/>
  <c r="AJ25" i="61"/>
  <c r="AJ53" i="65"/>
  <c r="AJ39" i="65"/>
  <c r="AJ55" i="58"/>
  <c r="AJ12" i="58"/>
  <c r="AJ33" i="63"/>
  <c r="G11" i="63"/>
  <c r="AJ46" i="57"/>
  <c r="G27" i="57"/>
  <c r="G28" i="65"/>
  <c r="AJ50" i="57"/>
  <c r="G7" i="64"/>
  <c r="E49" i="66"/>
  <c r="AL29" i="66"/>
  <c r="G32" i="64"/>
  <c r="G28" i="60"/>
  <c r="G22" i="64"/>
  <c r="AJ29" i="60"/>
  <c r="G23" i="60"/>
  <c r="G18" i="60"/>
  <c r="G42" i="65"/>
  <c r="AJ58" i="65"/>
  <c r="G40" i="63"/>
  <c r="AK9" i="66"/>
  <c r="G30" i="60"/>
  <c r="AJ41" i="58"/>
  <c r="AK45" i="58"/>
  <c r="G18" i="61"/>
  <c r="E29" i="66"/>
  <c r="AJ20" i="61"/>
  <c r="G21" i="64"/>
  <c r="G49" i="57"/>
  <c r="AJ38" i="64"/>
  <c r="AL51" i="66"/>
  <c r="G14" i="64"/>
  <c r="AJ56" i="63"/>
  <c r="G34" i="58"/>
  <c r="AJ45" i="63"/>
  <c r="G52" i="64"/>
  <c r="AL41" i="65"/>
  <c r="G29" i="64"/>
  <c r="AJ61" i="58"/>
  <c r="AJ55" i="60"/>
  <c r="G42" i="60"/>
  <c r="G28" i="58"/>
  <c r="AJ31" i="60"/>
  <c r="AJ67" i="60"/>
  <c r="G35" i="64"/>
  <c r="AJ55" i="63"/>
  <c r="G32" i="58"/>
  <c r="G27" i="61"/>
  <c r="G25" i="58"/>
  <c r="G8" i="57"/>
  <c r="AJ26" i="61"/>
  <c r="G16" i="60"/>
  <c r="G36" i="65"/>
  <c r="AJ52" i="65"/>
  <c r="G41" i="63"/>
  <c r="AJ21" i="65"/>
  <c r="AJ25" i="64"/>
  <c r="AJ54" i="63"/>
  <c r="G15" i="58"/>
  <c r="AJ45" i="60"/>
  <c r="G41" i="65"/>
  <c r="G9" i="64"/>
  <c r="AJ37" i="63"/>
  <c r="AJ17" i="64"/>
  <c r="G40" i="58"/>
  <c r="AJ44" i="63"/>
  <c r="AJ55" i="57"/>
  <c r="AJ62" i="58"/>
  <c r="AJ62" i="63"/>
  <c r="AJ60" i="65"/>
  <c r="AJ49" i="65"/>
  <c r="AL42" i="66"/>
  <c r="G47" i="58"/>
  <c r="G32" i="65"/>
  <c r="G55" i="60"/>
  <c r="AJ49" i="61"/>
  <c r="G48" i="60"/>
  <c r="G8" i="61"/>
  <c r="AJ64" i="57"/>
  <c r="AJ35" i="57"/>
  <c r="AL48" i="66"/>
  <c r="G35" i="60"/>
  <c r="E21" i="66"/>
  <c r="AJ13" i="60"/>
  <c r="AJ49" i="60"/>
  <c r="G47" i="57"/>
  <c r="G16" i="57"/>
  <c r="G48" i="58"/>
  <c r="AJ19" i="58"/>
  <c r="AJ35" i="64"/>
  <c r="AJ66" i="63"/>
  <c r="AK50" i="66"/>
  <c r="AO7" i="7"/>
  <c r="AX7" i="7"/>
  <c r="AX11" i="7"/>
  <c r="AG43" i="66" l="1"/>
  <c r="AH43" i="66"/>
  <c r="AM50" i="66"/>
  <c r="AL66" i="63"/>
  <c r="AK66" i="63"/>
  <c r="AM66" i="63" s="1"/>
  <c r="AH15" i="66"/>
  <c r="AG15" i="66"/>
  <c r="AH22" i="65"/>
  <c r="AG22" i="65"/>
  <c r="AH49" i="66"/>
  <c r="AG49" i="66"/>
  <c r="AH48" i="66"/>
  <c r="AG48" i="66"/>
  <c r="AM22" i="65"/>
  <c r="AK64" i="57"/>
  <c r="AM64" i="57" s="1"/>
  <c r="AL64" i="57"/>
  <c r="AK59" i="64"/>
  <c r="AM59" i="64" s="1"/>
  <c r="AL59" i="64"/>
  <c r="AM45" i="66"/>
  <c r="AK59" i="61"/>
  <c r="AM59" i="61" s="1"/>
  <c r="AL59" i="61"/>
  <c r="AH42" i="66"/>
  <c r="AG42" i="66"/>
  <c r="AM24" i="65"/>
  <c r="AM26" i="66"/>
  <c r="AL60" i="65"/>
  <c r="AK60" i="65"/>
  <c r="AM60" i="65" s="1"/>
  <c r="AK59" i="58"/>
  <c r="AM59" i="58" s="1"/>
  <c r="AL59" i="58"/>
  <c r="AG30" i="66"/>
  <c r="AH30" i="66"/>
  <c r="AL57" i="61"/>
  <c r="AK57" i="61"/>
  <c r="AM57" i="61" s="1"/>
  <c r="AL67" i="64"/>
  <c r="AK67" i="64"/>
  <c r="AM67" i="64" s="1"/>
  <c r="AM30" i="66"/>
  <c r="AL64" i="61"/>
  <c r="AK64" i="61"/>
  <c r="AM64" i="61" s="1"/>
  <c r="AG21" i="66"/>
  <c r="AH21" i="66"/>
  <c r="AK56" i="61"/>
  <c r="AM56" i="61" s="1"/>
  <c r="AL56" i="61"/>
  <c r="AM7" i="66"/>
  <c r="AH27" i="66"/>
  <c r="AG27" i="66"/>
  <c r="AH7" i="66"/>
  <c r="AG7" i="66"/>
  <c r="AL65" i="58"/>
  <c r="AK65" i="58"/>
  <c r="AM65" i="58" s="1"/>
  <c r="AH10" i="66"/>
  <c r="AG10" i="66"/>
  <c r="R8" i="66"/>
  <c r="U10" i="66"/>
  <c r="V10" i="66" s="1"/>
  <c r="U11" i="66"/>
  <c r="V11" i="66" s="1"/>
  <c r="R9" i="66"/>
  <c r="U16" i="66" a="1"/>
  <c r="U16" i="66" s="1"/>
  <c r="O9" i="66"/>
  <c r="O13" i="66"/>
  <c r="P13" i="66" s="1"/>
  <c r="R12" i="66"/>
  <c r="R10" i="66"/>
  <c r="U8" i="66"/>
  <c r="V8" i="66" s="1"/>
  <c r="R16" i="66" a="1"/>
  <c r="R16" i="66" s="1"/>
  <c r="O11" i="66"/>
  <c r="U12" i="66"/>
  <c r="O12" i="66"/>
  <c r="R11" i="66"/>
  <c r="U13" i="66"/>
  <c r="V13" i="66" s="1"/>
  <c r="U9" i="66"/>
  <c r="O16" i="66" a="1"/>
  <c r="O16" i="66" s="1"/>
  <c r="R13" i="66"/>
  <c r="AA13" i="66" s="1"/>
  <c r="O8" i="66"/>
  <c r="O10" i="66"/>
  <c r="AH24" i="66"/>
  <c r="AG24" i="66"/>
  <c r="AM43" i="66"/>
  <c r="AG20" i="65"/>
  <c r="AH20" i="65"/>
  <c r="AK67" i="60"/>
  <c r="AM67" i="60" s="1"/>
  <c r="AL67" i="60"/>
  <c r="AM29" i="66"/>
  <c r="AM22" i="66"/>
  <c r="AG46" i="66"/>
  <c r="AH46" i="66"/>
  <c r="AH22" i="66"/>
  <c r="AG22" i="66"/>
  <c r="AG17" i="66"/>
  <c r="AH17" i="66"/>
  <c r="AM38" i="66"/>
  <c r="AK66" i="61"/>
  <c r="AM66" i="61" s="1"/>
  <c r="AL66" i="61"/>
  <c r="AM14" i="66"/>
  <c r="AH41" i="65"/>
  <c r="AG41" i="65"/>
  <c r="AG41" i="66"/>
  <c r="AH41" i="66"/>
  <c r="AL56" i="63"/>
  <c r="AK56" i="63"/>
  <c r="AM56" i="63" s="1"/>
  <c r="AG9" i="66"/>
  <c r="AH9" i="66"/>
  <c r="AK58" i="64"/>
  <c r="AM58" i="64" s="1"/>
  <c r="AL58" i="64"/>
  <c r="AH51" i="66"/>
  <c r="AG51" i="66"/>
  <c r="AM49" i="66"/>
  <c r="AK57" i="65"/>
  <c r="AM57" i="65" s="1"/>
  <c r="AL57" i="65"/>
  <c r="AM41" i="65"/>
  <c r="AM45" i="58"/>
  <c r="AM9" i="66"/>
  <c r="AH50" i="66"/>
  <c r="AG50" i="66"/>
  <c r="AK59" i="63"/>
  <c r="AM59" i="63" s="1"/>
  <c r="AL59" i="63"/>
  <c r="AK58" i="65"/>
  <c r="AM58" i="65" s="1"/>
  <c r="AL58" i="65"/>
  <c r="AH45" i="58"/>
  <c r="AG45" i="58"/>
  <c r="AK63" i="63"/>
  <c r="AM63" i="63" s="1"/>
  <c r="AL63" i="63"/>
  <c r="AM17" i="66"/>
  <c r="AM61" i="66"/>
  <c r="AK63" i="61"/>
  <c r="AM63" i="61" s="1"/>
  <c r="AL63" i="61"/>
  <c r="AL60" i="57"/>
  <c r="AK60" i="57"/>
  <c r="AM60" i="57" s="1"/>
  <c r="AH29" i="66"/>
  <c r="AG29" i="66"/>
  <c r="AM36" i="66"/>
  <c r="AL59" i="65"/>
  <c r="AK59" i="65"/>
  <c r="AM59" i="65" s="1"/>
  <c r="AM27" i="66"/>
  <c r="AL67" i="65"/>
  <c r="AK67" i="65"/>
  <c r="AM67" i="65" s="1"/>
  <c r="AK65" i="64"/>
  <c r="AM65" i="64" s="1"/>
  <c r="AL65" i="64"/>
  <c r="AM10" i="66"/>
  <c r="AM31" i="66"/>
  <c r="AL60" i="58"/>
  <c r="AK60" i="58"/>
  <c r="AM60" i="58" s="1"/>
  <c r="AK56" i="64"/>
  <c r="AM56" i="64" s="1"/>
  <c r="AL56" i="64"/>
  <c r="AG18" i="66"/>
  <c r="AH18" i="66"/>
  <c r="AM46" i="66"/>
  <c r="AM23" i="66"/>
  <c r="AG39" i="66"/>
  <c r="AH39" i="66"/>
  <c r="AG28" i="66"/>
  <c r="AH28" i="66"/>
  <c r="AH23" i="66"/>
  <c r="AG23" i="66"/>
  <c r="AM42" i="66"/>
  <c r="AM12" i="66"/>
  <c r="AK59" i="60"/>
  <c r="AM59" i="60" s="1"/>
  <c r="AL59" i="60"/>
  <c r="AL63" i="58"/>
  <c r="AK63" i="58"/>
  <c r="AM63" i="58" s="1"/>
  <c r="AM17" i="65"/>
  <c r="AK67" i="61"/>
  <c r="AM67" i="61" s="1"/>
  <c r="AL67" i="61"/>
  <c r="AL66" i="58"/>
  <c r="AK66" i="58"/>
  <c r="AM66" i="58" s="1"/>
  <c r="AH11" i="66"/>
  <c r="AG11" i="66"/>
  <c r="AL63" i="57"/>
  <c r="AK63" i="57"/>
  <c r="AM63" i="57" s="1"/>
  <c r="AM16" i="66"/>
  <c r="AL63" i="60"/>
  <c r="AK63" i="60"/>
  <c r="AM63" i="60" s="1"/>
  <c r="AL63" i="64"/>
  <c r="AK63" i="64"/>
  <c r="AM63" i="64" s="1"/>
  <c r="AG38" i="66"/>
  <c r="AH38" i="66"/>
  <c r="AK64" i="60"/>
  <c r="AM64" i="60" s="1"/>
  <c r="AL64" i="60"/>
  <c r="AL66" i="57"/>
  <c r="AK66" i="57"/>
  <c r="AM66" i="57" s="1"/>
  <c r="AK60" i="64"/>
  <c r="AM60" i="64" s="1"/>
  <c r="AL60" i="64"/>
  <c r="AG25" i="66"/>
  <c r="AH25" i="66"/>
  <c r="AL56" i="65"/>
  <c r="AK56" i="65"/>
  <c r="AM56" i="65" s="1"/>
  <c r="AL58" i="61"/>
  <c r="AK58" i="61"/>
  <c r="AM58" i="61" s="1"/>
  <c r="AG32" i="66"/>
  <c r="AH32" i="66"/>
  <c r="AL64" i="64"/>
  <c r="AK64" i="64"/>
  <c r="AM64" i="64" s="1"/>
  <c r="AK67" i="58"/>
  <c r="AM67" i="58" s="1"/>
  <c r="AL67" i="58"/>
  <c r="AH12" i="66"/>
  <c r="AG12" i="66"/>
  <c r="AL65" i="63"/>
  <c r="AK65" i="63"/>
  <c r="AM65" i="63" s="1"/>
  <c r="AM24" i="66"/>
  <c r="AM39" i="66"/>
  <c r="AG14" i="66"/>
  <c r="AH14" i="66"/>
  <c r="AM53" i="66"/>
  <c r="AM8" i="66"/>
  <c r="AM20" i="66"/>
  <c r="AM18" i="66"/>
  <c r="AG13" i="66"/>
  <c r="AH13" i="66"/>
  <c r="AM32" i="66"/>
  <c r="AL65" i="61"/>
  <c r="AK65" i="61"/>
  <c r="AM65" i="61" s="1"/>
  <c r="AM20" i="65"/>
  <c r="AK66" i="60"/>
  <c r="AM66" i="60" s="1"/>
  <c r="AL66" i="60"/>
  <c r="AG35" i="66"/>
  <c r="AH35" i="66"/>
  <c r="AG45" i="66"/>
  <c r="AH45" i="66"/>
  <c r="AK67" i="63"/>
  <c r="AM67" i="63" s="1"/>
  <c r="AL67" i="63"/>
  <c r="AL58" i="58"/>
  <c r="AK58" i="58"/>
  <c r="AM58" i="58" s="1"/>
  <c r="AM41" i="66"/>
  <c r="AK64" i="65"/>
  <c r="AM64" i="65" s="1"/>
  <c r="AL64" i="65"/>
  <c r="AL64" i="63"/>
  <c r="AK64" i="63"/>
  <c r="AM64" i="63" s="1"/>
  <c r="AL57" i="64"/>
  <c r="AK57" i="64"/>
  <c r="AM57" i="64" s="1"/>
  <c r="AM15" i="66"/>
  <c r="AL58" i="63"/>
  <c r="AK58" i="63"/>
  <c r="AM58" i="63" s="1"/>
  <c r="AM11" i="66"/>
  <c r="AM44" i="66"/>
  <c r="AL60" i="60"/>
  <c r="AK60" i="60"/>
  <c r="AM60" i="60" s="1"/>
  <c r="AL60" i="63"/>
  <c r="AK60" i="63"/>
  <c r="AM60" i="63" s="1"/>
  <c r="AK65" i="60"/>
  <c r="AM65" i="60" s="1"/>
  <c r="AL65" i="60"/>
  <c r="AH36" i="66"/>
  <c r="AG36" i="66"/>
  <c r="AM37" i="66"/>
  <c r="AG44" i="66"/>
  <c r="AH44" i="66"/>
  <c r="AH20" i="66"/>
  <c r="AG20" i="66"/>
  <c r="AL66" i="64"/>
  <c r="AK66" i="64"/>
  <c r="AM66" i="64" s="1"/>
  <c r="AL65" i="57"/>
  <c r="AK65" i="57"/>
  <c r="AM65" i="57" s="1"/>
  <c r="AM13" i="66"/>
  <c r="AM51" i="66"/>
  <c r="AL65" i="65"/>
  <c r="AK65" i="65"/>
  <c r="AM65" i="65" s="1"/>
  <c r="AG17" i="65"/>
  <c r="AH17" i="65"/>
  <c r="AM47" i="66"/>
  <c r="AM35" i="66"/>
  <c r="AG47" i="66"/>
  <c r="AH47" i="66"/>
  <c r="AK58" i="57"/>
  <c r="AM58" i="57" s="1"/>
  <c r="AL58" i="57"/>
  <c r="AG37" i="66"/>
  <c r="AH37" i="66"/>
  <c r="AG34" i="66"/>
  <c r="AH34" i="66"/>
  <c r="AG52" i="66"/>
  <c r="AH52" i="66"/>
  <c r="AL58" i="60"/>
  <c r="AK58" i="60"/>
  <c r="AM58" i="60" s="1"/>
  <c r="AM25" i="66"/>
  <c r="AH16" i="66"/>
  <c r="AG16" i="66"/>
  <c r="AL57" i="60"/>
  <c r="AK57" i="60"/>
  <c r="AM57" i="60" s="1"/>
  <c r="AM21" i="66"/>
  <c r="AH26" i="66"/>
  <c r="AG26" i="66"/>
  <c r="AG31" i="66"/>
  <c r="AH31" i="66"/>
  <c r="AK67" i="57"/>
  <c r="AM67" i="57" s="1"/>
  <c r="AL67" i="57"/>
  <c r="AG19" i="66"/>
  <c r="AH19" i="66"/>
  <c r="AM48" i="66"/>
  <c r="AK64" i="58"/>
  <c r="AM64" i="58" s="1"/>
  <c r="AL64" i="58"/>
  <c r="AM34" i="66"/>
  <c r="AG61" i="66"/>
  <c r="AH61" i="66"/>
  <c r="AM52" i="66"/>
  <c r="AM19" i="66"/>
  <c r="AM28" i="66"/>
  <c r="AL60" i="61"/>
  <c r="AK60" i="61"/>
  <c r="AM60" i="61" s="1"/>
  <c r="AH24" i="65"/>
  <c r="AG24" i="65"/>
  <c r="AL57" i="63"/>
  <c r="AK57" i="63"/>
  <c r="AM57" i="63" s="1"/>
  <c r="AK59" i="57"/>
  <c r="AM59" i="57" s="1"/>
  <c r="AL59" i="57"/>
  <c r="AK66" i="65"/>
  <c r="AM66" i="65" s="1"/>
  <c r="AL66" i="65"/>
  <c r="AH53" i="66"/>
  <c r="AG53" i="66"/>
  <c r="AK63" i="65"/>
  <c r="AM63" i="65" s="1"/>
  <c r="AL63" i="65"/>
  <c r="AH8" i="66"/>
  <c r="AG8" i="66"/>
  <c r="AA11" i="66"/>
  <c r="BF53" i="85"/>
  <c r="BH53" i="85"/>
  <c r="BG53" i="85"/>
  <c r="BI53" i="85"/>
  <c r="BC56" i="85"/>
  <c r="BD55" i="85"/>
  <c r="BH52" i="84"/>
  <c r="BG52" i="84"/>
  <c r="BF52" i="84"/>
  <c r="BI52" i="84"/>
  <c r="BC55" i="84"/>
  <c r="BD54" i="84"/>
  <c r="BG50" i="83"/>
  <c r="BH50" i="83"/>
  <c r="BI50" i="83"/>
  <c r="BF50" i="83"/>
  <c r="BC52" i="83"/>
  <c r="BD51" i="83"/>
  <c r="BG44" i="81"/>
  <c r="BI44" i="81"/>
  <c r="BH44" i="81"/>
  <c r="BF44" i="81"/>
  <c r="BD45" i="81"/>
  <c r="BC46" i="81"/>
  <c r="BG43" i="80"/>
  <c r="BF43" i="80"/>
  <c r="BH43" i="80"/>
  <c r="BI43" i="80"/>
  <c r="BC45" i="80"/>
  <c r="BD44" i="80"/>
  <c r="BG42" i="78"/>
  <c r="BF42" i="78"/>
  <c r="BI42" i="78"/>
  <c r="BH42" i="78"/>
  <c r="BD43" i="78"/>
  <c r="BC44" i="78"/>
  <c r="BG42" i="79"/>
  <c r="BF42" i="79"/>
  <c r="BI42" i="79"/>
  <c r="BH42" i="79"/>
  <c r="BD43" i="79"/>
  <c r="BC44" i="79"/>
  <c r="BC41" i="76"/>
  <c r="BD40" i="76"/>
  <c r="BF39" i="76"/>
  <c r="BI39" i="76"/>
  <c r="BH39" i="76"/>
  <c r="BG39" i="76"/>
  <c r="BH38" i="75"/>
  <c r="BG38" i="75"/>
  <c r="BF38" i="75"/>
  <c r="BI38" i="75"/>
  <c r="BD39" i="75"/>
  <c r="BC40" i="75"/>
  <c r="BC38" i="74"/>
  <c r="BD37" i="74"/>
  <c r="BI36" i="74"/>
  <c r="BG36" i="74"/>
  <c r="BF36" i="74"/>
  <c r="BH36" i="74"/>
  <c r="BG34" i="73"/>
  <c r="BI34" i="73"/>
  <c r="BH34" i="73"/>
  <c r="BF34" i="73"/>
  <c r="BC36" i="73"/>
  <c r="BD35" i="73"/>
  <c r="BC34" i="71"/>
  <c r="BD33" i="71"/>
  <c r="BI32" i="71"/>
  <c r="BH32" i="71"/>
  <c r="BF32" i="71"/>
  <c r="BG32" i="71"/>
  <c r="BC32" i="70"/>
  <c r="BD31" i="70"/>
  <c r="BF30" i="70"/>
  <c r="BI30" i="70"/>
  <c r="BH30" i="70"/>
  <c r="BG30" i="70"/>
  <c r="BD30" i="69"/>
  <c r="BC31" i="69"/>
  <c r="BH29" i="69"/>
  <c r="BI29" i="69"/>
  <c r="BG29" i="69"/>
  <c r="BF29" i="69"/>
  <c r="BD29" i="68"/>
  <c r="BC30" i="68"/>
  <c r="BI28" i="68"/>
  <c r="BF28" i="68"/>
  <c r="BH28" i="68"/>
  <c r="BG28" i="68"/>
  <c r="BD31" i="66"/>
  <c r="BC32" i="66"/>
  <c r="BI30" i="66"/>
  <c r="BG30" i="66"/>
  <c r="BF30" i="66"/>
  <c r="BH30" i="66"/>
  <c r="BD33" i="65"/>
  <c r="BC34" i="65"/>
  <c r="BI32" i="65"/>
  <c r="BG32" i="65"/>
  <c r="BH32" i="65"/>
  <c r="BF32" i="65"/>
  <c r="BG26" i="64"/>
  <c r="BF26" i="64"/>
  <c r="BI26" i="64"/>
  <c r="BH26" i="64"/>
  <c r="BC28" i="64"/>
  <c r="BD27" i="64"/>
  <c r="BF29" i="63"/>
  <c r="BH29" i="63"/>
  <c r="BI29" i="63"/>
  <c r="BG29" i="63"/>
  <c r="BC31" i="63"/>
  <c r="BD30" i="63"/>
  <c r="BH20" i="61"/>
  <c r="BF20" i="61"/>
  <c r="BI20" i="61"/>
  <c r="BG20" i="61"/>
  <c r="BD21" i="61"/>
  <c r="BC22" i="61"/>
  <c r="BD22" i="60"/>
  <c r="BC23" i="60"/>
  <c r="BH21" i="60"/>
  <c r="BI21" i="60"/>
  <c r="BF21" i="60"/>
  <c r="BG21" i="60"/>
  <c r="BG19" i="58"/>
  <c r="BF19" i="58"/>
  <c r="BH19" i="58"/>
  <c r="BI19" i="58"/>
  <c r="BC21" i="58"/>
  <c r="BD20" i="58"/>
  <c r="BC18" i="57"/>
  <c r="BD17" i="57"/>
  <c r="BF16" i="57"/>
  <c r="BI16" i="57"/>
  <c r="BH16" i="57"/>
  <c r="BG16" i="57"/>
  <c r="E8" i="58"/>
  <c r="AK36" i="64"/>
  <c r="E48" i="60"/>
  <c r="AK62" i="63"/>
  <c r="AL17" i="64"/>
  <c r="E35" i="57"/>
  <c r="AL47" i="61"/>
  <c r="AL8" i="63"/>
  <c r="AL23" i="64"/>
  <c r="E10" i="61"/>
  <c r="AK12" i="60"/>
  <c r="E37" i="60"/>
  <c r="E51" i="60"/>
  <c r="AK13" i="60"/>
  <c r="E20" i="63"/>
  <c r="AK24" i="61"/>
  <c r="AK11" i="57"/>
  <c r="AK21" i="57"/>
  <c r="AL56" i="60"/>
  <c r="AK38" i="57"/>
  <c r="AK23" i="64"/>
  <c r="E7" i="58"/>
  <c r="AK29" i="60"/>
  <c r="E7" i="64"/>
  <c r="E11" i="63"/>
  <c r="AK53" i="65"/>
  <c r="AK22" i="58"/>
  <c r="AL56" i="58"/>
  <c r="AL44" i="58"/>
  <c r="E41" i="60"/>
  <c r="AK49" i="64"/>
  <c r="AK62" i="61"/>
  <c r="E40" i="58"/>
  <c r="AK42" i="58"/>
  <c r="E17" i="64"/>
  <c r="E27" i="61"/>
  <c r="AL46" i="61"/>
  <c r="AL61" i="65"/>
  <c r="E39" i="61"/>
  <c r="AL29" i="60"/>
  <c r="AK22" i="63"/>
  <c r="AK12" i="58"/>
  <c r="AL8" i="64"/>
  <c r="AK44" i="64"/>
  <c r="E11" i="60"/>
  <c r="AK42" i="64"/>
  <c r="AK19" i="58"/>
  <c r="E51" i="63"/>
  <c r="AL49" i="64"/>
  <c r="AK49" i="65"/>
  <c r="AL44" i="63"/>
  <c r="AK55" i="61"/>
  <c r="E16" i="60"/>
  <c r="E32" i="58"/>
  <c r="AK46" i="61"/>
  <c r="E36" i="61"/>
  <c r="E46" i="58"/>
  <c r="E42" i="65"/>
  <c r="E34" i="60"/>
  <c r="AL46" i="57"/>
  <c r="AL39" i="65"/>
  <c r="E16" i="61"/>
  <c r="AL44" i="64"/>
  <c r="AK31" i="57"/>
  <c r="AL17" i="58"/>
  <c r="AL23" i="63"/>
  <c r="AL52" i="63"/>
  <c r="AK18" i="63"/>
  <c r="AL46" i="60"/>
  <c r="AL46" i="65"/>
  <c r="AK8" i="61"/>
  <c r="E18" i="64"/>
  <c r="E53" i="63"/>
  <c r="E54" i="57"/>
  <c r="AL17" i="61"/>
  <c r="AL14" i="64"/>
  <c r="AK14" i="65"/>
  <c r="E41" i="64"/>
  <c r="E7" i="61"/>
  <c r="AL51" i="57"/>
  <c r="AL54" i="64"/>
  <c r="E33" i="57"/>
  <c r="AL62" i="60"/>
  <c r="AL19" i="58"/>
  <c r="E35" i="60"/>
  <c r="AL30" i="61"/>
  <c r="E15" i="57"/>
  <c r="AK48" i="60"/>
  <c r="AK33" i="65"/>
  <c r="AL55" i="65"/>
  <c r="AL15" i="64"/>
  <c r="AK29" i="63"/>
  <c r="AL38" i="64"/>
  <c r="AL22" i="61"/>
  <c r="AL32" i="63"/>
  <c r="AL11" i="58"/>
  <c r="AL26" i="57"/>
  <c r="AL35" i="61"/>
  <c r="E44" i="60"/>
  <c r="AL38" i="63"/>
  <c r="E17" i="57"/>
  <c r="AK23" i="63"/>
  <c r="AL43" i="58"/>
  <c r="E24" i="65"/>
  <c r="E25" i="64"/>
  <c r="E62" i="58"/>
  <c r="AK61" i="60"/>
  <c r="E62" i="64"/>
  <c r="AL16" i="57"/>
  <c r="AK28" i="57"/>
  <c r="AK16" i="65"/>
  <c r="E19" i="65"/>
  <c r="E54" i="65"/>
  <c r="AK23" i="65"/>
  <c r="AK57" i="57"/>
  <c r="AL36" i="65"/>
  <c r="E50" i="61"/>
  <c r="E36" i="57"/>
  <c r="E13" i="65"/>
  <c r="AL25" i="64"/>
  <c r="E37" i="63"/>
  <c r="AL12" i="63"/>
  <c r="E45" i="60"/>
  <c r="AK38" i="64"/>
  <c r="AK22" i="61"/>
  <c r="E28" i="60"/>
  <c r="AL23" i="60"/>
  <c r="AL19" i="57"/>
  <c r="AL7" i="57"/>
  <c r="AL49" i="61"/>
  <c r="E30" i="65"/>
  <c r="E29" i="60"/>
  <c r="AL37" i="65"/>
  <c r="AL61" i="64"/>
  <c r="AK12" i="63"/>
  <c r="AK29" i="57"/>
  <c r="AK25" i="57"/>
  <c r="E21" i="57"/>
  <c r="AL36" i="60"/>
  <c r="AL48" i="61"/>
  <c r="E12" i="60"/>
  <c r="E10" i="64"/>
  <c r="AL47" i="64"/>
  <c r="E36" i="63"/>
  <c r="E7" i="60"/>
  <c r="AL29" i="61"/>
  <c r="AK36" i="63"/>
  <c r="E44" i="57"/>
  <c r="AK19" i="63"/>
  <c r="AL11" i="60"/>
  <c r="E17" i="61"/>
  <c r="AK41" i="57"/>
  <c r="AK7" i="58"/>
  <c r="AL28" i="60"/>
  <c r="AK26" i="63"/>
  <c r="AK33" i="61"/>
  <c r="E9" i="63"/>
  <c r="AK7" i="57"/>
  <c r="AK49" i="61"/>
  <c r="AL62" i="63"/>
  <c r="AK17" i="64"/>
  <c r="AK37" i="65"/>
  <c r="E37" i="58"/>
  <c r="E62" i="57"/>
  <c r="AL45" i="63"/>
  <c r="AL25" i="57"/>
  <c r="AL48" i="64"/>
  <c r="E47" i="65"/>
  <c r="E28" i="65"/>
  <c r="AK55" i="58"/>
  <c r="AL50" i="65"/>
  <c r="E45" i="61"/>
  <c r="E9" i="58"/>
  <c r="E33" i="60"/>
  <c r="AL26" i="60"/>
  <c r="AK44" i="61"/>
  <c r="AL9" i="57"/>
  <c r="AL44" i="60"/>
  <c r="E40" i="57"/>
  <c r="E49" i="64"/>
  <c r="E52" i="57"/>
  <c r="AK9" i="61"/>
  <c r="AL26" i="63"/>
  <c r="E22" i="57"/>
  <c r="AK18" i="65"/>
  <c r="AL48" i="65"/>
  <c r="AK35" i="60"/>
  <c r="AK7" i="60"/>
  <c r="AK31" i="65"/>
  <c r="AL34" i="58"/>
  <c r="AK38" i="60"/>
  <c r="AK52" i="60"/>
  <c r="E15" i="65"/>
  <c r="E31" i="61"/>
  <c r="AL8" i="57"/>
  <c r="AL29" i="64"/>
  <c r="AK55" i="64"/>
  <c r="AL15" i="61"/>
  <c r="E34" i="61"/>
  <c r="AL12" i="61"/>
  <c r="E55" i="58"/>
  <c r="E12" i="61"/>
  <c r="E16" i="63"/>
  <c r="E62" i="60"/>
  <c r="E52" i="63"/>
  <c r="AK24" i="64"/>
  <c r="E32" i="63"/>
  <c r="AL39" i="60"/>
  <c r="E49" i="61"/>
  <c r="AL27" i="65"/>
  <c r="AK18" i="64"/>
  <c r="AK17" i="61"/>
  <c r="E27" i="58"/>
  <c r="E43" i="63"/>
  <c r="E19" i="63"/>
  <c r="E43" i="64"/>
  <c r="E44" i="58"/>
  <c r="E18" i="58"/>
  <c r="AL28" i="64"/>
  <c r="AL36" i="63"/>
  <c r="E56" i="57"/>
  <c r="AK54" i="65"/>
  <c r="AK35" i="65"/>
  <c r="AL9" i="63"/>
  <c r="E18" i="57"/>
  <c r="AK40" i="63"/>
  <c r="AL38" i="65"/>
  <c r="AL48" i="58"/>
  <c r="AK56" i="58"/>
  <c r="E53" i="57"/>
  <c r="AK45" i="65"/>
  <c r="AK24" i="60"/>
  <c r="E48" i="61"/>
  <c r="E43" i="60"/>
  <c r="E54" i="63"/>
  <c r="E14" i="58"/>
  <c r="E45" i="64"/>
  <c r="AK56" i="60"/>
  <c r="E42" i="60"/>
  <c r="AK54" i="58"/>
  <c r="E9" i="60"/>
  <c r="E18" i="60"/>
  <c r="E32" i="60"/>
  <c r="E48" i="58"/>
  <c r="AK40" i="57"/>
  <c r="E32" i="65"/>
  <c r="AK57" i="58"/>
  <c r="AK45" i="60"/>
  <c r="AK45" i="61"/>
  <c r="E27" i="63"/>
  <c r="E24" i="58"/>
  <c r="AL54" i="58"/>
  <c r="E50" i="60"/>
  <c r="AL27" i="64"/>
  <c r="AL42" i="65"/>
  <c r="AK36" i="58"/>
  <c r="AK25" i="61"/>
  <c r="AK39" i="64"/>
  <c r="AK16" i="61"/>
  <c r="AL51" i="65"/>
  <c r="AL40" i="57"/>
  <c r="E51" i="65"/>
  <c r="AL16" i="58"/>
  <c r="AK26" i="64"/>
  <c r="AL55" i="61"/>
  <c r="E48" i="65"/>
  <c r="AL38" i="57"/>
  <c r="E34" i="64"/>
  <c r="E49" i="57"/>
  <c r="E8" i="64"/>
  <c r="AK53" i="57"/>
  <c r="AK46" i="57"/>
  <c r="AL25" i="60"/>
  <c r="E11" i="57"/>
  <c r="E26" i="58"/>
  <c r="E43" i="61"/>
  <c r="E21" i="61"/>
  <c r="AK51" i="65"/>
  <c r="AL49" i="63"/>
  <c r="E55" i="60"/>
  <c r="AL62" i="61"/>
  <c r="AL32" i="58"/>
  <c r="AK21" i="65"/>
  <c r="E43" i="58"/>
  <c r="AK31" i="60"/>
  <c r="AL29" i="63"/>
  <c r="AK61" i="65"/>
  <c r="AK39" i="58"/>
  <c r="E22" i="61"/>
  <c r="AK11" i="58"/>
  <c r="AK26" i="57"/>
  <c r="AK35" i="61"/>
  <c r="E26" i="57"/>
  <c r="E25" i="60"/>
  <c r="E38" i="63"/>
  <c r="AK49" i="60"/>
  <c r="AK35" i="57"/>
  <c r="AL11" i="61"/>
  <c r="E44" i="63"/>
  <c r="AL45" i="60"/>
  <c r="AL21" i="57"/>
  <c r="AL53" i="58"/>
  <c r="AL50" i="64"/>
  <c r="AK52" i="64"/>
  <c r="AL41" i="58"/>
  <c r="E11" i="61"/>
  <c r="AK50" i="57"/>
  <c r="AL24" i="60"/>
  <c r="AL35" i="57"/>
  <c r="E39" i="60"/>
  <c r="AK11" i="63"/>
  <c r="AL42" i="58"/>
  <c r="AK47" i="61"/>
  <c r="AK55" i="63"/>
  <c r="AK50" i="64"/>
  <c r="E34" i="57"/>
  <c r="AK30" i="63"/>
  <c r="E32" i="64"/>
  <c r="AK17" i="57"/>
  <c r="AL12" i="58"/>
  <c r="AK8" i="64"/>
  <c r="E51" i="64"/>
  <c r="E23" i="58"/>
  <c r="E25" i="65"/>
  <c r="AK15" i="63"/>
  <c r="AL61" i="63"/>
  <c r="AL24" i="61"/>
  <c r="AK32" i="58"/>
  <c r="AL21" i="65"/>
  <c r="AL26" i="61"/>
  <c r="E28" i="58"/>
  <c r="AK17" i="63"/>
  <c r="E21" i="60"/>
  <c r="AL30" i="63"/>
  <c r="E42" i="58"/>
  <c r="E26" i="60"/>
  <c r="AL53" i="65"/>
  <c r="AL39" i="64"/>
  <c r="E38" i="57"/>
  <c r="E17" i="60"/>
  <c r="E36" i="60"/>
  <c r="E25" i="61"/>
  <c r="AL15" i="63"/>
  <c r="AK61" i="63"/>
  <c r="E49" i="65"/>
  <c r="E41" i="65"/>
  <c r="E51" i="58"/>
  <c r="AK30" i="58"/>
  <c r="AK15" i="64"/>
  <c r="E8" i="63"/>
  <c r="AK14" i="61"/>
  <c r="AL43" i="63"/>
  <c r="E37" i="61"/>
  <c r="AK51" i="63"/>
  <c r="AL33" i="63"/>
  <c r="AK37" i="64"/>
  <c r="E19" i="57"/>
  <c r="E14" i="61"/>
  <c r="E9" i="61"/>
  <c r="AL42" i="64"/>
  <c r="AK19" i="64"/>
  <c r="AK19" i="61"/>
  <c r="AK21" i="63"/>
  <c r="E53" i="65"/>
  <c r="AL41" i="63"/>
  <c r="AL31" i="63"/>
  <c r="E9" i="65"/>
  <c r="AK26" i="65"/>
  <c r="E15" i="61"/>
  <c r="AL39" i="63"/>
  <c r="AL24" i="58"/>
  <c r="AK12" i="64"/>
  <c r="AK43" i="60"/>
  <c r="AL23" i="65"/>
  <c r="AL52" i="58"/>
  <c r="E40" i="61"/>
  <c r="AL13" i="65"/>
  <c r="AL20" i="64"/>
  <c r="E47" i="57"/>
  <c r="E50" i="63"/>
  <c r="E22" i="60"/>
  <c r="AK44" i="63"/>
  <c r="AK25" i="64"/>
  <c r="E53" i="60"/>
  <c r="E21" i="63"/>
  <c r="AL18" i="58"/>
  <c r="E34" i="58"/>
  <c r="AK20" i="61"/>
  <c r="E56" i="60"/>
  <c r="E29" i="61"/>
  <c r="E27" i="57"/>
  <c r="AL9" i="65"/>
  <c r="E46" i="64"/>
  <c r="E13" i="64"/>
  <c r="AL37" i="58"/>
  <c r="E22" i="58"/>
  <c r="AL19" i="64"/>
  <c r="AL19" i="61"/>
  <c r="E39" i="65"/>
  <c r="AL8" i="65"/>
  <c r="AK44" i="57"/>
  <c r="AK15" i="57"/>
  <c r="AL18" i="64"/>
  <c r="AL36" i="57"/>
  <c r="AK39" i="63"/>
  <c r="AK24" i="58"/>
  <c r="AL12" i="64"/>
  <c r="E46" i="57"/>
  <c r="AK40" i="60"/>
  <c r="AK35" i="64"/>
  <c r="AL34" i="57"/>
  <c r="AK30" i="61"/>
  <c r="AL55" i="57"/>
  <c r="AL48" i="60"/>
  <c r="E36" i="65"/>
  <c r="E20" i="57"/>
  <c r="AK32" i="60"/>
  <c r="AK47" i="58"/>
  <c r="AL37" i="61"/>
  <c r="AK28" i="63"/>
  <c r="AL39" i="57"/>
  <c r="E54" i="64"/>
  <c r="AL53" i="60"/>
  <c r="AK42" i="57"/>
  <c r="E47" i="58"/>
  <c r="AL28" i="61"/>
  <c r="E9" i="64"/>
  <c r="AK7" i="64"/>
  <c r="AL51" i="58"/>
  <c r="AL55" i="60"/>
  <c r="AK16" i="64"/>
  <c r="AK37" i="61"/>
  <c r="AL28" i="63"/>
  <c r="E52" i="60"/>
  <c r="AK34" i="61"/>
  <c r="E62" i="63"/>
  <c r="E50" i="65"/>
  <c r="AK27" i="61"/>
  <c r="AL11" i="65"/>
  <c r="AL38" i="61"/>
  <c r="AL31" i="64"/>
  <c r="E23" i="65"/>
  <c r="AK45" i="64"/>
  <c r="E32" i="57"/>
  <c r="AL53" i="61"/>
  <c r="AL15" i="58"/>
  <c r="E12" i="63"/>
  <c r="AL22" i="57"/>
  <c r="AK27" i="58"/>
  <c r="AL30" i="64"/>
  <c r="E52" i="61"/>
  <c r="E16" i="57"/>
  <c r="E30" i="64"/>
  <c r="AK34" i="65"/>
  <c r="AK28" i="61"/>
  <c r="E36" i="58"/>
  <c r="AL7" i="64"/>
  <c r="E38" i="58"/>
  <c r="AK55" i="60"/>
  <c r="AK33" i="58"/>
  <c r="AL34" i="63"/>
  <c r="AL12" i="60"/>
  <c r="E31" i="64"/>
  <c r="AL24" i="63"/>
  <c r="AK14" i="60"/>
  <c r="AL20" i="60"/>
  <c r="E21" i="65"/>
  <c r="E14" i="57"/>
  <c r="AK38" i="58"/>
  <c r="AL31" i="65"/>
  <c r="AL44" i="65"/>
  <c r="E55" i="57"/>
  <c r="AK47" i="57"/>
  <c r="AL49" i="57"/>
  <c r="AK27" i="60"/>
  <c r="AL7" i="58"/>
  <c r="AL13" i="58"/>
  <c r="E42" i="61"/>
  <c r="AL52" i="57"/>
  <c r="AK19" i="60"/>
  <c r="AL50" i="63"/>
  <c r="E39" i="57"/>
  <c r="E49" i="60"/>
  <c r="AK31" i="61"/>
  <c r="AK29" i="64"/>
  <c r="AK46" i="63"/>
  <c r="E8" i="60"/>
  <c r="AL16" i="61"/>
  <c r="E45" i="63"/>
  <c r="AK34" i="58"/>
  <c r="AK14" i="58"/>
  <c r="AL52" i="60"/>
  <c r="AL26" i="65"/>
  <c r="AL28" i="57"/>
  <c r="AL27" i="57"/>
  <c r="AK34" i="64"/>
  <c r="AK33" i="57"/>
  <c r="AL33" i="60"/>
  <c r="AK13" i="65"/>
  <c r="AK50" i="58"/>
  <c r="E32" i="61"/>
  <c r="AL21" i="63"/>
  <c r="AK46" i="65"/>
  <c r="AL45" i="64"/>
  <c r="AL7" i="61"/>
  <c r="AK31" i="58"/>
  <c r="AK36" i="61"/>
  <c r="E7" i="65"/>
  <c r="AL10" i="63"/>
  <c r="E23" i="61"/>
  <c r="AK48" i="58"/>
  <c r="AL21" i="60"/>
  <c r="E31" i="65"/>
  <c r="AK43" i="65"/>
  <c r="AK16" i="63"/>
  <c r="AL28" i="58"/>
  <c r="AK15" i="58"/>
  <c r="AL62" i="57"/>
  <c r="AL27" i="58"/>
  <c r="AK10" i="63"/>
  <c r="AK23" i="58"/>
  <c r="E31" i="58"/>
  <c r="AL55" i="58"/>
  <c r="AK37" i="58"/>
  <c r="AK38" i="61"/>
  <c r="E38" i="60"/>
  <c r="AK49" i="58"/>
  <c r="AL33" i="64"/>
  <c r="AL10" i="60"/>
  <c r="AK9" i="63"/>
  <c r="AL10" i="58"/>
  <c r="AL12" i="65"/>
  <c r="AK37" i="60"/>
  <c r="E29" i="63"/>
  <c r="E25" i="57"/>
  <c r="AL18" i="63"/>
  <c r="AK29" i="58"/>
  <c r="E9" i="57"/>
  <c r="AK61" i="57"/>
  <c r="E19" i="64"/>
  <c r="E55" i="63"/>
  <c r="AK18" i="57"/>
  <c r="E20" i="61"/>
  <c r="AL21" i="58"/>
  <c r="E39" i="58"/>
  <c r="AL27" i="61"/>
  <c r="AL44" i="61"/>
  <c r="AK9" i="57"/>
  <c r="E55" i="65"/>
  <c r="AL13" i="60"/>
  <c r="E15" i="58"/>
  <c r="E41" i="58"/>
  <c r="AL49" i="60"/>
  <c r="E41" i="57"/>
  <c r="E15" i="60"/>
  <c r="AK25" i="60"/>
  <c r="AK30" i="60"/>
  <c r="AL11" i="57"/>
  <c r="E14" i="64"/>
  <c r="AL36" i="58"/>
  <c r="AK25" i="63"/>
  <c r="E52" i="65"/>
  <c r="AK55" i="65"/>
  <c r="E47" i="61"/>
  <c r="E27" i="60"/>
  <c r="E7" i="57"/>
  <c r="E20" i="64"/>
  <c r="AK39" i="60"/>
  <c r="E36" i="64"/>
  <c r="AK14" i="63"/>
  <c r="E49" i="63"/>
  <c r="AK13" i="61"/>
  <c r="AL11" i="64"/>
  <c r="E31" i="57"/>
  <c r="E61" i="60"/>
  <c r="AK49" i="63"/>
  <c r="AK55" i="57"/>
  <c r="E34" i="65"/>
  <c r="AL32" i="60"/>
  <c r="AL14" i="61"/>
  <c r="AL7" i="63"/>
  <c r="AK33" i="63"/>
  <c r="AL51" i="61"/>
  <c r="AK17" i="58"/>
  <c r="AL50" i="61"/>
  <c r="E30" i="57"/>
  <c r="AL16" i="63"/>
  <c r="AL54" i="65"/>
  <c r="AL42" i="60"/>
  <c r="AL43" i="60"/>
  <c r="AK20" i="64"/>
  <c r="AL10" i="57"/>
  <c r="AL10" i="61"/>
  <c r="AK51" i="58"/>
  <c r="AL29" i="57"/>
  <c r="E30" i="60"/>
  <c r="AK48" i="57"/>
  <c r="AK34" i="57"/>
  <c r="AL62" i="58"/>
  <c r="AL54" i="63"/>
  <c r="AL32" i="61"/>
  <c r="AK23" i="61"/>
  <c r="E54" i="58"/>
  <c r="AL14" i="60"/>
  <c r="E8" i="65"/>
  <c r="E61" i="64"/>
  <c r="AL14" i="58"/>
  <c r="AL47" i="63"/>
  <c r="E50" i="57"/>
  <c r="AL46" i="58"/>
  <c r="AK10" i="58"/>
  <c r="AK53" i="60"/>
  <c r="AK11" i="61"/>
  <c r="AK37" i="63"/>
  <c r="AK53" i="58"/>
  <c r="E18" i="65"/>
  <c r="E40" i="63"/>
  <c r="AL34" i="61"/>
  <c r="E50" i="58"/>
  <c r="E35" i="58"/>
  <c r="AK41" i="60"/>
  <c r="E44" i="64"/>
  <c r="AK53" i="61"/>
  <c r="AL18" i="61"/>
  <c r="E33" i="63"/>
  <c r="AK50" i="60"/>
  <c r="AL25" i="61"/>
  <c r="AK52" i="63"/>
  <c r="E61" i="61"/>
  <c r="AL37" i="57"/>
  <c r="AL32" i="64"/>
  <c r="AL46" i="63"/>
  <c r="AL35" i="63"/>
  <c r="AK28" i="60"/>
  <c r="E17" i="63"/>
  <c r="E27" i="64"/>
  <c r="E40" i="64"/>
  <c r="E46" i="65"/>
  <c r="E13" i="58"/>
  <c r="AL14" i="65"/>
  <c r="AL23" i="58"/>
  <c r="E57" i="58"/>
  <c r="AK23" i="57"/>
  <c r="AK7" i="61"/>
  <c r="AK21" i="64"/>
  <c r="AL33" i="61"/>
  <c r="E20" i="58"/>
  <c r="E19" i="58"/>
  <c r="AL29" i="58"/>
  <c r="AK20" i="58"/>
  <c r="AL9" i="58"/>
  <c r="AK46" i="58"/>
  <c r="E22" i="65"/>
  <c r="E42" i="63"/>
  <c r="E12" i="57"/>
  <c r="E38" i="64"/>
  <c r="AK46" i="60"/>
  <c r="E12" i="58"/>
  <c r="AK20" i="57"/>
  <c r="AK10" i="60"/>
  <c r="E26" i="65"/>
  <c r="AK53" i="63"/>
  <c r="AK19" i="65"/>
  <c r="E20" i="65"/>
  <c r="AK29" i="61"/>
  <c r="AL48" i="63"/>
  <c r="AK13" i="63"/>
  <c r="AL19" i="60"/>
  <c r="E10" i="60"/>
  <c r="AK35" i="63"/>
  <c r="AL7" i="65"/>
  <c r="AK43" i="64"/>
  <c r="E11" i="58"/>
  <c r="AL18" i="57"/>
  <c r="E28" i="64"/>
  <c r="AL42" i="61"/>
  <c r="E35" i="65"/>
  <c r="AL42" i="63"/>
  <c r="AK11" i="60"/>
  <c r="E31" i="63"/>
  <c r="E49" i="58"/>
  <c r="E10" i="58"/>
  <c r="AK39" i="61"/>
  <c r="AL25" i="63"/>
  <c r="E12" i="64"/>
  <c r="E33" i="65"/>
  <c r="AK12" i="65"/>
  <c r="E7" i="63"/>
  <c r="AL44" i="57"/>
  <c r="AL14" i="63"/>
  <c r="AK13" i="57"/>
  <c r="E23" i="57"/>
  <c r="E31" i="60"/>
  <c r="AL45" i="57"/>
  <c r="E16" i="65"/>
  <c r="AK33" i="64"/>
  <c r="E13" i="57"/>
  <c r="AL43" i="64"/>
  <c r="AL41" i="60"/>
  <c r="AK18" i="61"/>
  <c r="AL15" i="65"/>
  <c r="E46" i="61"/>
  <c r="E30" i="61"/>
  <c r="AK14" i="57"/>
  <c r="AK8" i="60"/>
  <c r="AL40" i="58"/>
  <c r="AK27" i="57"/>
  <c r="AL28" i="65"/>
  <c r="AK16" i="57"/>
  <c r="E40" i="65"/>
  <c r="E35" i="63"/>
  <c r="AL17" i="57"/>
  <c r="E52" i="64"/>
  <c r="AL57" i="58"/>
  <c r="AK42" i="65"/>
  <c r="AL33" i="65"/>
  <c r="AL20" i="61"/>
  <c r="AK53" i="64"/>
  <c r="AK10" i="65"/>
  <c r="AK36" i="57"/>
  <c r="AK41" i="64"/>
  <c r="AK16" i="60"/>
  <c r="AL35" i="58"/>
  <c r="E54" i="61"/>
  <c r="AL48" i="57"/>
  <c r="E26" i="61"/>
  <c r="E15" i="63"/>
  <c r="AK47" i="65"/>
  <c r="AK25" i="65"/>
  <c r="AK18" i="58"/>
  <c r="E24" i="64"/>
  <c r="AK43" i="57"/>
  <c r="E28" i="63"/>
  <c r="E16" i="64"/>
  <c r="E19" i="61"/>
  <c r="AK8" i="58"/>
  <c r="AK61" i="58"/>
  <c r="AL50" i="57"/>
  <c r="AK32" i="57"/>
  <c r="E13" i="61"/>
  <c r="AL41" i="64"/>
  <c r="E21" i="58"/>
  <c r="AL18" i="60"/>
  <c r="AK43" i="58"/>
  <c r="AK22" i="57"/>
  <c r="E48" i="57"/>
  <c r="AK12" i="61"/>
  <c r="AL61" i="61"/>
  <c r="AL29" i="65"/>
  <c r="AL39" i="61"/>
  <c r="E24" i="63"/>
  <c r="AK22" i="64"/>
  <c r="AL53" i="63"/>
  <c r="AK56" i="57"/>
  <c r="E61" i="57"/>
  <c r="AK46" i="64"/>
  <c r="AL15" i="60"/>
  <c r="E23" i="64"/>
  <c r="E15" i="64"/>
  <c r="E38" i="65"/>
  <c r="AL50" i="60"/>
  <c r="AK47" i="60"/>
  <c r="E51" i="57"/>
  <c r="E37" i="57"/>
  <c r="AL45" i="61"/>
  <c r="E39" i="63"/>
  <c r="E62" i="65"/>
  <c r="AK26" i="61"/>
  <c r="E26" i="64"/>
  <c r="AL56" i="57"/>
  <c r="E51" i="61"/>
  <c r="E41" i="63"/>
  <c r="AL39" i="58"/>
  <c r="E20" i="60"/>
  <c r="AK44" i="58"/>
  <c r="E35" i="61"/>
  <c r="AL26" i="58"/>
  <c r="AK7" i="63"/>
  <c r="AK51" i="61"/>
  <c r="AL30" i="57"/>
  <c r="AL40" i="64"/>
  <c r="E29" i="58"/>
  <c r="E46" i="63"/>
  <c r="AL62" i="64"/>
  <c r="AL27" i="60"/>
  <c r="AL47" i="65"/>
  <c r="AL40" i="60"/>
  <c r="AL62" i="65"/>
  <c r="E24" i="57"/>
  <c r="AK10" i="57"/>
  <c r="AK10" i="61"/>
  <c r="E25" i="58"/>
  <c r="E29" i="64"/>
  <c r="E11" i="64"/>
  <c r="AK54" i="61"/>
  <c r="AK39" i="65"/>
  <c r="E19" i="60"/>
  <c r="AK30" i="57"/>
  <c r="AK40" i="64"/>
  <c r="AK41" i="63"/>
  <c r="AL49" i="58"/>
  <c r="E47" i="60"/>
  <c r="AL10" i="64"/>
  <c r="AK11" i="64"/>
  <c r="E34" i="63"/>
  <c r="AK52" i="61"/>
  <c r="E33" i="58"/>
  <c r="AK40" i="61"/>
  <c r="AL16" i="64"/>
  <c r="AK32" i="63"/>
  <c r="E28" i="57"/>
  <c r="AL8" i="58"/>
  <c r="AL25" i="65"/>
  <c r="AL52" i="65"/>
  <c r="AL61" i="58"/>
  <c r="AK34" i="63"/>
  <c r="AK39" i="57"/>
  <c r="AK50" i="65"/>
  <c r="E45" i="57"/>
  <c r="AK30" i="65"/>
  <c r="AL55" i="64"/>
  <c r="AK27" i="63"/>
  <c r="E40" i="60"/>
  <c r="AL12" i="57"/>
  <c r="E37" i="65"/>
  <c r="E52" i="58"/>
  <c r="AK25" i="58"/>
  <c r="AL43" i="57"/>
  <c r="E35" i="64"/>
  <c r="AL52" i="64"/>
  <c r="AK36" i="60"/>
  <c r="AK18" i="60"/>
  <c r="AK47" i="64"/>
  <c r="AL22" i="58"/>
  <c r="AL31" i="61"/>
  <c r="AL13" i="63"/>
  <c r="AL41" i="61"/>
  <c r="E30" i="58"/>
  <c r="AK51" i="57"/>
  <c r="E45" i="65"/>
  <c r="E23" i="63"/>
  <c r="AK32" i="64"/>
  <c r="AK31" i="63"/>
  <c r="AK51" i="60"/>
  <c r="AK24" i="57"/>
  <c r="AK27" i="65"/>
  <c r="AL36" i="61"/>
  <c r="E10" i="63"/>
  <c r="AL32" i="57"/>
  <c r="AL30" i="65"/>
  <c r="AK9" i="64"/>
  <c r="AL34" i="60"/>
  <c r="E62" i="61"/>
  <c r="E53" i="64"/>
  <c r="AK22" i="60"/>
  <c r="E50" i="64"/>
  <c r="AL45" i="65"/>
  <c r="AK14" i="64"/>
  <c r="AK62" i="65"/>
  <c r="AK44" i="65"/>
  <c r="E16" i="58"/>
  <c r="AK50" i="63"/>
  <c r="AK62" i="60"/>
  <c r="AK33" i="60"/>
  <c r="AL11" i="63"/>
  <c r="AL26" i="64"/>
  <c r="AK21" i="60"/>
  <c r="AL31" i="57"/>
  <c r="AK9" i="65"/>
  <c r="E47" i="63"/>
  <c r="AL54" i="57"/>
  <c r="E44" i="61"/>
  <c r="AL47" i="60"/>
  <c r="AK48" i="61"/>
  <c r="AL33" i="58"/>
  <c r="AK20" i="60"/>
  <c r="AL22" i="64"/>
  <c r="E53" i="61"/>
  <c r="AL7" i="60"/>
  <c r="E18" i="63"/>
  <c r="AL38" i="60"/>
  <c r="AL20" i="63"/>
  <c r="E39" i="64"/>
  <c r="AL23" i="57"/>
  <c r="E26" i="63"/>
  <c r="AL20" i="58"/>
  <c r="AK50" i="61"/>
  <c r="AL18" i="65"/>
  <c r="AK15" i="60"/>
  <c r="AK49" i="57"/>
  <c r="AL35" i="60"/>
  <c r="AL34" i="65"/>
  <c r="AL55" i="63"/>
  <c r="AK27" i="64"/>
  <c r="AK16" i="58"/>
  <c r="AK8" i="63"/>
  <c r="AL53" i="57"/>
  <c r="E55" i="61"/>
  <c r="AL49" i="65"/>
  <c r="AL30" i="58"/>
  <c r="E43" i="57"/>
  <c r="E17" i="65"/>
  <c r="AL30" i="60"/>
  <c r="AK43" i="61"/>
  <c r="AL17" i="63"/>
  <c r="AL22" i="63"/>
  <c r="AK38" i="63"/>
  <c r="E10" i="65"/>
  <c r="AK28" i="64"/>
  <c r="AK8" i="65"/>
  <c r="AL15" i="57"/>
  <c r="AL9" i="64"/>
  <c r="AK42" i="60"/>
  <c r="AL22" i="60"/>
  <c r="E48" i="63"/>
  <c r="AK38" i="65"/>
  <c r="AK36" i="65"/>
  <c r="E14" i="65"/>
  <c r="AL43" i="61"/>
  <c r="AL40" i="61"/>
  <c r="AL47" i="58"/>
  <c r="AK43" i="63"/>
  <c r="AL51" i="63"/>
  <c r="AL37" i="64"/>
  <c r="AL38" i="58"/>
  <c r="AK54" i="60"/>
  <c r="AL24" i="57"/>
  <c r="AL8" i="61"/>
  <c r="AL61" i="57"/>
  <c r="AL21" i="61"/>
  <c r="AL13" i="61"/>
  <c r="AL32" i="65"/>
  <c r="AK13" i="64"/>
  <c r="AK35" i="58"/>
  <c r="AK54" i="57"/>
  <c r="AK32" i="61"/>
  <c r="AL23" i="61"/>
  <c r="AL54" i="61"/>
  <c r="AL35" i="64"/>
  <c r="AL52" i="61"/>
  <c r="AL37" i="63"/>
  <c r="E8" i="57"/>
  <c r="AK45" i="63"/>
  <c r="AK48" i="64"/>
  <c r="AK23" i="60"/>
  <c r="AK37" i="57"/>
  <c r="E47" i="64"/>
  <c r="E24" i="61"/>
  <c r="E57" i="57"/>
  <c r="AK15" i="65"/>
  <c r="AL35" i="65"/>
  <c r="AK13" i="58"/>
  <c r="AL33" i="57"/>
  <c r="AL36" i="64"/>
  <c r="AK62" i="58"/>
  <c r="AK54" i="63"/>
  <c r="E13" i="60"/>
  <c r="E21" i="64"/>
  <c r="E22" i="64"/>
  <c r="AK40" i="65"/>
  <c r="E38" i="61"/>
  <c r="E42" i="57"/>
  <c r="E61" i="63"/>
  <c r="E22" i="63"/>
  <c r="AL41" i="57"/>
  <c r="AK42" i="63"/>
  <c r="AK54" i="64"/>
  <c r="E27" i="65"/>
  <c r="AK26" i="60"/>
  <c r="AL10" i="65"/>
  <c r="AK47" i="63"/>
  <c r="AL54" i="60"/>
  <c r="AK31" i="64"/>
  <c r="AL27" i="63"/>
  <c r="AK42" i="61"/>
  <c r="AK7" i="65"/>
  <c r="AK17" i="60"/>
  <c r="AL53" i="64"/>
  <c r="E28" i="61"/>
  <c r="AK15" i="61"/>
  <c r="AK29" i="65"/>
  <c r="E29" i="65"/>
  <c r="E54" i="60"/>
  <c r="AL24" i="64"/>
  <c r="AK20" i="63"/>
  <c r="AK9" i="58"/>
  <c r="AK12" i="57"/>
  <c r="E61" i="65"/>
  <c r="AK61" i="61"/>
  <c r="AK45" i="57"/>
  <c r="AL19" i="63"/>
  <c r="E17" i="58"/>
  <c r="AL21" i="64"/>
  <c r="E33" i="61"/>
  <c r="E25" i="63"/>
  <c r="AK21" i="58"/>
  <c r="E12" i="65"/>
  <c r="E48" i="64"/>
  <c r="E30" i="63"/>
  <c r="AK28" i="65"/>
  <c r="E13" i="63"/>
  <c r="AL9" i="60"/>
  <c r="AL57" i="57"/>
  <c r="AL37" i="60"/>
  <c r="AL40" i="65"/>
  <c r="AK11" i="65"/>
  <c r="AL51" i="64"/>
  <c r="E44" i="65"/>
  <c r="AK21" i="61"/>
  <c r="E61" i="58"/>
  <c r="AK32" i="65"/>
  <c r="AL9" i="61"/>
  <c r="E14" i="60"/>
  <c r="AL47" i="57"/>
  <c r="AK10" i="64"/>
  <c r="AK52" i="57"/>
  <c r="AL61" i="60"/>
  <c r="AK30" i="64"/>
  <c r="AK41" i="61"/>
  <c r="E10" i="57"/>
  <c r="AL16" i="65"/>
  <c r="AL17" i="60"/>
  <c r="E42" i="64"/>
  <c r="E43" i="65"/>
  <c r="AK26" i="58"/>
  <c r="E8" i="61"/>
  <c r="E53" i="58"/>
  <c r="E46" i="60"/>
  <c r="AK9" i="60"/>
  <c r="AK40" i="58"/>
  <c r="AL13" i="64"/>
  <c r="AL31" i="60"/>
  <c r="E23" i="60"/>
  <c r="AL51" i="60"/>
  <c r="AL43" i="65"/>
  <c r="AK62" i="64"/>
  <c r="AL8" i="60"/>
  <c r="AL42" i="57"/>
  <c r="AK61" i="64"/>
  <c r="E18" i="61"/>
  <c r="AL25" i="58"/>
  <c r="E29" i="57"/>
  <c r="AK24" i="63"/>
  <c r="AK51" i="64"/>
  <c r="AK44" i="60"/>
  <c r="AL34" i="64"/>
  <c r="AK19" i="57"/>
  <c r="AK52" i="65"/>
  <c r="AK41" i="58"/>
  <c r="AL50" i="58"/>
  <c r="E45" i="58"/>
  <c r="AK48" i="63"/>
  <c r="E33" i="64"/>
  <c r="E11" i="65"/>
  <c r="AL31" i="58"/>
  <c r="AK52" i="58"/>
  <c r="AK8" i="57"/>
  <c r="AK28" i="58"/>
  <c r="AL40" i="63"/>
  <c r="E24" i="60"/>
  <c r="AK34" i="60"/>
  <c r="E37" i="64"/>
  <c r="AK62" i="57"/>
  <c r="AL19" i="65"/>
  <c r="E55" i="64"/>
  <c r="AL13" i="57"/>
  <c r="AL14" i="57"/>
  <c r="E14" i="63"/>
  <c r="AL16" i="60"/>
  <c r="E41" i="61"/>
  <c r="AL20" i="57"/>
  <c r="E56" i="58"/>
  <c r="AL46" i="64"/>
  <c r="AK48" i="65"/>
  <c r="U14" i="66" l="1"/>
  <c r="U5" i="66" s="1"/>
  <c r="V9" i="66"/>
  <c r="O14" i="66"/>
  <c r="O5" i="66" s="1"/>
  <c r="AA10" i="66"/>
  <c r="V12" i="66"/>
  <c r="AA12" i="66"/>
  <c r="AA9" i="66"/>
  <c r="R14" i="66"/>
  <c r="AA8" i="66"/>
  <c r="AM48" i="65"/>
  <c r="AG17" i="60"/>
  <c r="AH17" i="60"/>
  <c r="AG16" i="65"/>
  <c r="AH16" i="65"/>
  <c r="AM16" i="57"/>
  <c r="AM11" i="60"/>
  <c r="AH35" i="60"/>
  <c r="AG35" i="60"/>
  <c r="AM33" i="60"/>
  <c r="AH42" i="63"/>
  <c r="AG42" i="63"/>
  <c r="AG46" i="64"/>
  <c r="AH46" i="64"/>
  <c r="AM41" i="61"/>
  <c r="AH28" i="65"/>
  <c r="AG28" i="65"/>
  <c r="AM47" i="60"/>
  <c r="AM30" i="64"/>
  <c r="AM27" i="57"/>
  <c r="AH42" i="61"/>
  <c r="AG42" i="61"/>
  <c r="AM49" i="57"/>
  <c r="AH61" i="60"/>
  <c r="AG61" i="60"/>
  <c r="AM62" i="60"/>
  <c r="AG50" i="60"/>
  <c r="AH50" i="60"/>
  <c r="AM52" i="57"/>
  <c r="AG40" i="58"/>
  <c r="AH40" i="58"/>
  <c r="AH18" i="57"/>
  <c r="AG18" i="57"/>
  <c r="AM10" i="64"/>
  <c r="AM8" i="60"/>
  <c r="AG20" i="57"/>
  <c r="AH20" i="57"/>
  <c r="AG47" i="57"/>
  <c r="AH47" i="57"/>
  <c r="AM50" i="63"/>
  <c r="AM43" i="64"/>
  <c r="AM15" i="60"/>
  <c r="AM14" i="57"/>
  <c r="AG7" i="65"/>
  <c r="AH7" i="65"/>
  <c r="AG9" i="61"/>
  <c r="AH9" i="61"/>
  <c r="AM35" i="63"/>
  <c r="AM32" i="65"/>
  <c r="AH19" i="60"/>
  <c r="AG19" i="60"/>
  <c r="AG18" i="65"/>
  <c r="AH18" i="65"/>
  <c r="AM21" i="61"/>
  <c r="AG15" i="65"/>
  <c r="AH15" i="65"/>
  <c r="AM13" i="63"/>
  <c r="AH16" i="60"/>
  <c r="AG16" i="60"/>
  <c r="AM18" i="61"/>
  <c r="AH48" i="63"/>
  <c r="AG48" i="63"/>
  <c r="AM9" i="57"/>
  <c r="AG51" i="64"/>
  <c r="AH51" i="64"/>
  <c r="AM44" i="65"/>
  <c r="AM29" i="61"/>
  <c r="AH44" i="61"/>
  <c r="AG44" i="61"/>
  <c r="AM50" i="61"/>
  <c r="AM11" i="65"/>
  <c r="AH41" i="60"/>
  <c r="AG41" i="60"/>
  <c r="AH27" i="61"/>
  <c r="AG27" i="61"/>
  <c r="AH40" i="65"/>
  <c r="AG40" i="65"/>
  <c r="AH43" i="64"/>
  <c r="AG43" i="64"/>
  <c r="AM19" i="65"/>
  <c r="AH15" i="60"/>
  <c r="AG15" i="60"/>
  <c r="AH21" i="58"/>
  <c r="AG21" i="58"/>
  <c r="AH37" i="60"/>
  <c r="AG37" i="60"/>
  <c r="AM62" i="65"/>
  <c r="AM53" i="63"/>
  <c r="AH14" i="57"/>
  <c r="AG14" i="57"/>
  <c r="AH57" i="57"/>
  <c r="AG57" i="57"/>
  <c r="AM18" i="57"/>
  <c r="AM46" i="64"/>
  <c r="AH9" i="60"/>
  <c r="AG9" i="60"/>
  <c r="AM14" i="64"/>
  <c r="AM10" i="60"/>
  <c r="AH13" i="57"/>
  <c r="AG13" i="57"/>
  <c r="AM33" i="64"/>
  <c r="AM20" i="57"/>
  <c r="AM61" i="57"/>
  <c r="AH20" i="58"/>
  <c r="AG20" i="58"/>
  <c r="AM28" i="65"/>
  <c r="AM29" i="58"/>
  <c r="AG45" i="65"/>
  <c r="AH45" i="65"/>
  <c r="AM46" i="60"/>
  <c r="AH18" i="63"/>
  <c r="AG18" i="63"/>
  <c r="AG45" i="57"/>
  <c r="AH45" i="57"/>
  <c r="AM56" i="57"/>
  <c r="AG19" i="65"/>
  <c r="AH19" i="65"/>
  <c r="AM21" i="58"/>
  <c r="AM37" i="60"/>
  <c r="AH53" i="63"/>
  <c r="AG53" i="63"/>
  <c r="AH12" i="65"/>
  <c r="AG12" i="65"/>
  <c r="AG10" i="58"/>
  <c r="AH10" i="58"/>
  <c r="AM22" i="60"/>
  <c r="AM9" i="63"/>
  <c r="AM46" i="58"/>
  <c r="AM62" i="57"/>
  <c r="AH21" i="64"/>
  <c r="AG21" i="64"/>
  <c r="AH10" i="60"/>
  <c r="AG10" i="60"/>
  <c r="AM13" i="57"/>
  <c r="AG9" i="58"/>
  <c r="AH9" i="58"/>
  <c r="AM22" i="64"/>
  <c r="AG33" i="64"/>
  <c r="AH33" i="64"/>
  <c r="AG14" i="63"/>
  <c r="AH14" i="63"/>
  <c r="AM20" i="58"/>
  <c r="AM49" i="58"/>
  <c r="AG19" i="63"/>
  <c r="AH19" i="63"/>
  <c r="AH44" i="57"/>
  <c r="AG44" i="57"/>
  <c r="AH29" i="58"/>
  <c r="AG29" i="58"/>
  <c r="AM45" i="65"/>
  <c r="AG23" i="57"/>
  <c r="AH23" i="57"/>
  <c r="AM38" i="61"/>
  <c r="AM45" i="57"/>
  <c r="AM37" i="58"/>
  <c r="AM56" i="58"/>
  <c r="AH55" i="58"/>
  <c r="AG55" i="58"/>
  <c r="AM61" i="61"/>
  <c r="AH48" i="58"/>
  <c r="AG48" i="58"/>
  <c r="O11" i="63"/>
  <c r="U11" i="63"/>
  <c r="R9" i="63"/>
  <c r="R10" i="63"/>
  <c r="O10" i="63"/>
  <c r="U9" i="63"/>
  <c r="V9" i="63" s="1"/>
  <c r="U12" i="63"/>
  <c r="R16" i="63" a="1"/>
  <c r="R16" i="63" s="1"/>
  <c r="O8" i="63"/>
  <c r="U10" i="63"/>
  <c r="V10" i="63" s="1"/>
  <c r="R13" i="63"/>
  <c r="R12" i="63"/>
  <c r="O13" i="63"/>
  <c r="U8" i="63"/>
  <c r="O9" i="63"/>
  <c r="O16" i="63" a="1"/>
  <c r="O16" i="63" s="1"/>
  <c r="U16" i="63" a="1"/>
  <c r="U16" i="63" s="1"/>
  <c r="U13" i="63"/>
  <c r="V13" i="63" s="1"/>
  <c r="O12" i="63"/>
  <c r="R8" i="63"/>
  <c r="R11" i="63"/>
  <c r="S11" i="63" s="1"/>
  <c r="AG38" i="65"/>
  <c r="AH38" i="65"/>
  <c r="AM34" i="60"/>
  <c r="AM23" i="58"/>
  <c r="AM40" i="63"/>
  <c r="AM12" i="65"/>
  <c r="AM10" i="63"/>
  <c r="AH33" i="61"/>
  <c r="AG33" i="61"/>
  <c r="AH39" i="61"/>
  <c r="AG39" i="61"/>
  <c r="AG27" i="58"/>
  <c r="AH27" i="58"/>
  <c r="AM12" i="57"/>
  <c r="AG9" i="63"/>
  <c r="AH9" i="63"/>
  <c r="AM21" i="64"/>
  <c r="AM35" i="65"/>
  <c r="AG29" i="65"/>
  <c r="AH29" i="65"/>
  <c r="AM15" i="58"/>
  <c r="AM9" i="58"/>
  <c r="AM54" i="65"/>
  <c r="AG28" i="58"/>
  <c r="AH28" i="58"/>
  <c r="AM7" i="61"/>
  <c r="AM16" i="63"/>
  <c r="AM20" i="63"/>
  <c r="AG36" i="63"/>
  <c r="AH36" i="63"/>
  <c r="AM43" i="65"/>
  <c r="AM23" i="57"/>
  <c r="AH28" i="64"/>
  <c r="AG28" i="64"/>
  <c r="AH24" i="64"/>
  <c r="AG24" i="64"/>
  <c r="AG25" i="63"/>
  <c r="AH25" i="63"/>
  <c r="AH21" i="60"/>
  <c r="AG21" i="60"/>
  <c r="AG61" i="61"/>
  <c r="AH61" i="61"/>
  <c r="AM48" i="58"/>
  <c r="AG34" i="60"/>
  <c r="AH34" i="60"/>
  <c r="AH23" i="58"/>
  <c r="AG23" i="58"/>
  <c r="AH40" i="63"/>
  <c r="AG40" i="63"/>
  <c r="AH10" i="63"/>
  <c r="AG10" i="63"/>
  <c r="AM39" i="61"/>
  <c r="U9" i="65"/>
  <c r="V9" i="65" s="1"/>
  <c r="U8" i="65"/>
  <c r="U10" i="65"/>
  <c r="V10" i="65" s="1"/>
  <c r="U11" i="65"/>
  <c r="R10" i="65"/>
  <c r="O16" i="65" a="1"/>
  <c r="O16" i="65" s="1"/>
  <c r="R12" i="65"/>
  <c r="U12" i="65"/>
  <c r="O11" i="65"/>
  <c r="O12" i="65"/>
  <c r="O13" i="65"/>
  <c r="P13" i="65" s="1"/>
  <c r="R13" i="65"/>
  <c r="U13" i="65"/>
  <c r="V13" i="65" s="1"/>
  <c r="O10" i="65"/>
  <c r="U16" i="65" a="1"/>
  <c r="U16" i="65" s="1"/>
  <c r="R8" i="65"/>
  <c r="O8" i="65"/>
  <c r="O9" i="65"/>
  <c r="R9" i="65"/>
  <c r="R11" i="65"/>
  <c r="S11" i="65" s="1"/>
  <c r="R16" i="65" a="1"/>
  <c r="R16" i="65" s="1"/>
  <c r="AG14" i="65"/>
  <c r="AH14" i="65"/>
  <c r="AM12" i="61"/>
  <c r="AM36" i="61"/>
  <c r="AM29" i="65"/>
  <c r="AM17" i="61"/>
  <c r="AM9" i="64"/>
  <c r="AM31" i="58"/>
  <c r="AM18" i="64"/>
  <c r="AM28" i="58"/>
  <c r="AH7" i="61"/>
  <c r="AG7" i="61"/>
  <c r="AM15" i="61"/>
  <c r="AG27" i="65"/>
  <c r="AH27" i="65"/>
  <c r="AG45" i="64"/>
  <c r="AH45" i="64"/>
  <c r="AG20" i="63"/>
  <c r="AH20" i="63"/>
  <c r="AM46" i="65"/>
  <c r="AH39" i="60"/>
  <c r="AG39" i="60"/>
  <c r="AG30" i="65"/>
  <c r="AH30" i="65"/>
  <c r="AG21" i="63"/>
  <c r="AH21" i="63"/>
  <c r="AM8" i="57"/>
  <c r="AG53" i="64"/>
  <c r="AH53" i="64"/>
  <c r="AM24" i="64"/>
  <c r="AG32" i="57"/>
  <c r="AH32" i="57"/>
  <c r="AM50" i="58"/>
  <c r="AM13" i="65"/>
  <c r="AM17" i="60"/>
  <c r="AG33" i="60"/>
  <c r="AH33" i="60"/>
  <c r="AM52" i="58"/>
  <c r="AM33" i="57"/>
  <c r="AM7" i="65"/>
  <c r="AM34" i="64"/>
  <c r="AM28" i="60"/>
  <c r="AM22" i="57"/>
  <c r="AH27" i="57"/>
  <c r="AG27" i="57"/>
  <c r="AM42" i="61"/>
  <c r="AG12" i="61"/>
  <c r="AH12" i="61"/>
  <c r="AH36" i="61"/>
  <c r="AG36" i="61"/>
  <c r="AH28" i="57"/>
  <c r="AG28" i="57"/>
  <c r="AH35" i="63"/>
  <c r="AG35" i="63"/>
  <c r="AG31" i="58"/>
  <c r="AH31" i="58"/>
  <c r="AG26" i="65"/>
  <c r="AH26" i="65"/>
  <c r="AG27" i="63"/>
  <c r="AH27" i="63"/>
  <c r="AG15" i="61"/>
  <c r="AH15" i="61"/>
  <c r="AM27" i="65"/>
  <c r="AH52" i="60"/>
  <c r="AG52" i="60"/>
  <c r="AH46" i="63"/>
  <c r="AG46" i="63"/>
  <c r="AM55" i="64"/>
  <c r="AG38" i="60"/>
  <c r="AH38" i="60"/>
  <c r="AM14" i="58"/>
  <c r="AM31" i="64"/>
  <c r="AH29" i="64"/>
  <c r="AG29" i="64"/>
  <c r="AM24" i="57"/>
  <c r="AM34" i="58"/>
  <c r="AG32" i="64"/>
  <c r="AH32" i="64"/>
  <c r="AH8" i="57"/>
  <c r="AG8" i="57"/>
  <c r="AM43" i="58"/>
  <c r="AG54" i="60"/>
  <c r="AH54" i="60"/>
  <c r="AM51" i="60"/>
  <c r="AH16" i="61"/>
  <c r="AG16" i="61"/>
  <c r="AH37" i="57"/>
  <c r="AG37" i="57"/>
  <c r="AG18" i="60"/>
  <c r="AH18" i="60"/>
  <c r="AM47" i="63"/>
  <c r="AM52" i="60"/>
  <c r="AM31" i="63"/>
  <c r="AM46" i="63"/>
  <c r="AM38" i="60"/>
  <c r="AM29" i="64"/>
  <c r="AH10" i="65"/>
  <c r="AG10" i="65"/>
  <c r="AH34" i="58"/>
  <c r="AG34" i="58"/>
  <c r="AM32" i="64"/>
  <c r="AM31" i="61"/>
  <c r="AM52" i="63"/>
  <c r="AM31" i="65"/>
  <c r="AM26" i="60"/>
  <c r="AM7" i="60"/>
  <c r="AH25" i="61"/>
  <c r="AG25" i="61"/>
  <c r="AM35" i="60"/>
  <c r="AG50" i="63"/>
  <c r="AH50" i="63"/>
  <c r="AG48" i="65"/>
  <c r="AH48" i="65"/>
  <c r="AM19" i="60"/>
  <c r="AM50" i="60"/>
  <c r="AM18" i="65"/>
  <c r="AH52" i="57"/>
  <c r="AG52" i="57"/>
  <c r="AM54" i="64"/>
  <c r="AM51" i="57"/>
  <c r="AH26" i="63"/>
  <c r="AG26" i="63"/>
  <c r="AG41" i="64"/>
  <c r="AH41" i="64"/>
  <c r="AG13" i="58"/>
  <c r="AH13" i="58"/>
  <c r="AM42" i="63"/>
  <c r="AM9" i="61"/>
  <c r="AH7" i="58"/>
  <c r="AG7" i="58"/>
  <c r="AH18" i="61"/>
  <c r="AG18" i="61"/>
  <c r="AM48" i="63"/>
  <c r="AM27" i="60"/>
  <c r="AG41" i="57"/>
  <c r="AH41" i="57"/>
  <c r="AG41" i="61"/>
  <c r="AH41" i="61"/>
  <c r="AH49" i="57"/>
  <c r="AG49" i="57"/>
  <c r="AM53" i="61"/>
  <c r="AM47" i="57"/>
  <c r="AG44" i="60"/>
  <c r="AH44" i="60"/>
  <c r="AH13" i="63"/>
  <c r="AG13" i="63"/>
  <c r="AG9" i="57"/>
  <c r="AH9" i="57"/>
  <c r="AH44" i="65"/>
  <c r="AG44" i="65"/>
  <c r="AM44" i="61"/>
  <c r="AG31" i="61"/>
  <c r="AH31" i="61"/>
  <c r="AH31" i="65"/>
  <c r="AG31" i="65"/>
  <c r="AM41" i="60"/>
  <c r="AH26" i="60"/>
  <c r="AG26" i="60"/>
  <c r="AH7" i="60"/>
  <c r="AG7" i="60"/>
  <c r="AM38" i="58"/>
  <c r="AG22" i="58"/>
  <c r="AH22" i="58"/>
  <c r="AM32" i="57"/>
  <c r="AM47" i="64"/>
  <c r="AG20" i="60"/>
  <c r="AH20" i="60"/>
  <c r="AH50" i="65"/>
  <c r="AG50" i="65"/>
  <c r="AG50" i="58"/>
  <c r="AH50" i="58"/>
  <c r="AM14" i="60"/>
  <c r="AM40" i="65"/>
  <c r="AM55" i="58"/>
  <c r="AM18" i="60"/>
  <c r="AG24" i="63"/>
  <c r="AH24" i="63"/>
  <c r="AG34" i="61"/>
  <c r="AH34" i="61"/>
  <c r="AG50" i="57"/>
  <c r="AH50" i="57"/>
  <c r="AM36" i="60"/>
  <c r="AH12" i="60"/>
  <c r="AG12" i="60"/>
  <c r="AH48" i="64"/>
  <c r="AG48" i="64"/>
  <c r="AM41" i="58"/>
  <c r="AH34" i="63"/>
  <c r="AG34" i="63"/>
  <c r="AG25" i="57"/>
  <c r="AH25" i="57"/>
  <c r="AH52" i="64"/>
  <c r="AG52" i="64"/>
  <c r="AM33" i="58"/>
  <c r="AG45" i="63"/>
  <c r="AH45" i="63"/>
  <c r="AM61" i="58"/>
  <c r="AM55" i="60"/>
  <c r="AM53" i="58"/>
  <c r="AM52" i="65"/>
  <c r="AG7" i="64"/>
  <c r="AH7" i="64"/>
  <c r="AM54" i="63"/>
  <c r="AM37" i="65"/>
  <c r="AG43" i="57"/>
  <c r="AH43" i="57"/>
  <c r="AM37" i="63"/>
  <c r="AM17" i="64"/>
  <c r="AM28" i="61"/>
  <c r="AM62" i="58"/>
  <c r="AM25" i="58"/>
  <c r="AM34" i="65"/>
  <c r="AM11" i="61"/>
  <c r="AM49" i="61"/>
  <c r="AM8" i="58"/>
  <c r="AG36" i="64"/>
  <c r="AH36" i="64"/>
  <c r="AM7" i="57"/>
  <c r="AM53" i="60"/>
  <c r="AM19" i="57"/>
  <c r="AH33" i="57"/>
  <c r="AG33" i="57"/>
  <c r="AM33" i="61"/>
  <c r="AG30" i="64"/>
  <c r="AH30" i="64"/>
  <c r="AM10" i="58"/>
  <c r="AM26" i="63"/>
  <c r="AH34" i="64"/>
  <c r="AG34" i="64"/>
  <c r="AM27" i="58"/>
  <c r="AM13" i="58"/>
  <c r="AH28" i="60"/>
  <c r="AG28" i="60"/>
  <c r="AG12" i="57"/>
  <c r="AH12" i="57"/>
  <c r="AH22" i="57"/>
  <c r="AG22" i="57"/>
  <c r="AH46" i="58"/>
  <c r="AG46" i="58"/>
  <c r="AM7" i="58"/>
  <c r="AG35" i="65"/>
  <c r="AH35" i="65"/>
  <c r="AM41" i="57"/>
  <c r="AH15" i="58"/>
  <c r="AG15" i="58"/>
  <c r="AG22" i="64"/>
  <c r="AH22" i="64"/>
  <c r="AH53" i="61"/>
  <c r="AG53" i="61"/>
  <c r="AM15" i="65"/>
  <c r="AG11" i="60"/>
  <c r="AH11" i="60"/>
  <c r="AM27" i="63"/>
  <c r="AH47" i="63"/>
  <c r="AG47" i="63"/>
  <c r="AM19" i="63"/>
  <c r="AM44" i="60"/>
  <c r="AM45" i="64"/>
  <c r="AH55" i="64"/>
  <c r="AG55" i="64"/>
  <c r="AG14" i="58"/>
  <c r="AH14" i="58"/>
  <c r="AM36" i="63"/>
  <c r="AM51" i="64"/>
  <c r="AG31" i="64"/>
  <c r="AH31" i="64"/>
  <c r="AH29" i="61"/>
  <c r="AG29" i="61"/>
  <c r="AM30" i="65"/>
  <c r="AH38" i="61"/>
  <c r="AG38" i="61"/>
  <c r="O11" i="60"/>
  <c r="U8" i="60"/>
  <c r="R11" i="60"/>
  <c r="O13" i="60"/>
  <c r="R10" i="60"/>
  <c r="O12" i="60"/>
  <c r="O10" i="60"/>
  <c r="AA10" i="60" s="1"/>
  <c r="R12" i="60"/>
  <c r="U9" i="60"/>
  <c r="V9" i="60" s="1"/>
  <c r="U10" i="60"/>
  <c r="R8" i="60"/>
  <c r="U12" i="60"/>
  <c r="R16" i="60" a="1"/>
  <c r="R16" i="60" s="1"/>
  <c r="R13" i="60"/>
  <c r="S13" i="60" s="1"/>
  <c r="U11" i="60"/>
  <c r="V11" i="60" s="1"/>
  <c r="U16" i="60" a="1"/>
  <c r="U16" i="60" s="1"/>
  <c r="O16" i="60" a="1"/>
  <c r="O16" i="60" s="1"/>
  <c r="R9" i="60"/>
  <c r="O9" i="60"/>
  <c r="AA9" i="60" s="1"/>
  <c r="O8" i="60"/>
  <c r="U13" i="60"/>
  <c r="V13" i="60" s="1"/>
  <c r="AH11" i="65"/>
  <c r="AG11" i="65"/>
  <c r="AM27" i="61"/>
  <c r="AH47" i="64"/>
  <c r="AG47" i="64"/>
  <c r="AM20" i="60"/>
  <c r="AM37" i="57"/>
  <c r="AM50" i="65"/>
  <c r="AH14" i="60"/>
  <c r="AG14" i="60"/>
  <c r="AM24" i="63"/>
  <c r="AM34" i="61"/>
  <c r="AM23" i="60"/>
  <c r="AH48" i="61"/>
  <c r="AG48" i="61"/>
  <c r="AM39" i="57"/>
  <c r="AG36" i="60"/>
  <c r="AH36" i="60"/>
  <c r="AH28" i="63"/>
  <c r="AG28" i="63"/>
  <c r="AM48" i="64"/>
  <c r="AM34" i="63"/>
  <c r="AM37" i="61"/>
  <c r="AM23" i="61"/>
  <c r="AM25" i="57"/>
  <c r="AG33" i="58"/>
  <c r="AH33" i="58"/>
  <c r="AM16" i="64"/>
  <c r="AM45" i="63"/>
  <c r="AM29" i="57"/>
  <c r="AH61" i="58"/>
  <c r="AG61" i="58"/>
  <c r="AG55" i="60"/>
  <c r="AH55" i="60"/>
  <c r="AH32" i="61"/>
  <c r="AG32" i="61"/>
  <c r="AM12" i="63"/>
  <c r="AG51" i="58"/>
  <c r="AH51" i="58"/>
  <c r="AH61" i="64"/>
  <c r="AG61" i="64"/>
  <c r="AH52" i="65"/>
  <c r="AG52" i="65"/>
  <c r="AM7" i="64"/>
  <c r="AH54" i="63"/>
  <c r="AG54" i="63"/>
  <c r="AH37" i="65"/>
  <c r="AG37" i="65"/>
  <c r="AM43" i="57"/>
  <c r="AH37" i="63"/>
  <c r="AG37" i="63"/>
  <c r="AG25" i="65"/>
  <c r="AH25" i="65"/>
  <c r="AH28" i="61"/>
  <c r="AG28" i="61"/>
  <c r="AG25" i="58"/>
  <c r="AH25" i="58"/>
  <c r="AG52" i="61"/>
  <c r="AH52" i="61"/>
  <c r="AG49" i="61"/>
  <c r="AH49" i="61"/>
  <c r="AH8" i="58"/>
  <c r="AG8" i="58"/>
  <c r="AM42" i="57"/>
  <c r="AM34" i="57"/>
  <c r="AH7" i="57"/>
  <c r="AG7" i="57"/>
  <c r="AG53" i="60"/>
  <c r="AH53" i="60"/>
  <c r="AG35" i="64"/>
  <c r="AH35" i="64"/>
  <c r="AG19" i="57"/>
  <c r="AH19" i="57"/>
  <c r="AM48" i="57"/>
  <c r="AG23" i="60"/>
  <c r="AH23" i="60"/>
  <c r="AM48" i="61"/>
  <c r="AH39" i="57"/>
  <c r="AG39" i="57"/>
  <c r="AH54" i="61"/>
  <c r="AG54" i="61"/>
  <c r="AM32" i="63"/>
  <c r="AM28" i="63"/>
  <c r="AM22" i="61"/>
  <c r="AG37" i="61"/>
  <c r="AH37" i="61"/>
  <c r="AG23" i="61"/>
  <c r="AH23" i="61"/>
  <c r="AM38" i="64"/>
  <c r="AG16" i="64"/>
  <c r="AH16" i="64"/>
  <c r="AM47" i="58"/>
  <c r="AH29" i="57"/>
  <c r="AG29" i="57"/>
  <c r="AM18" i="58"/>
  <c r="AM32" i="60"/>
  <c r="AM32" i="61"/>
  <c r="AH12" i="63"/>
  <c r="AG12" i="63"/>
  <c r="AM40" i="61"/>
  <c r="AM51" i="58"/>
  <c r="AM61" i="64"/>
  <c r="AM54" i="57"/>
  <c r="AG25" i="64"/>
  <c r="AH25" i="64"/>
  <c r="AG48" i="60"/>
  <c r="AH48" i="60"/>
  <c r="AG10" i="61"/>
  <c r="AH10" i="61"/>
  <c r="AM25" i="65"/>
  <c r="AH55" i="57"/>
  <c r="AG55" i="57"/>
  <c r="AM35" i="58"/>
  <c r="AM52" i="61"/>
  <c r="AM30" i="61"/>
  <c r="AH10" i="57"/>
  <c r="AG10" i="57"/>
  <c r="AG42" i="57"/>
  <c r="AH42" i="57"/>
  <c r="AG34" i="57"/>
  <c r="AH34" i="57"/>
  <c r="AM13" i="64"/>
  <c r="AG36" i="65"/>
  <c r="AH36" i="65"/>
  <c r="AM35" i="64"/>
  <c r="AM20" i="64"/>
  <c r="AM57" i="57"/>
  <c r="AG47" i="60"/>
  <c r="AH47" i="60"/>
  <c r="AM40" i="60"/>
  <c r="AG32" i="65"/>
  <c r="AH32" i="65"/>
  <c r="AM23" i="65"/>
  <c r="AM11" i="64"/>
  <c r="AH43" i="60"/>
  <c r="AG43" i="60"/>
  <c r="AM47" i="65"/>
  <c r="AH12" i="64"/>
  <c r="AG12" i="64"/>
  <c r="AG13" i="61"/>
  <c r="AH13" i="61"/>
  <c r="AG10" i="64"/>
  <c r="AH10" i="64"/>
  <c r="AM24" i="58"/>
  <c r="AH42" i="60"/>
  <c r="AG42" i="60"/>
  <c r="AM16" i="65"/>
  <c r="AG8" i="60"/>
  <c r="AH8" i="60"/>
  <c r="AM39" i="63"/>
  <c r="AH21" i="61"/>
  <c r="AG21" i="61"/>
  <c r="AM28" i="57"/>
  <c r="AG36" i="57"/>
  <c r="AH36" i="57"/>
  <c r="AG54" i="65"/>
  <c r="AH54" i="65"/>
  <c r="AG16" i="57"/>
  <c r="AH16" i="57"/>
  <c r="AM62" i="64"/>
  <c r="AH18" i="64"/>
  <c r="AG18" i="64"/>
  <c r="AG61" i="57"/>
  <c r="AH61" i="57"/>
  <c r="AG49" i="58"/>
  <c r="AH49" i="58"/>
  <c r="AM15" i="57"/>
  <c r="AH16" i="63"/>
  <c r="AG16" i="63"/>
  <c r="AM61" i="60"/>
  <c r="AM44" i="57"/>
  <c r="AG8" i="61"/>
  <c r="AH8" i="61"/>
  <c r="AM41" i="63"/>
  <c r="AG8" i="65"/>
  <c r="AH8" i="65"/>
  <c r="AG43" i="65"/>
  <c r="AH43" i="65"/>
  <c r="AH24" i="57"/>
  <c r="AG24" i="57"/>
  <c r="AM40" i="64"/>
  <c r="AG19" i="61"/>
  <c r="AH19" i="61"/>
  <c r="AG50" i="61"/>
  <c r="AH50" i="61"/>
  <c r="AG43" i="58"/>
  <c r="AH43" i="58"/>
  <c r="AG19" i="64"/>
  <c r="AH19" i="64"/>
  <c r="AM54" i="60"/>
  <c r="AM23" i="63"/>
  <c r="AM30" i="57"/>
  <c r="AM17" i="58"/>
  <c r="AG51" i="60"/>
  <c r="AH51" i="60"/>
  <c r="AH37" i="58"/>
  <c r="AG37" i="58"/>
  <c r="AG38" i="58"/>
  <c r="AH38" i="58"/>
  <c r="AH38" i="63"/>
  <c r="AG38" i="63"/>
  <c r="AG51" i="61"/>
  <c r="AH51" i="61"/>
  <c r="AH37" i="64"/>
  <c r="AG37" i="64"/>
  <c r="AG35" i="61"/>
  <c r="AH35" i="61"/>
  <c r="AM39" i="65"/>
  <c r="AG9" i="65"/>
  <c r="AH9" i="65"/>
  <c r="AM33" i="63"/>
  <c r="AH26" i="57"/>
  <c r="AG26" i="57"/>
  <c r="AG48" i="57"/>
  <c r="AH48" i="57"/>
  <c r="AG51" i="63"/>
  <c r="AH51" i="63"/>
  <c r="AG11" i="58"/>
  <c r="AH11" i="58"/>
  <c r="AM54" i="61"/>
  <c r="AH7" i="63"/>
  <c r="AG7" i="63"/>
  <c r="AG32" i="63"/>
  <c r="AH32" i="63"/>
  <c r="AM43" i="63"/>
  <c r="AG22" i="61"/>
  <c r="AH22" i="61"/>
  <c r="AM20" i="61"/>
  <c r="AH14" i="61"/>
  <c r="AG14" i="61"/>
  <c r="AG38" i="64"/>
  <c r="AH38" i="64"/>
  <c r="AH47" i="58"/>
  <c r="AG47" i="58"/>
  <c r="AM29" i="63"/>
  <c r="AH18" i="58"/>
  <c r="AG18" i="58"/>
  <c r="AG32" i="60"/>
  <c r="AH32" i="60"/>
  <c r="AH15" i="64"/>
  <c r="AG15" i="64"/>
  <c r="AG31" i="60"/>
  <c r="AH31" i="60"/>
  <c r="AG40" i="61"/>
  <c r="AH40" i="61"/>
  <c r="AH55" i="65"/>
  <c r="AG55" i="65"/>
  <c r="AM33" i="65"/>
  <c r="AG54" i="57"/>
  <c r="AH54" i="57"/>
  <c r="AM25" i="64"/>
  <c r="AH43" i="61"/>
  <c r="AG43" i="61"/>
  <c r="AM48" i="60"/>
  <c r="AM10" i="61"/>
  <c r="AM44" i="63"/>
  <c r="AM55" i="57"/>
  <c r="AG35" i="58"/>
  <c r="AH35" i="58"/>
  <c r="AG30" i="61"/>
  <c r="AH30" i="61"/>
  <c r="AM10" i="57"/>
  <c r="AM49" i="63"/>
  <c r="AH13" i="64"/>
  <c r="AG13" i="64"/>
  <c r="AM36" i="65"/>
  <c r="AH19" i="58"/>
  <c r="AG19" i="58"/>
  <c r="AG20" i="64"/>
  <c r="AH20" i="64"/>
  <c r="AM16" i="60"/>
  <c r="AG13" i="65"/>
  <c r="AH13" i="65"/>
  <c r="AM38" i="65"/>
  <c r="AH54" i="64"/>
  <c r="AG54" i="64"/>
  <c r="AM40" i="58"/>
  <c r="AH52" i="58"/>
  <c r="AG52" i="58"/>
  <c r="AG51" i="57"/>
  <c r="AH51" i="57"/>
  <c r="AG40" i="60"/>
  <c r="AH40" i="60"/>
  <c r="AG23" i="65"/>
  <c r="AH23" i="65"/>
  <c r="AG11" i="64"/>
  <c r="AH11" i="64"/>
  <c r="U8" i="61"/>
  <c r="U9" i="61"/>
  <c r="V9" i="61" s="1"/>
  <c r="O8" i="61"/>
  <c r="R9" i="61"/>
  <c r="R10" i="61"/>
  <c r="R11" i="61"/>
  <c r="U16" i="61" a="1"/>
  <c r="U16" i="61" s="1"/>
  <c r="R16" i="61" a="1"/>
  <c r="R16" i="61" s="1"/>
  <c r="U12" i="61"/>
  <c r="U11" i="61"/>
  <c r="U10" i="61"/>
  <c r="V10" i="61" s="1"/>
  <c r="O12" i="61"/>
  <c r="O9" i="61"/>
  <c r="O11" i="61"/>
  <c r="AA11" i="61" s="1"/>
  <c r="U13" i="61"/>
  <c r="V13" i="61" s="1"/>
  <c r="R12" i="61"/>
  <c r="R8" i="61"/>
  <c r="O10" i="61"/>
  <c r="O16" i="61" a="1"/>
  <c r="O16" i="61" s="1"/>
  <c r="R13" i="61"/>
  <c r="O13" i="61"/>
  <c r="AM41" i="64"/>
  <c r="AM43" i="60"/>
  <c r="AG22" i="60"/>
  <c r="AH22" i="60"/>
  <c r="AH47" i="65"/>
  <c r="AG47" i="65"/>
  <c r="AM12" i="64"/>
  <c r="AM13" i="61"/>
  <c r="AM14" i="65"/>
  <c r="AM9" i="60"/>
  <c r="AH24" i="58"/>
  <c r="AG24" i="58"/>
  <c r="AM42" i="60"/>
  <c r="AH14" i="64"/>
  <c r="AG14" i="64"/>
  <c r="AG27" i="60"/>
  <c r="AH27" i="60"/>
  <c r="AH39" i="63"/>
  <c r="AG39" i="63"/>
  <c r="AG17" i="61"/>
  <c r="AH17" i="61"/>
  <c r="AM36" i="57"/>
  <c r="AH9" i="64"/>
  <c r="AG9" i="64"/>
  <c r="AM26" i="65"/>
  <c r="AM14" i="63"/>
  <c r="AH15" i="57"/>
  <c r="AG15" i="57"/>
  <c r="AG31" i="63"/>
  <c r="AH31" i="63"/>
  <c r="AM8" i="61"/>
  <c r="AH41" i="63"/>
  <c r="AG41" i="63"/>
  <c r="AM8" i="65"/>
  <c r="AG46" i="65"/>
  <c r="AH46" i="65"/>
  <c r="AM39" i="60"/>
  <c r="AH46" i="60"/>
  <c r="AG46" i="60"/>
  <c r="AM10" i="65"/>
  <c r="AM21" i="63"/>
  <c r="AM28" i="64"/>
  <c r="AM18" i="63"/>
  <c r="AH40" i="64"/>
  <c r="AG40" i="64"/>
  <c r="AM19" i="61"/>
  <c r="AH52" i="63"/>
  <c r="AG52" i="63"/>
  <c r="AM53" i="64"/>
  <c r="AM19" i="64"/>
  <c r="AG23" i="63"/>
  <c r="AH23" i="63"/>
  <c r="AG30" i="57"/>
  <c r="AH30" i="57"/>
  <c r="AG42" i="64"/>
  <c r="AH42" i="64"/>
  <c r="R8" i="57"/>
  <c r="O10" i="57"/>
  <c r="O8" i="57"/>
  <c r="AA8" i="57" s="1"/>
  <c r="O16" i="57" a="1"/>
  <c r="O16" i="57" s="1"/>
  <c r="O12" i="57"/>
  <c r="O13" i="57"/>
  <c r="R12" i="57"/>
  <c r="AA12" i="57" s="1"/>
  <c r="R16" i="57" a="1"/>
  <c r="R16" i="57" s="1"/>
  <c r="O11" i="57"/>
  <c r="O9" i="57"/>
  <c r="U9" i="57"/>
  <c r="V9" i="57" s="1"/>
  <c r="R10" i="57"/>
  <c r="U8" i="57"/>
  <c r="U13" i="57"/>
  <c r="V13" i="57" s="1"/>
  <c r="U10" i="57"/>
  <c r="R11" i="57"/>
  <c r="U12" i="57"/>
  <c r="U11" i="57"/>
  <c r="V11" i="57" s="1"/>
  <c r="U16" i="57" a="1"/>
  <c r="U16" i="57" s="1"/>
  <c r="R13" i="57"/>
  <c r="S13" i="57" s="1"/>
  <c r="R9" i="57"/>
  <c r="AG17" i="58"/>
  <c r="AH17" i="58"/>
  <c r="AM31" i="57"/>
  <c r="AM38" i="63"/>
  <c r="AG44" i="64"/>
  <c r="AH44" i="64"/>
  <c r="AM51" i="61"/>
  <c r="AM37" i="64"/>
  <c r="AM35" i="61"/>
  <c r="AG39" i="65"/>
  <c r="AH39" i="65"/>
  <c r="AM9" i="65"/>
  <c r="AH33" i="63"/>
  <c r="AG33" i="63"/>
  <c r="AM26" i="57"/>
  <c r="AH46" i="57"/>
  <c r="AG46" i="57"/>
  <c r="AH22" i="63"/>
  <c r="AG22" i="63"/>
  <c r="AM51" i="63"/>
  <c r="AM11" i="58"/>
  <c r="AM7" i="63"/>
  <c r="AG43" i="63"/>
  <c r="AH43" i="63"/>
  <c r="AM39" i="58"/>
  <c r="AH20" i="61"/>
  <c r="AG20" i="61"/>
  <c r="AM14" i="61"/>
  <c r="AM61" i="65"/>
  <c r="AG17" i="63"/>
  <c r="AH17" i="63"/>
  <c r="AH29" i="63"/>
  <c r="AG29" i="63"/>
  <c r="AM46" i="61"/>
  <c r="AH26" i="58"/>
  <c r="AG26" i="58"/>
  <c r="AM15" i="64"/>
  <c r="AM31" i="60"/>
  <c r="AM55" i="65"/>
  <c r="AM30" i="58"/>
  <c r="AG33" i="65"/>
  <c r="AH33" i="65"/>
  <c r="AM21" i="65"/>
  <c r="AM55" i="61"/>
  <c r="AM43" i="61"/>
  <c r="AH32" i="58"/>
  <c r="AG32" i="58"/>
  <c r="AG44" i="63"/>
  <c r="AH44" i="63"/>
  <c r="AM49" i="65"/>
  <c r="AM61" i="63"/>
  <c r="AG49" i="64"/>
  <c r="AH49" i="64"/>
  <c r="AG15" i="63"/>
  <c r="AH15" i="63"/>
  <c r="AH49" i="63"/>
  <c r="AG49" i="63"/>
  <c r="AG30" i="60"/>
  <c r="AH30" i="60"/>
  <c r="AM51" i="65"/>
  <c r="AM19" i="58"/>
  <c r="AM44" i="58"/>
  <c r="AM42" i="64"/>
  <c r="AM25" i="63"/>
  <c r="AG31" i="57"/>
  <c r="AH31" i="57"/>
  <c r="AM44" i="64"/>
  <c r="AG39" i="64"/>
  <c r="AH39" i="64"/>
  <c r="AG8" i="64"/>
  <c r="AH8" i="64"/>
  <c r="AH53" i="65"/>
  <c r="AG53" i="65"/>
  <c r="AH25" i="60"/>
  <c r="AG25" i="60"/>
  <c r="AM12" i="58"/>
  <c r="AH36" i="58"/>
  <c r="AG36" i="58"/>
  <c r="AM46" i="57"/>
  <c r="AM22" i="63"/>
  <c r="AM42" i="65"/>
  <c r="AM53" i="57"/>
  <c r="AH29" i="60"/>
  <c r="AG29" i="60"/>
  <c r="AH30" i="63"/>
  <c r="AG30" i="63"/>
  <c r="AG39" i="58"/>
  <c r="AH39" i="58"/>
  <c r="AG61" i="65"/>
  <c r="AH61" i="65"/>
  <c r="AM17" i="63"/>
  <c r="AG46" i="61"/>
  <c r="AH46" i="61"/>
  <c r="AM26" i="58"/>
  <c r="AH38" i="57"/>
  <c r="AG38" i="57"/>
  <c r="AH30" i="58"/>
  <c r="AG30" i="58"/>
  <c r="AH26" i="61"/>
  <c r="AG26" i="61"/>
  <c r="AH21" i="65"/>
  <c r="AG21" i="65"/>
  <c r="AH55" i="61"/>
  <c r="AG55" i="61"/>
  <c r="AM42" i="58"/>
  <c r="AH11" i="57"/>
  <c r="AG11" i="57"/>
  <c r="AM32" i="58"/>
  <c r="AM26" i="64"/>
  <c r="AH57" i="58"/>
  <c r="AG57" i="58"/>
  <c r="AH24" i="61"/>
  <c r="AG24" i="61"/>
  <c r="AG16" i="58"/>
  <c r="AH16" i="58"/>
  <c r="AM62" i="61"/>
  <c r="AH49" i="65"/>
  <c r="AG49" i="65"/>
  <c r="AH61" i="63"/>
  <c r="AG61" i="63"/>
  <c r="AM49" i="64"/>
  <c r="AM15" i="63"/>
  <c r="AG40" i="57"/>
  <c r="AH40" i="57"/>
  <c r="AM30" i="60"/>
  <c r="AG51" i="65"/>
  <c r="AH51" i="65"/>
  <c r="AG44" i="58"/>
  <c r="AH44" i="58"/>
  <c r="AM21" i="60"/>
  <c r="AM16" i="61"/>
  <c r="AG56" i="58"/>
  <c r="AH56" i="58"/>
  <c r="AM39" i="64"/>
  <c r="AM22" i="58"/>
  <c r="AG56" i="57"/>
  <c r="AH56" i="57"/>
  <c r="AM8" i="64"/>
  <c r="AM25" i="61"/>
  <c r="AM53" i="65"/>
  <c r="AM25" i="60"/>
  <c r="AH12" i="58"/>
  <c r="AG12" i="58"/>
  <c r="AM36" i="58"/>
  <c r="AM17" i="57"/>
  <c r="AH42" i="65"/>
  <c r="AG42" i="65"/>
  <c r="R13" i="64"/>
  <c r="O11" i="64"/>
  <c r="U10" i="64"/>
  <c r="V10" i="64" s="1"/>
  <c r="O12" i="64"/>
  <c r="R16" i="64" a="1"/>
  <c r="R16" i="64" s="1"/>
  <c r="R10" i="64"/>
  <c r="O8" i="64"/>
  <c r="O9" i="64"/>
  <c r="O16" i="64" a="1"/>
  <c r="O16" i="64" s="1"/>
  <c r="U16" i="64" a="1"/>
  <c r="U16" i="64" s="1"/>
  <c r="R9" i="64"/>
  <c r="U12" i="64"/>
  <c r="O10" i="64"/>
  <c r="U9" i="64"/>
  <c r="V9" i="64" s="1"/>
  <c r="U11" i="64"/>
  <c r="R11" i="64"/>
  <c r="S11" i="64" s="1"/>
  <c r="U13" i="64"/>
  <c r="V13" i="64" s="1"/>
  <c r="O13" i="64"/>
  <c r="AA13" i="64" s="1"/>
  <c r="U8" i="64"/>
  <c r="R12" i="64"/>
  <c r="AA12" i="64" s="1"/>
  <c r="R8" i="64"/>
  <c r="AG53" i="57"/>
  <c r="AH53" i="57"/>
  <c r="AH27" i="64"/>
  <c r="AG27" i="64"/>
  <c r="AM29" i="60"/>
  <c r="AM30" i="63"/>
  <c r="U9" i="58"/>
  <c r="V9" i="58" s="1"/>
  <c r="U12" i="58"/>
  <c r="R8" i="58"/>
  <c r="U10" i="58"/>
  <c r="U16" i="58" a="1"/>
  <c r="U16" i="58" s="1"/>
  <c r="O12" i="58"/>
  <c r="O8" i="58"/>
  <c r="R11" i="58"/>
  <c r="O10" i="58"/>
  <c r="U11" i="58"/>
  <c r="V11" i="58" s="1"/>
  <c r="O11" i="58"/>
  <c r="R12" i="58"/>
  <c r="R13" i="58"/>
  <c r="S13" i="58" s="1"/>
  <c r="R9" i="58"/>
  <c r="U8" i="58"/>
  <c r="O9" i="58"/>
  <c r="O16" i="58" a="1"/>
  <c r="O16" i="58" s="1"/>
  <c r="R10" i="58"/>
  <c r="O13" i="58"/>
  <c r="R16" i="58" a="1"/>
  <c r="R16" i="58" s="1"/>
  <c r="U13" i="58"/>
  <c r="V13" i="58" s="1"/>
  <c r="AG54" i="58"/>
  <c r="AH54" i="58"/>
  <c r="AM23" i="64"/>
  <c r="AM50" i="64"/>
  <c r="AM38" i="57"/>
  <c r="AM8" i="63"/>
  <c r="AM55" i="63"/>
  <c r="AH56" i="60"/>
  <c r="AG56" i="60"/>
  <c r="AM26" i="61"/>
  <c r="AM47" i="61"/>
  <c r="AM45" i="61"/>
  <c r="AM21" i="57"/>
  <c r="AG42" i="58"/>
  <c r="AH42" i="58"/>
  <c r="AM45" i="60"/>
  <c r="AM11" i="57"/>
  <c r="AG26" i="64"/>
  <c r="AH26" i="64"/>
  <c r="AM11" i="63"/>
  <c r="AM57" i="58"/>
  <c r="AM24" i="61"/>
  <c r="AM16" i="58"/>
  <c r="AH35" i="57"/>
  <c r="AG35" i="57"/>
  <c r="AM40" i="57"/>
  <c r="AM13" i="60"/>
  <c r="AG49" i="60"/>
  <c r="AH49" i="60"/>
  <c r="AH24" i="60"/>
  <c r="AG24" i="60"/>
  <c r="AG17" i="57"/>
  <c r="AH17" i="57"/>
  <c r="AM50" i="57"/>
  <c r="AM27" i="64"/>
  <c r="AM12" i="60"/>
  <c r="AG41" i="58"/>
  <c r="AH41" i="58"/>
  <c r="AM52" i="64"/>
  <c r="AM54" i="58"/>
  <c r="AH23" i="64"/>
  <c r="AG23" i="64"/>
  <c r="AH50" i="64"/>
  <c r="AG50" i="64"/>
  <c r="AG8" i="63"/>
  <c r="AH8" i="63"/>
  <c r="AG55" i="63"/>
  <c r="AH55" i="63"/>
  <c r="AG53" i="58"/>
  <c r="AH53" i="58"/>
  <c r="AM56" i="60"/>
  <c r="AG47" i="61"/>
  <c r="AH47" i="61"/>
  <c r="AG45" i="61"/>
  <c r="AH45" i="61"/>
  <c r="AG21" i="57"/>
  <c r="AH21" i="57"/>
  <c r="AG45" i="60"/>
  <c r="AH45" i="60"/>
  <c r="AH17" i="64"/>
  <c r="AG17" i="64"/>
  <c r="AG11" i="63"/>
  <c r="AH11" i="63"/>
  <c r="AM62" i="63"/>
  <c r="AH34" i="65"/>
  <c r="AG34" i="65"/>
  <c r="AH11" i="61"/>
  <c r="AG11" i="61"/>
  <c r="AM35" i="57"/>
  <c r="AM36" i="64"/>
  <c r="AH13" i="60"/>
  <c r="AG13" i="60"/>
  <c r="AM49" i="60"/>
  <c r="AM24" i="60"/>
  <c r="AA9" i="61"/>
  <c r="V8" i="60"/>
  <c r="AA11" i="60"/>
  <c r="AA12" i="60"/>
  <c r="V8" i="65"/>
  <c r="R5" i="66"/>
  <c r="S9" i="66"/>
  <c r="S12" i="66"/>
  <c r="S11" i="66"/>
  <c r="S14" i="66"/>
  <c r="S10" i="66"/>
  <c r="S8" i="66"/>
  <c r="S13" i="66"/>
  <c r="O14" i="65"/>
  <c r="AA8" i="65"/>
  <c r="V8" i="57"/>
  <c r="R14" i="65"/>
  <c r="AA9" i="65"/>
  <c r="BH54" i="85"/>
  <c r="BF54" i="85"/>
  <c r="BG54" i="85"/>
  <c r="BI54" i="85"/>
  <c r="BC57" i="85"/>
  <c r="BD56" i="85"/>
  <c r="BF53" i="84"/>
  <c r="BI53" i="84"/>
  <c r="BH53" i="84"/>
  <c r="BG53" i="84"/>
  <c r="BC56" i="84"/>
  <c r="BD55" i="84"/>
  <c r="BC53" i="83"/>
  <c r="BD52" i="83"/>
  <c r="BH45" i="81"/>
  <c r="BF45" i="81"/>
  <c r="BI45" i="81"/>
  <c r="BG45" i="81"/>
  <c r="BD46" i="81"/>
  <c r="BC47" i="81"/>
  <c r="BH44" i="80"/>
  <c r="BG44" i="80"/>
  <c r="BI44" i="80"/>
  <c r="BF44" i="80"/>
  <c r="BD45" i="80"/>
  <c r="BC46" i="80"/>
  <c r="BD44" i="78"/>
  <c r="BC45" i="78"/>
  <c r="BH43" i="78"/>
  <c r="BI43" i="78"/>
  <c r="BF43" i="78"/>
  <c r="BG43" i="78"/>
  <c r="BC45" i="79"/>
  <c r="BD44" i="79"/>
  <c r="BH43" i="79"/>
  <c r="BF43" i="79"/>
  <c r="BI43" i="79"/>
  <c r="BG43" i="79"/>
  <c r="BG40" i="76"/>
  <c r="BF40" i="76"/>
  <c r="BI40" i="76"/>
  <c r="BH40" i="76"/>
  <c r="BC42" i="76"/>
  <c r="BD41" i="76"/>
  <c r="BC41" i="75"/>
  <c r="BD40" i="75"/>
  <c r="BI39" i="75"/>
  <c r="BH39" i="75"/>
  <c r="BG39" i="75"/>
  <c r="BF39" i="75"/>
  <c r="BF37" i="74"/>
  <c r="BH37" i="74"/>
  <c r="BI37" i="74"/>
  <c r="BG37" i="74"/>
  <c r="BC39" i="74"/>
  <c r="BD38" i="74"/>
  <c r="BH35" i="73"/>
  <c r="BF35" i="73"/>
  <c r="BG35" i="73"/>
  <c r="BI35" i="73"/>
  <c r="BD36" i="73"/>
  <c r="BC37" i="73"/>
  <c r="BF33" i="71"/>
  <c r="BI33" i="71"/>
  <c r="BH33" i="71"/>
  <c r="BG33" i="71"/>
  <c r="BC35" i="71"/>
  <c r="BD34" i="71"/>
  <c r="BG31" i="70"/>
  <c r="BF31" i="70"/>
  <c r="BH31" i="70"/>
  <c r="BI31" i="70"/>
  <c r="BC33" i="70"/>
  <c r="BD32" i="70"/>
  <c r="BC32" i="69"/>
  <c r="BD31" i="69"/>
  <c r="BI30" i="69"/>
  <c r="BF30" i="69"/>
  <c r="BH30" i="69"/>
  <c r="BG30" i="69"/>
  <c r="BC31" i="68"/>
  <c r="BD30" i="68"/>
  <c r="BF29" i="68"/>
  <c r="BH29" i="68"/>
  <c r="BG29" i="68"/>
  <c r="BI29" i="68"/>
  <c r="BC33" i="66"/>
  <c r="BD32" i="66"/>
  <c r="BF31" i="66"/>
  <c r="BH31" i="66"/>
  <c r="BI31" i="66"/>
  <c r="BG31" i="66"/>
  <c r="BC35" i="65"/>
  <c r="BD34" i="65"/>
  <c r="BF33" i="65"/>
  <c r="BI33" i="65"/>
  <c r="BH33" i="65"/>
  <c r="BG33" i="65"/>
  <c r="BH27" i="64"/>
  <c r="BF27" i="64"/>
  <c r="BG27" i="64"/>
  <c r="BI27" i="64"/>
  <c r="BD28" i="64"/>
  <c r="BC29" i="64"/>
  <c r="BD31" i="63"/>
  <c r="BC32" i="63"/>
  <c r="BG30" i="63"/>
  <c r="BI30" i="63"/>
  <c r="BF30" i="63"/>
  <c r="BH30" i="63"/>
  <c r="BI21" i="61"/>
  <c r="BG21" i="61"/>
  <c r="BH21" i="61"/>
  <c r="BF21" i="61"/>
  <c r="BD22" i="61"/>
  <c r="BC23" i="61"/>
  <c r="BI22" i="60"/>
  <c r="BF22" i="60"/>
  <c r="BH22" i="60"/>
  <c r="BG22" i="60"/>
  <c r="BD23" i="60"/>
  <c r="BC24" i="60"/>
  <c r="BH20" i="58"/>
  <c r="BG20" i="58"/>
  <c r="BI20" i="58"/>
  <c r="BF20" i="58"/>
  <c r="BD21" i="58"/>
  <c r="BC22" i="58"/>
  <c r="BG17" i="57"/>
  <c r="BF17" i="57"/>
  <c r="BH17" i="57"/>
  <c r="BI17" i="57"/>
  <c r="BC19" i="57"/>
  <c r="BD18" i="57"/>
  <c r="AU11" i="7"/>
  <c r="V14" i="66" l="1"/>
  <c r="P10" i="66"/>
  <c r="P9" i="66"/>
  <c r="P12" i="66"/>
  <c r="P14" i="66"/>
  <c r="U14" i="65"/>
  <c r="V14" i="65" s="1"/>
  <c r="P8" i="66"/>
  <c r="AA10" i="61"/>
  <c r="AA14" i="66"/>
  <c r="AA8" i="64"/>
  <c r="AA12" i="61"/>
  <c r="AA8" i="60"/>
  <c r="AA14" i="60" s="1"/>
  <c r="AA13" i="60"/>
  <c r="AA11" i="63"/>
  <c r="R14" i="60"/>
  <c r="R14" i="57"/>
  <c r="S9" i="57" s="1"/>
  <c r="O14" i="60"/>
  <c r="P12" i="60" s="1"/>
  <c r="P11" i="66"/>
  <c r="AA11" i="65"/>
  <c r="AA13" i="65"/>
  <c r="AA9" i="57"/>
  <c r="U14" i="60"/>
  <c r="V14" i="60" s="1"/>
  <c r="AA10" i="65"/>
  <c r="AA10" i="58"/>
  <c r="AA9" i="58"/>
  <c r="R14" i="58"/>
  <c r="S14" i="58" s="1"/>
  <c r="R14" i="64"/>
  <c r="S14" i="64" s="1"/>
  <c r="U14" i="58"/>
  <c r="U5" i="58" s="1"/>
  <c r="AA8" i="58"/>
  <c r="AA11" i="64"/>
  <c r="AA10" i="57"/>
  <c r="AA14" i="57" s="1"/>
  <c r="AA11" i="57"/>
  <c r="V8" i="64"/>
  <c r="V8" i="58"/>
  <c r="U14" i="57"/>
  <c r="V10" i="57" s="1"/>
  <c r="AA13" i="61"/>
  <c r="AA12" i="63"/>
  <c r="O14" i="64"/>
  <c r="P10" i="64" s="1"/>
  <c r="O14" i="57"/>
  <c r="P14" i="57" s="1"/>
  <c r="U14" i="64"/>
  <c r="U5" i="64" s="1"/>
  <c r="AA12" i="58"/>
  <c r="AA9" i="63"/>
  <c r="V8" i="63"/>
  <c r="U14" i="63"/>
  <c r="P13" i="63"/>
  <c r="AA13" i="63"/>
  <c r="AA10" i="63"/>
  <c r="P13" i="64"/>
  <c r="AA9" i="64"/>
  <c r="AA10" i="64"/>
  <c r="O14" i="58"/>
  <c r="P8" i="58" s="1"/>
  <c r="AA13" i="58"/>
  <c r="AA11" i="58"/>
  <c r="AA13" i="57"/>
  <c r="O14" i="61"/>
  <c r="AA8" i="61"/>
  <c r="R14" i="63"/>
  <c r="AA12" i="65"/>
  <c r="R14" i="61"/>
  <c r="V8" i="61"/>
  <c r="U14" i="61"/>
  <c r="AA8" i="63"/>
  <c r="O14" i="63"/>
  <c r="S8" i="58"/>
  <c r="S9" i="58"/>
  <c r="R5" i="57"/>
  <c r="U5" i="60"/>
  <c r="S9" i="65"/>
  <c r="S8" i="65"/>
  <c r="S13" i="65"/>
  <c r="R5" i="65"/>
  <c r="S14" i="65"/>
  <c r="S12" i="65"/>
  <c r="S10" i="65"/>
  <c r="P14" i="65"/>
  <c r="P11" i="65"/>
  <c r="P9" i="65"/>
  <c r="O5" i="65"/>
  <c r="P10" i="65"/>
  <c r="P8" i="65"/>
  <c r="P12" i="65"/>
  <c r="O5" i="60"/>
  <c r="P13" i="60"/>
  <c r="P10" i="60"/>
  <c r="P14" i="60"/>
  <c r="P8" i="64"/>
  <c r="P11" i="64"/>
  <c r="V11" i="65"/>
  <c r="U5" i="65"/>
  <c r="V12" i="65"/>
  <c r="BF55" i="85"/>
  <c r="BH55" i="85"/>
  <c r="BG55" i="85"/>
  <c r="BI55" i="85"/>
  <c r="BC58" i="85"/>
  <c r="BD57" i="85"/>
  <c r="BH54" i="84"/>
  <c r="BG54" i="84"/>
  <c r="BF54" i="84"/>
  <c r="BI54" i="84"/>
  <c r="BC57" i="84"/>
  <c r="BD56" i="84"/>
  <c r="BH51" i="83"/>
  <c r="BG51" i="83"/>
  <c r="BF51" i="83"/>
  <c r="BI51" i="83"/>
  <c r="BC54" i="83"/>
  <c r="BD53" i="83"/>
  <c r="BC48" i="81"/>
  <c r="BD47" i="81"/>
  <c r="BI46" i="81"/>
  <c r="BH46" i="81"/>
  <c r="BG46" i="81"/>
  <c r="BF46" i="81"/>
  <c r="BD46" i="80"/>
  <c r="BC47" i="80"/>
  <c r="BI45" i="80"/>
  <c r="BH45" i="80"/>
  <c r="BF45" i="80"/>
  <c r="BG45" i="80"/>
  <c r="BD45" i="78"/>
  <c r="BC46" i="78"/>
  <c r="BI44" i="78"/>
  <c r="BG44" i="78"/>
  <c r="BF44" i="78"/>
  <c r="BH44" i="78"/>
  <c r="BI44" i="79"/>
  <c r="BH44" i="79"/>
  <c r="BG44" i="79"/>
  <c r="BF44" i="79"/>
  <c r="BC46" i="79"/>
  <c r="BD45" i="79"/>
  <c r="BH41" i="76"/>
  <c r="BG41" i="76"/>
  <c r="BI41" i="76"/>
  <c r="BF41" i="76"/>
  <c r="BC43" i="76"/>
  <c r="BD42" i="76"/>
  <c r="BF40" i="75"/>
  <c r="BI40" i="75"/>
  <c r="BG40" i="75"/>
  <c r="BH40" i="75"/>
  <c r="BC42" i="75"/>
  <c r="BD41" i="75"/>
  <c r="BG38" i="74"/>
  <c r="BI38" i="74"/>
  <c r="BF38" i="74"/>
  <c r="BH38" i="74"/>
  <c r="BC40" i="74"/>
  <c r="BD39" i="74"/>
  <c r="BC38" i="73"/>
  <c r="BD37" i="73"/>
  <c r="BF36" i="73"/>
  <c r="BI36" i="73"/>
  <c r="BG36" i="73"/>
  <c r="BH36" i="73"/>
  <c r="BH34" i="71"/>
  <c r="BG34" i="71"/>
  <c r="BF34" i="71"/>
  <c r="BI34" i="71"/>
  <c r="BD35" i="71"/>
  <c r="BC36" i="71"/>
  <c r="BH32" i="70"/>
  <c r="BG32" i="70"/>
  <c r="BI32" i="70"/>
  <c r="BF32" i="70"/>
  <c r="BD33" i="70"/>
  <c r="BC34" i="70"/>
  <c r="BF31" i="69"/>
  <c r="BG31" i="69"/>
  <c r="BI31" i="69"/>
  <c r="BH31" i="69"/>
  <c r="BC33" i="69"/>
  <c r="BD32" i="69"/>
  <c r="BG30" i="68"/>
  <c r="BH30" i="68"/>
  <c r="BF30" i="68"/>
  <c r="BI30" i="68"/>
  <c r="BC32" i="68"/>
  <c r="BD31" i="68"/>
  <c r="BG32" i="66"/>
  <c r="BI32" i="66"/>
  <c r="BF32" i="66"/>
  <c r="BH32" i="66"/>
  <c r="BD33" i="66"/>
  <c r="BC34" i="66"/>
  <c r="BG34" i="65"/>
  <c r="BH34" i="65"/>
  <c r="BF34" i="65"/>
  <c r="BI34" i="65"/>
  <c r="BC36" i="65"/>
  <c r="BD35" i="65"/>
  <c r="BD29" i="64"/>
  <c r="BC30" i="64"/>
  <c r="BI28" i="64"/>
  <c r="BH28" i="64"/>
  <c r="BG28" i="64"/>
  <c r="BF28" i="64"/>
  <c r="BH31" i="63"/>
  <c r="BF31" i="63"/>
  <c r="BI31" i="63"/>
  <c r="BG31" i="63"/>
  <c r="BD32" i="63"/>
  <c r="BC33" i="63"/>
  <c r="BF22" i="61"/>
  <c r="BH22" i="61"/>
  <c r="BI22" i="61"/>
  <c r="BG22" i="61"/>
  <c r="BC24" i="61"/>
  <c r="BD23" i="61"/>
  <c r="BF23" i="60"/>
  <c r="BH23" i="60"/>
  <c r="BI23" i="60"/>
  <c r="BG23" i="60"/>
  <c r="BC25" i="60"/>
  <c r="BD24" i="60"/>
  <c r="BD22" i="58"/>
  <c r="BC23" i="58"/>
  <c r="BI21" i="58"/>
  <c r="BH21" i="58"/>
  <c r="BF21" i="58"/>
  <c r="BG21" i="58"/>
  <c r="BH18" i="57"/>
  <c r="BG18" i="57"/>
  <c r="BI18" i="57"/>
  <c r="BF18" i="57"/>
  <c r="BD19" i="57"/>
  <c r="BC20" i="57"/>
  <c r="V12" i="58" l="1"/>
  <c r="O5" i="57"/>
  <c r="V10" i="58"/>
  <c r="V10" i="60"/>
  <c r="S12" i="58"/>
  <c r="R5" i="58"/>
  <c r="AA14" i="64"/>
  <c r="P9" i="60"/>
  <c r="P11" i="60"/>
  <c r="AA14" i="65"/>
  <c r="P8" i="60"/>
  <c r="AA14" i="58"/>
  <c r="S9" i="60"/>
  <c r="S14" i="60"/>
  <c r="S10" i="60"/>
  <c r="R5" i="60"/>
  <c r="O5" i="64"/>
  <c r="P9" i="57"/>
  <c r="V12" i="60"/>
  <c r="S13" i="64"/>
  <c r="S14" i="57"/>
  <c r="S11" i="57"/>
  <c r="U5" i="57"/>
  <c r="S11" i="58"/>
  <c r="S11" i="60"/>
  <c r="P12" i="57"/>
  <c r="S10" i="64"/>
  <c r="S10" i="57"/>
  <c r="S8" i="57"/>
  <c r="V12" i="57"/>
  <c r="S10" i="58"/>
  <c r="P13" i="57"/>
  <c r="S9" i="64"/>
  <c r="S12" i="57"/>
  <c r="S8" i="60"/>
  <c r="S12" i="60"/>
  <c r="O5" i="58"/>
  <c r="P11" i="57"/>
  <c r="V14" i="58"/>
  <c r="S12" i="64"/>
  <c r="R5" i="64"/>
  <c r="V11" i="64"/>
  <c r="P13" i="58"/>
  <c r="P9" i="58"/>
  <c r="P10" i="57"/>
  <c r="S8" i="64"/>
  <c r="V12" i="64"/>
  <c r="P12" i="64"/>
  <c r="V14" i="57"/>
  <c r="AA14" i="61"/>
  <c r="P14" i="64"/>
  <c r="P9" i="64"/>
  <c r="P11" i="58"/>
  <c r="P14" i="58"/>
  <c r="P10" i="61"/>
  <c r="P12" i="61"/>
  <c r="O5" i="61"/>
  <c r="P9" i="61"/>
  <c r="P8" i="61"/>
  <c r="P13" i="61"/>
  <c r="P14" i="61"/>
  <c r="P11" i="61"/>
  <c r="P8" i="57"/>
  <c r="V14" i="64"/>
  <c r="V11" i="61"/>
  <c r="U5" i="61"/>
  <c r="V12" i="61"/>
  <c r="V14" i="61"/>
  <c r="P8" i="63"/>
  <c r="P12" i="63"/>
  <c r="P10" i="63"/>
  <c r="P11" i="63"/>
  <c r="P14" i="63"/>
  <c r="O5" i="63"/>
  <c r="P9" i="63"/>
  <c r="AA14" i="63"/>
  <c r="S8" i="61"/>
  <c r="S10" i="61"/>
  <c r="S12" i="61"/>
  <c r="S11" i="61"/>
  <c r="R5" i="61"/>
  <c r="S9" i="61"/>
  <c r="S13" i="61"/>
  <c r="S14" i="61"/>
  <c r="P10" i="58"/>
  <c r="P12" i="58"/>
  <c r="V12" i="63"/>
  <c r="U5" i="63"/>
  <c r="V11" i="63"/>
  <c r="V14" i="63"/>
  <c r="S12" i="63"/>
  <c r="S14" i="63"/>
  <c r="S8" i="63"/>
  <c r="S13" i="63"/>
  <c r="S9" i="63"/>
  <c r="S10" i="63"/>
  <c r="R5" i="63"/>
  <c r="BH56" i="85"/>
  <c r="BF56" i="85"/>
  <c r="BG56" i="85"/>
  <c r="BI56" i="85"/>
  <c r="BD58" i="85"/>
  <c r="BC59" i="85"/>
  <c r="BF55" i="84"/>
  <c r="BI55" i="84"/>
  <c r="BH55" i="84"/>
  <c r="BG55" i="84"/>
  <c r="BC58" i="84"/>
  <c r="BD57" i="84"/>
  <c r="BF52" i="83"/>
  <c r="BI52" i="83"/>
  <c r="BH52" i="83"/>
  <c r="BG52" i="83"/>
  <c r="BC55" i="83"/>
  <c r="BD54" i="83"/>
  <c r="BF47" i="81"/>
  <c r="BI47" i="81"/>
  <c r="BH47" i="81"/>
  <c r="BG47" i="81"/>
  <c r="BC49" i="81"/>
  <c r="BD48" i="81"/>
  <c r="BC48" i="80"/>
  <c r="BD47" i="80"/>
  <c r="BF46" i="80"/>
  <c r="BI46" i="80"/>
  <c r="BG46" i="80"/>
  <c r="BH46" i="80"/>
  <c r="BC47" i="78"/>
  <c r="BD46" i="78"/>
  <c r="BF45" i="78"/>
  <c r="BH45" i="78"/>
  <c r="BI45" i="78"/>
  <c r="BG45" i="78"/>
  <c r="BH45" i="79"/>
  <c r="BF45" i="79"/>
  <c r="BI45" i="79"/>
  <c r="BG45" i="79"/>
  <c r="BD46" i="79"/>
  <c r="BC47" i="79"/>
  <c r="BI42" i="76"/>
  <c r="BH42" i="76"/>
  <c r="BG42" i="76"/>
  <c r="BF42" i="76"/>
  <c r="BC44" i="76"/>
  <c r="BD43" i="76"/>
  <c r="BH41" i="75"/>
  <c r="BG41" i="75"/>
  <c r="BF41" i="75"/>
  <c r="BI41" i="75"/>
  <c r="BD42" i="75"/>
  <c r="BC43" i="75"/>
  <c r="BH39" i="74"/>
  <c r="BF39" i="74"/>
  <c r="BI39" i="74"/>
  <c r="BG39" i="74"/>
  <c r="BD40" i="74"/>
  <c r="BC41" i="74"/>
  <c r="BG37" i="73"/>
  <c r="BF37" i="73"/>
  <c r="BI37" i="73"/>
  <c r="BH37" i="73"/>
  <c r="BC39" i="73"/>
  <c r="BD38" i="73"/>
  <c r="BD36" i="71"/>
  <c r="BC37" i="71"/>
  <c r="BI35" i="71"/>
  <c r="BH35" i="71"/>
  <c r="BG35" i="71"/>
  <c r="BF35" i="71"/>
  <c r="BC35" i="70"/>
  <c r="BD34" i="70"/>
  <c r="BI34" i="70" s="1"/>
  <c r="BI33" i="70"/>
  <c r="BF33" i="70"/>
  <c r="BH33" i="70"/>
  <c r="BG33" i="70"/>
  <c r="BG32" i="69"/>
  <c r="BH32" i="69"/>
  <c r="BI32" i="69"/>
  <c r="BF32" i="69"/>
  <c r="BD33" i="69"/>
  <c r="BC34" i="69"/>
  <c r="BH31" i="68"/>
  <c r="BF31" i="68"/>
  <c r="BI31" i="68"/>
  <c r="BG31" i="68"/>
  <c r="BC33" i="68"/>
  <c r="BD32" i="68"/>
  <c r="BH33" i="66"/>
  <c r="BG33" i="66"/>
  <c r="BF33" i="66"/>
  <c r="BI33" i="66"/>
  <c r="BD34" i="66"/>
  <c r="BC35" i="66"/>
  <c r="BG35" i="65"/>
  <c r="BH35" i="65"/>
  <c r="BI35" i="65"/>
  <c r="BF35" i="65"/>
  <c r="BD36" i="65"/>
  <c r="BC37" i="65"/>
  <c r="BC31" i="64"/>
  <c r="BD30" i="64"/>
  <c r="BF29" i="64"/>
  <c r="BG29" i="64"/>
  <c r="BH29" i="64"/>
  <c r="BI29" i="64"/>
  <c r="BI32" i="63"/>
  <c r="BG32" i="63"/>
  <c r="BF32" i="63"/>
  <c r="BH32" i="63"/>
  <c r="BD33" i="63"/>
  <c r="BC34" i="63"/>
  <c r="BD24" i="61"/>
  <c r="BC25" i="61"/>
  <c r="BG23" i="61"/>
  <c r="BI23" i="61"/>
  <c r="BF23" i="61"/>
  <c r="BH23" i="61"/>
  <c r="BC26" i="60"/>
  <c r="BD25" i="60"/>
  <c r="BG24" i="60"/>
  <c r="BH24" i="60"/>
  <c r="BI24" i="60"/>
  <c r="BF24" i="60"/>
  <c r="BC24" i="58"/>
  <c r="BD23" i="58"/>
  <c r="BF22" i="58"/>
  <c r="BI22" i="58"/>
  <c r="BG22" i="58"/>
  <c r="BH22" i="58"/>
  <c r="BD20" i="57"/>
  <c r="BC21" i="57"/>
  <c r="BI19" i="57"/>
  <c r="BH19" i="57"/>
  <c r="BF19" i="57"/>
  <c r="BG19" i="57"/>
  <c r="BD59" i="85" l="1"/>
  <c r="BC60" i="85"/>
  <c r="BF57" i="85"/>
  <c r="BH57" i="85"/>
  <c r="BG57" i="85"/>
  <c r="BI57" i="85"/>
  <c r="BH56" i="84"/>
  <c r="BG56" i="84"/>
  <c r="BF56" i="84"/>
  <c r="BI56" i="84"/>
  <c r="BC59" i="84"/>
  <c r="BD58" i="84"/>
  <c r="BH53" i="83"/>
  <c r="BG53" i="83"/>
  <c r="BF53" i="83"/>
  <c r="BI53" i="83"/>
  <c r="BC56" i="83"/>
  <c r="BD55" i="83"/>
  <c r="BH48" i="81"/>
  <c r="BG48" i="81"/>
  <c r="BF48" i="81"/>
  <c r="BI48" i="81"/>
  <c r="BD49" i="81"/>
  <c r="BC50" i="81"/>
  <c r="BG47" i="80"/>
  <c r="BF47" i="80"/>
  <c r="BH47" i="80"/>
  <c r="BI47" i="80"/>
  <c r="BC49" i="80"/>
  <c r="BD48" i="80"/>
  <c r="BG46" i="78"/>
  <c r="BI46" i="78"/>
  <c r="BH46" i="78"/>
  <c r="BF46" i="78"/>
  <c r="BD47" i="78"/>
  <c r="BC48" i="78"/>
  <c r="BC48" i="79"/>
  <c r="BD47" i="79"/>
  <c r="BI46" i="79"/>
  <c r="BG46" i="79"/>
  <c r="BH46" i="79"/>
  <c r="BF46" i="79"/>
  <c r="BG43" i="76"/>
  <c r="BF43" i="76"/>
  <c r="BI43" i="76"/>
  <c r="BH43" i="76"/>
  <c r="BC45" i="76"/>
  <c r="BD44" i="76"/>
  <c r="BC44" i="75"/>
  <c r="BD43" i="75"/>
  <c r="BI42" i="75"/>
  <c r="BH42" i="75"/>
  <c r="BG42" i="75"/>
  <c r="BF42" i="75"/>
  <c r="BC42" i="74"/>
  <c r="BD41" i="74"/>
  <c r="BI40" i="74"/>
  <c r="BG40" i="74"/>
  <c r="BF40" i="74"/>
  <c r="BH40" i="74"/>
  <c r="BH38" i="73"/>
  <c r="BG38" i="73"/>
  <c r="BF38" i="73"/>
  <c r="BI38" i="73"/>
  <c r="BD39" i="73"/>
  <c r="BC40" i="73"/>
  <c r="BC38" i="71"/>
  <c r="BD37" i="71"/>
  <c r="BF36" i="71"/>
  <c r="BI36" i="71"/>
  <c r="BH36" i="71"/>
  <c r="BG36" i="71"/>
  <c r="BG34" i="70"/>
  <c r="BF34" i="70"/>
  <c r="BH34" i="70"/>
  <c r="BC36" i="70"/>
  <c r="BD35" i="70"/>
  <c r="BD34" i="69"/>
  <c r="BC35" i="69"/>
  <c r="BH33" i="69"/>
  <c r="BI33" i="69"/>
  <c r="BG33" i="69"/>
  <c r="BF33" i="69"/>
  <c r="BI32" i="68"/>
  <c r="BH32" i="68"/>
  <c r="BF32" i="68"/>
  <c r="BG32" i="68"/>
  <c r="BC34" i="68"/>
  <c r="BD33" i="68"/>
  <c r="BI34" i="66"/>
  <c r="BG34" i="66"/>
  <c r="BH34" i="66"/>
  <c r="BF34" i="66"/>
  <c r="BD35" i="66"/>
  <c r="BC36" i="66"/>
  <c r="BD37" i="65"/>
  <c r="BC38" i="65"/>
  <c r="BH36" i="65"/>
  <c r="BI36" i="65"/>
  <c r="BF36" i="65"/>
  <c r="BG36" i="65"/>
  <c r="BG30" i="64"/>
  <c r="BH30" i="64"/>
  <c r="BI30" i="64"/>
  <c r="BF30" i="64"/>
  <c r="BD31" i="64"/>
  <c r="BC32" i="64"/>
  <c r="BF33" i="63"/>
  <c r="BH33" i="63"/>
  <c r="BI33" i="63"/>
  <c r="BG33" i="63"/>
  <c r="BC35" i="63"/>
  <c r="BD34" i="63"/>
  <c r="BH24" i="61"/>
  <c r="BF24" i="61"/>
  <c r="BI24" i="61"/>
  <c r="BG24" i="61"/>
  <c r="BD25" i="61"/>
  <c r="BC26" i="61"/>
  <c r="BD26" i="60"/>
  <c r="BC27" i="60"/>
  <c r="BH25" i="60"/>
  <c r="BF25" i="60"/>
  <c r="BI25" i="60"/>
  <c r="BG25" i="60"/>
  <c r="BG23" i="58"/>
  <c r="BF23" i="58"/>
  <c r="BH23" i="58"/>
  <c r="BI23" i="58"/>
  <c r="BC25" i="58"/>
  <c r="BD24" i="58"/>
  <c r="BC22" i="57"/>
  <c r="BD21" i="57"/>
  <c r="BF20" i="57"/>
  <c r="BI20" i="57"/>
  <c r="BH20" i="57"/>
  <c r="BG20" i="57"/>
  <c r="BC61" i="85" l="1"/>
  <c r="BD60" i="85"/>
  <c r="BH58" i="85"/>
  <c r="BF58" i="85"/>
  <c r="BG58" i="85"/>
  <c r="BI58" i="85"/>
  <c r="BF57" i="84"/>
  <c r="BI57" i="84"/>
  <c r="BH57" i="84"/>
  <c r="BG57" i="84"/>
  <c r="BD59" i="84"/>
  <c r="BC60" i="84"/>
  <c r="BF54" i="83"/>
  <c r="BI54" i="83"/>
  <c r="BH54" i="83"/>
  <c r="BG54" i="83"/>
  <c r="BC57" i="83"/>
  <c r="BD56" i="83"/>
  <c r="BC51" i="81"/>
  <c r="BD50" i="81"/>
  <c r="BI49" i="81"/>
  <c r="BH49" i="81"/>
  <c r="BG49" i="81"/>
  <c r="BF49" i="81"/>
  <c r="BH48" i="80"/>
  <c r="BG48" i="80"/>
  <c r="BI48" i="80"/>
  <c r="BF48" i="80"/>
  <c r="BD49" i="80"/>
  <c r="BC50" i="80"/>
  <c r="BH47" i="78"/>
  <c r="BF47" i="78"/>
  <c r="BI47" i="78"/>
  <c r="BG47" i="78"/>
  <c r="BD48" i="78"/>
  <c r="BC49" i="78"/>
  <c r="BF47" i="79"/>
  <c r="BH47" i="79"/>
  <c r="BI47" i="79"/>
  <c r="BG47" i="79"/>
  <c r="BC49" i="79"/>
  <c r="BD48" i="79"/>
  <c r="BH44" i="76"/>
  <c r="BG44" i="76"/>
  <c r="BF44" i="76"/>
  <c r="BI44" i="76"/>
  <c r="BD45" i="76"/>
  <c r="BC46" i="76"/>
  <c r="BF43" i="75"/>
  <c r="BH43" i="75"/>
  <c r="BG43" i="75"/>
  <c r="BI43" i="75"/>
  <c r="BC45" i="75"/>
  <c r="BD44" i="75"/>
  <c r="BF41" i="74"/>
  <c r="BH41" i="74"/>
  <c r="BI41" i="74"/>
  <c r="BG41" i="74"/>
  <c r="BD42" i="74"/>
  <c r="BC43" i="74"/>
  <c r="BD40" i="73"/>
  <c r="BC41" i="73"/>
  <c r="BI39" i="73"/>
  <c r="BH39" i="73"/>
  <c r="BG39" i="73"/>
  <c r="BF39" i="73"/>
  <c r="BG37" i="71"/>
  <c r="BF37" i="71"/>
  <c r="BI37" i="71"/>
  <c r="BH37" i="71"/>
  <c r="BC39" i="71"/>
  <c r="BD38" i="71"/>
  <c r="BH35" i="70"/>
  <c r="BG35" i="70"/>
  <c r="BF35" i="70"/>
  <c r="BI35" i="70"/>
  <c r="BD36" i="70"/>
  <c r="BC37" i="70"/>
  <c r="BC36" i="69"/>
  <c r="BD35" i="69"/>
  <c r="BI34" i="69"/>
  <c r="BF34" i="69"/>
  <c r="BH34" i="69"/>
  <c r="BG34" i="69"/>
  <c r="BH33" i="68"/>
  <c r="BG33" i="68"/>
  <c r="BI33" i="68"/>
  <c r="BF33" i="68"/>
  <c r="BD34" i="68"/>
  <c r="BC35" i="68"/>
  <c r="BD36" i="66"/>
  <c r="BC37" i="66"/>
  <c r="BF35" i="66"/>
  <c r="BI35" i="66"/>
  <c r="BG35" i="66"/>
  <c r="BH35" i="66"/>
  <c r="BC39" i="65"/>
  <c r="BD38" i="65"/>
  <c r="BI37" i="65"/>
  <c r="BF37" i="65"/>
  <c r="BH37" i="65"/>
  <c r="BG37" i="65"/>
  <c r="BD32" i="64"/>
  <c r="BC33" i="64"/>
  <c r="BH31" i="64"/>
  <c r="BI31" i="64"/>
  <c r="BG31" i="64"/>
  <c r="BF31" i="64"/>
  <c r="BD35" i="63"/>
  <c r="BC36" i="63"/>
  <c r="BG34" i="63"/>
  <c r="BI34" i="63"/>
  <c r="BF34" i="63"/>
  <c r="BH34" i="63"/>
  <c r="BI25" i="61"/>
  <c r="BG25" i="61"/>
  <c r="BH25" i="61"/>
  <c r="BF25" i="61"/>
  <c r="BD26" i="61"/>
  <c r="BC27" i="61"/>
  <c r="BI26" i="60"/>
  <c r="BH26" i="60"/>
  <c r="BF26" i="60"/>
  <c r="BG26" i="60"/>
  <c r="BD27" i="60"/>
  <c r="BC28" i="60"/>
  <c r="BH24" i="58"/>
  <c r="BG24" i="58"/>
  <c r="BI24" i="58"/>
  <c r="BF24" i="58"/>
  <c r="BD25" i="58"/>
  <c r="BC26" i="58"/>
  <c r="BG21" i="57"/>
  <c r="BF21" i="57"/>
  <c r="BH21" i="57"/>
  <c r="BI21" i="57"/>
  <c r="BC23" i="57"/>
  <c r="BD22" i="57"/>
  <c r="BI59" i="85" l="1"/>
  <c r="BG59" i="85"/>
  <c r="BH59" i="85"/>
  <c r="BF59" i="85"/>
  <c r="BD61" i="85"/>
  <c r="BC62" i="85"/>
  <c r="BD60" i="84"/>
  <c r="BC61" i="84"/>
  <c r="BH58" i="84"/>
  <c r="BG58" i="84"/>
  <c r="BF58" i="84"/>
  <c r="BI58" i="84"/>
  <c r="BH55" i="83"/>
  <c r="BG55" i="83"/>
  <c r="BF55" i="83"/>
  <c r="BI55" i="83"/>
  <c r="BC58" i="83"/>
  <c r="BD57" i="83"/>
  <c r="BF50" i="81"/>
  <c r="BI50" i="81"/>
  <c r="BH50" i="81"/>
  <c r="BG50" i="81"/>
  <c r="BC52" i="81"/>
  <c r="BD51" i="81"/>
  <c r="BC51" i="80"/>
  <c r="BD50" i="80"/>
  <c r="BI49" i="80"/>
  <c r="BH49" i="80"/>
  <c r="BF49" i="80"/>
  <c r="BG49" i="80"/>
  <c r="BD49" i="78"/>
  <c r="BC50" i="78"/>
  <c r="BI48" i="78"/>
  <c r="BG48" i="78"/>
  <c r="BH48" i="78"/>
  <c r="BF48" i="78"/>
  <c r="BG48" i="79"/>
  <c r="BI48" i="79"/>
  <c r="BH48" i="79"/>
  <c r="BF48" i="79"/>
  <c r="BC50" i="79"/>
  <c r="BD49" i="79"/>
  <c r="BD46" i="76"/>
  <c r="BC47" i="76"/>
  <c r="BI45" i="76"/>
  <c r="BH45" i="76"/>
  <c r="BG45" i="76"/>
  <c r="BF45" i="76"/>
  <c r="BG44" i="75"/>
  <c r="BI44" i="75"/>
  <c r="BH44" i="75"/>
  <c r="BF44" i="75"/>
  <c r="BD45" i="75"/>
  <c r="BC46" i="75"/>
  <c r="BD43" i="74"/>
  <c r="BC44" i="74"/>
  <c r="BG42" i="74"/>
  <c r="BI42" i="74"/>
  <c r="BF42" i="74"/>
  <c r="BH42" i="74"/>
  <c r="BC42" i="73"/>
  <c r="BD41" i="73"/>
  <c r="BF40" i="73"/>
  <c r="BI40" i="73"/>
  <c r="BG40" i="73"/>
  <c r="BH40" i="73"/>
  <c r="BH38" i="71"/>
  <c r="BG38" i="71"/>
  <c r="BF38" i="71"/>
  <c r="BI38" i="71"/>
  <c r="BD39" i="71"/>
  <c r="BC40" i="71"/>
  <c r="BD37" i="70"/>
  <c r="BC38" i="70"/>
  <c r="BI36" i="70"/>
  <c r="BH36" i="70"/>
  <c r="BG36" i="70"/>
  <c r="BF36" i="70"/>
  <c r="BG35" i="69"/>
  <c r="BH35" i="69"/>
  <c r="BI35" i="69"/>
  <c r="BF35" i="69"/>
  <c r="BC37" i="69"/>
  <c r="BD36" i="69"/>
  <c r="BC36" i="68"/>
  <c r="BD35" i="68"/>
  <c r="BI34" i="68"/>
  <c r="BH34" i="68"/>
  <c r="BF34" i="68"/>
  <c r="BG34" i="68"/>
  <c r="BD37" i="66"/>
  <c r="BC38" i="66"/>
  <c r="BI36" i="66"/>
  <c r="BG36" i="66"/>
  <c r="BF36" i="66"/>
  <c r="BH36" i="66"/>
  <c r="BF38" i="65"/>
  <c r="BG38" i="65"/>
  <c r="BI38" i="65"/>
  <c r="BH38" i="65"/>
  <c r="BC40" i="65"/>
  <c r="BD39" i="65"/>
  <c r="BC34" i="64"/>
  <c r="BD33" i="64"/>
  <c r="BI32" i="64"/>
  <c r="BF32" i="64"/>
  <c r="BG32" i="64"/>
  <c r="BH32" i="64"/>
  <c r="BH35" i="63"/>
  <c r="BF35" i="63"/>
  <c r="BI35" i="63"/>
  <c r="BG35" i="63"/>
  <c r="BD36" i="63"/>
  <c r="BC37" i="63"/>
  <c r="BF26" i="61"/>
  <c r="BH26" i="61"/>
  <c r="BI26" i="61"/>
  <c r="BG26" i="61"/>
  <c r="BD27" i="61"/>
  <c r="BC28" i="61"/>
  <c r="BF27" i="60"/>
  <c r="BH27" i="60"/>
  <c r="BI27" i="60"/>
  <c r="BG27" i="60"/>
  <c r="BC29" i="60"/>
  <c r="BD28" i="60"/>
  <c r="BD26" i="58"/>
  <c r="BC27" i="58"/>
  <c r="BI25" i="58"/>
  <c r="BH25" i="58"/>
  <c r="BF25" i="58"/>
  <c r="BG25" i="58"/>
  <c r="BH22" i="57"/>
  <c r="BG22" i="57"/>
  <c r="BI22" i="57"/>
  <c r="BF22" i="57"/>
  <c r="BD23" i="57"/>
  <c r="BC24" i="57"/>
  <c r="BC63" i="85" l="1"/>
  <c r="BD63" i="85" s="1"/>
  <c r="BD62" i="85"/>
  <c r="BF60" i="85"/>
  <c r="BH60" i="85"/>
  <c r="BG60" i="85"/>
  <c r="BI60" i="85"/>
  <c r="BC62" i="84"/>
  <c r="BD61" i="84"/>
  <c r="BI59" i="84"/>
  <c r="BH59" i="84"/>
  <c r="BG59" i="84"/>
  <c r="BF59" i="84"/>
  <c r="BF56" i="83"/>
  <c r="BI56" i="83"/>
  <c r="BH56" i="83"/>
  <c r="BG56" i="83"/>
  <c r="BC59" i="83"/>
  <c r="BD58" i="83"/>
  <c r="BI51" i="81"/>
  <c r="BH51" i="81"/>
  <c r="BG51" i="81"/>
  <c r="BF51" i="81"/>
  <c r="BC53" i="81"/>
  <c r="BD52" i="81"/>
  <c r="BF50" i="80"/>
  <c r="BI50" i="80"/>
  <c r="BH50" i="80"/>
  <c r="BG50" i="80"/>
  <c r="BC52" i="80"/>
  <c r="BD51" i="80"/>
  <c r="BF49" i="78"/>
  <c r="BI49" i="78"/>
  <c r="BH49" i="78"/>
  <c r="BG49" i="78"/>
  <c r="BC51" i="78"/>
  <c r="BD50" i="78"/>
  <c r="BH49" i="79"/>
  <c r="BF49" i="79"/>
  <c r="BI49" i="79"/>
  <c r="BG49" i="79"/>
  <c r="BC51" i="79"/>
  <c r="BD50" i="79"/>
  <c r="BC48" i="76"/>
  <c r="BD47" i="76"/>
  <c r="BF46" i="76"/>
  <c r="BI46" i="76"/>
  <c r="BG46" i="76"/>
  <c r="BH46" i="76"/>
  <c r="BD46" i="75"/>
  <c r="BC47" i="75"/>
  <c r="BH45" i="75"/>
  <c r="BF45" i="75"/>
  <c r="BI45" i="75"/>
  <c r="BG45" i="75"/>
  <c r="BC45" i="74"/>
  <c r="BD44" i="74"/>
  <c r="BF43" i="74"/>
  <c r="BH43" i="74"/>
  <c r="BI43" i="74"/>
  <c r="BG43" i="74"/>
  <c r="BG41" i="73"/>
  <c r="BF41" i="73"/>
  <c r="BI41" i="73"/>
  <c r="BH41" i="73"/>
  <c r="BC43" i="73"/>
  <c r="BD42" i="73"/>
  <c r="BD40" i="71"/>
  <c r="BC41" i="71"/>
  <c r="BI39" i="71"/>
  <c r="BH39" i="71"/>
  <c r="BG39" i="71"/>
  <c r="BF39" i="71"/>
  <c r="BC39" i="70"/>
  <c r="BD38" i="70"/>
  <c r="BF37" i="70"/>
  <c r="BI37" i="70"/>
  <c r="BG37" i="70"/>
  <c r="BH37" i="70"/>
  <c r="BG36" i="69"/>
  <c r="BH36" i="69"/>
  <c r="BI36" i="69"/>
  <c r="BF36" i="69"/>
  <c r="BD37" i="69"/>
  <c r="BC38" i="69"/>
  <c r="BF35" i="68"/>
  <c r="BI35" i="68"/>
  <c r="BG35" i="68"/>
  <c r="BH35" i="68"/>
  <c r="BD36" i="68"/>
  <c r="BC37" i="68"/>
  <c r="BC39" i="66"/>
  <c r="BD38" i="66"/>
  <c r="BF37" i="66"/>
  <c r="BH37" i="66"/>
  <c r="BI37" i="66"/>
  <c r="BG37" i="66"/>
  <c r="BG39" i="65"/>
  <c r="BH39" i="65"/>
  <c r="BI39" i="65"/>
  <c r="BF39" i="65"/>
  <c r="BD40" i="65"/>
  <c r="BC41" i="65"/>
  <c r="BF33" i="64"/>
  <c r="BH33" i="64"/>
  <c r="BI33" i="64"/>
  <c r="BG33" i="64"/>
  <c r="BC35" i="64"/>
  <c r="BD34" i="64"/>
  <c r="BI36" i="63"/>
  <c r="BF36" i="63"/>
  <c r="BH36" i="63"/>
  <c r="BG36" i="63"/>
  <c r="BD37" i="63"/>
  <c r="BC38" i="63"/>
  <c r="BG27" i="61"/>
  <c r="BI27" i="61"/>
  <c r="BH27" i="61"/>
  <c r="BF27" i="61"/>
  <c r="BD28" i="61"/>
  <c r="BC29" i="61"/>
  <c r="BD29" i="60"/>
  <c r="BC30" i="60"/>
  <c r="BH28" i="60"/>
  <c r="BG28" i="60"/>
  <c r="BI28" i="60"/>
  <c r="BF28" i="60"/>
  <c r="BC28" i="58"/>
  <c r="BD27" i="58"/>
  <c r="BF26" i="58"/>
  <c r="BI26" i="58"/>
  <c r="BG26" i="58"/>
  <c r="BH26" i="58"/>
  <c r="BD24" i="57"/>
  <c r="BC25" i="57"/>
  <c r="BI23" i="57"/>
  <c r="BH23" i="57"/>
  <c r="BF23" i="57"/>
  <c r="BG23" i="57"/>
  <c r="BG61" i="85" l="1"/>
  <c r="BI61" i="85"/>
  <c r="BH61" i="85"/>
  <c r="BF61" i="85"/>
  <c r="BI62" i="85"/>
  <c r="BG62" i="85"/>
  <c r="BF62" i="85"/>
  <c r="BH62" i="85"/>
  <c r="BF60" i="84"/>
  <c r="BI60" i="84"/>
  <c r="BH60" i="84"/>
  <c r="BG60" i="84"/>
  <c r="BC63" i="84"/>
  <c r="BD63" i="84" s="1"/>
  <c r="BD62" i="84"/>
  <c r="BD59" i="83"/>
  <c r="BC60" i="83"/>
  <c r="BH57" i="83"/>
  <c r="BG57" i="83"/>
  <c r="BF57" i="83"/>
  <c r="BI57" i="83"/>
  <c r="BH52" i="81"/>
  <c r="BG52" i="81"/>
  <c r="BF52" i="81"/>
  <c r="BI52" i="81"/>
  <c r="BC54" i="81"/>
  <c r="BD53" i="81"/>
  <c r="BI51" i="80"/>
  <c r="BH51" i="80"/>
  <c r="BG51" i="80"/>
  <c r="BF51" i="80"/>
  <c r="BC53" i="80"/>
  <c r="BD52" i="80"/>
  <c r="BG50" i="78"/>
  <c r="BF50" i="78"/>
  <c r="BI50" i="78"/>
  <c r="BH50" i="78"/>
  <c r="BC52" i="78"/>
  <c r="BD51" i="78"/>
  <c r="BI50" i="79"/>
  <c r="BG50" i="79"/>
  <c r="BH50" i="79"/>
  <c r="BF50" i="79"/>
  <c r="BC52" i="79"/>
  <c r="BD51" i="79"/>
  <c r="BG47" i="76"/>
  <c r="BF47" i="76"/>
  <c r="BI47" i="76"/>
  <c r="BH47" i="76"/>
  <c r="BC49" i="76"/>
  <c r="BD48" i="76"/>
  <c r="BC48" i="75"/>
  <c r="BD47" i="75"/>
  <c r="BI46" i="75"/>
  <c r="BG46" i="75"/>
  <c r="BH46" i="75"/>
  <c r="BF46" i="75"/>
  <c r="BG44" i="74"/>
  <c r="BH44" i="74"/>
  <c r="BI44" i="74"/>
  <c r="BF44" i="74"/>
  <c r="BD45" i="74"/>
  <c r="BC46" i="74"/>
  <c r="BH42" i="73"/>
  <c r="BG42" i="73"/>
  <c r="BF42" i="73"/>
  <c r="BI42" i="73"/>
  <c r="BD43" i="73"/>
  <c r="BC44" i="73"/>
  <c r="BC42" i="71"/>
  <c r="BD41" i="71"/>
  <c r="BF40" i="71"/>
  <c r="BI40" i="71"/>
  <c r="BH40" i="71"/>
  <c r="BG40" i="71"/>
  <c r="BG38" i="70"/>
  <c r="BF38" i="70"/>
  <c r="BI38" i="70"/>
  <c r="BH38" i="70"/>
  <c r="BC40" i="70"/>
  <c r="BD39" i="70"/>
  <c r="BD38" i="69"/>
  <c r="BC39" i="69"/>
  <c r="BH37" i="69"/>
  <c r="BI37" i="69"/>
  <c r="BF37" i="69"/>
  <c r="BG37" i="69"/>
  <c r="BD37" i="68"/>
  <c r="BC38" i="68"/>
  <c r="BH36" i="68"/>
  <c r="BF36" i="68"/>
  <c r="BI36" i="68"/>
  <c r="BG36" i="68"/>
  <c r="BG38" i="66"/>
  <c r="BI38" i="66"/>
  <c r="BF38" i="66"/>
  <c r="BH38" i="66"/>
  <c r="BD39" i="66"/>
  <c r="BC40" i="66"/>
  <c r="BD41" i="65"/>
  <c r="BC42" i="65"/>
  <c r="BH40" i="65"/>
  <c r="BI40" i="65"/>
  <c r="BG40" i="65"/>
  <c r="BF40" i="65"/>
  <c r="BG34" i="64"/>
  <c r="BF34" i="64"/>
  <c r="BI34" i="64"/>
  <c r="BH34" i="64"/>
  <c r="BC36" i="64"/>
  <c r="BD35" i="64"/>
  <c r="BF37" i="63"/>
  <c r="BH37" i="63"/>
  <c r="BG37" i="63"/>
  <c r="BI37" i="63"/>
  <c r="BC39" i="63"/>
  <c r="BD38" i="63"/>
  <c r="BI28" i="61"/>
  <c r="BF28" i="61"/>
  <c r="BH28" i="61"/>
  <c r="BG28" i="61"/>
  <c r="BD29" i="61"/>
  <c r="BC30" i="61"/>
  <c r="BI29" i="60"/>
  <c r="BH29" i="60"/>
  <c r="BG29" i="60"/>
  <c r="BF29" i="60"/>
  <c r="BD30" i="60"/>
  <c r="BC31" i="60"/>
  <c r="BG27" i="58"/>
  <c r="BF27" i="58"/>
  <c r="BH27" i="58"/>
  <c r="BI27" i="58"/>
  <c r="BC29" i="58"/>
  <c r="BD28" i="58"/>
  <c r="BC26" i="57"/>
  <c r="BD25" i="57"/>
  <c r="BF24" i="57"/>
  <c r="BI24" i="57"/>
  <c r="BH24" i="57"/>
  <c r="BG24" i="57"/>
  <c r="BG61" i="84" l="1"/>
  <c r="BF61" i="84"/>
  <c r="BI61" i="84"/>
  <c r="BH61" i="84"/>
  <c r="BI62" i="84"/>
  <c r="BH62" i="84"/>
  <c r="BG62" i="84"/>
  <c r="BF62" i="84"/>
  <c r="BD60" i="83"/>
  <c r="BC61" i="83"/>
  <c r="BI58" i="83"/>
  <c r="BH58" i="83"/>
  <c r="BG58" i="83"/>
  <c r="BF58" i="83"/>
  <c r="BF53" i="81"/>
  <c r="BI53" i="81"/>
  <c r="BH53" i="81"/>
  <c r="BG53" i="81"/>
  <c r="BC55" i="81"/>
  <c r="BD54" i="81"/>
  <c r="BH52" i="80"/>
  <c r="BG52" i="80"/>
  <c r="BF52" i="80"/>
  <c r="BI52" i="80"/>
  <c r="BC54" i="80"/>
  <c r="BD53" i="80"/>
  <c r="BG51" i="78"/>
  <c r="BF51" i="78"/>
  <c r="BI51" i="78"/>
  <c r="BH51" i="78"/>
  <c r="BC53" i="78"/>
  <c r="BD52" i="78"/>
  <c r="BH51" i="79"/>
  <c r="BF51" i="79"/>
  <c r="BI51" i="79"/>
  <c r="BG51" i="79"/>
  <c r="BD52" i="79"/>
  <c r="BC53" i="79"/>
  <c r="BH48" i="76"/>
  <c r="BG48" i="76"/>
  <c r="BF48" i="76"/>
  <c r="BI48" i="76"/>
  <c r="BD49" i="76"/>
  <c r="BC50" i="76"/>
  <c r="BG47" i="75"/>
  <c r="BF47" i="75"/>
  <c r="BH47" i="75"/>
  <c r="BI47" i="75"/>
  <c r="BC49" i="75"/>
  <c r="BD48" i="75"/>
  <c r="BC47" i="74"/>
  <c r="BD46" i="74"/>
  <c r="BF45" i="74"/>
  <c r="BH45" i="74"/>
  <c r="BI45" i="74"/>
  <c r="BG45" i="74"/>
  <c r="BD44" i="73"/>
  <c r="BC45" i="73"/>
  <c r="BI43" i="73"/>
  <c r="BH43" i="73"/>
  <c r="BG43" i="73"/>
  <c r="BF43" i="73"/>
  <c r="BG41" i="71"/>
  <c r="BF41" i="71"/>
  <c r="BI41" i="71"/>
  <c r="BH41" i="71"/>
  <c r="BC43" i="71"/>
  <c r="BD42" i="71"/>
  <c r="BH39" i="70"/>
  <c r="BG39" i="70"/>
  <c r="BF39" i="70"/>
  <c r="BI39" i="70"/>
  <c r="BD40" i="70"/>
  <c r="BC41" i="70"/>
  <c r="BC40" i="69"/>
  <c r="BD39" i="69"/>
  <c r="BI38" i="69"/>
  <c r="BF38" i="69"/>
  <c r="BG38" i="69"/>
  <c r="BH38" i="69"/>
  <c r="BD38" i="68"/>
  <c r="BC39" i="68"/>
  <c r="BI37" i="68"/>
  <c r="BH37" i="68"/>
  <c r="BG37" i="68"/>
  <c r="BF37" i="68"/>
  <c r="BD40" i="66"/>
  <c r="BC41" i="66"/>
  <c r="BH39" i="66"/>
  <c r="BF39" i="66"/>
  <c r="BI39" i="66"/>
  <c r="BG39" i="66"/>
  <c r="BC43" i="65"/>
  <c r="BD42" i="65"/>
  <c r="BI41" i="65"/>
  <c r="BF41" i="65"/>
  <c r="BH41" i="65"/>
  <c r="BG41" i="65"/>
  <c r="BF35" i="64"/>
  <c r="BG35" i="64"/>
  <c r="BI35" i="64"/>
  <c r="BH35" i="64"/>
  <c r="BC37" i="64"/>
  <c r="BD36" i="64"/>
  <c r="BG38" i="63"/>
  <c r="BH38" i="63"/>
  <c r="BF38" i="63"/>
  <c r="BI38" i="63"/>
  <c r="BC40" i="63"/>
  <c r="BD39" i="63"/>
  <c r="BF29" i="61"/>
  <c r="BH29" i="61"/>
  <c r="BG29" i="61"/>
  <c r="BI29" i="61"/>
  <c r="BC31" i="61"/>
  <c r="BD30" i="61"/>
  <c r="BF30" i="60"/>
  <c r="BI30" i="60"/>
  <c r="BH30" i="60"/>
  <c r="BG30" i="60"/>
  <c r="BC32" i="60"/>
  <c r="BD31" i="60"/>
  <c r="BH28" i="58"/>
  <c r="BG28" i="58"/>
  <c r="BI28" i="58"/>
  <c r="BF28" i="58"/>
  <c r="BD29" i="58"/>
  <c r="BC30" i="58"/>
  <c r="BC27" i="57"/>
  <c r="BD26" i="57"/>
  <c r="BG25" i="57"/>
  <c r="BF25" i="57"/>
  <c r="BH25" i="57"/>
  <c r="BI25" i="57"/>
  <c r="BC62" i="83" l="1"/>
  <c r="BC63" i="83" s="1"/>
  <c r="BD63" i="83" s="1"/>
  <c r="BD61" i="83"/>
  <c r="BF59" i="83"/>
  <c r="BI59" i="83"/>
  <c r="BH59" i="83"/>
  <c r="BG59" i="83"/>
  <c r="BH54" i="81"/>
  <c r="BG54" i="81"/>
  <c r="BF54" i="81"/>
  <c r="BI54" i="81"/>
  <c r="BC56" i="81"/>
  <c r="BD55" i="81"/>
  <c r="BF53" i="80"/>
  <c r="BI53" i="80"/>
  <c r="BH53" i="80"/>
  <c r="BG53" i="80"/>
  <c r="BC55" i="80"/>
  <c r="BD54" i="80"/>
  <c r="BF52" i="78"/>
  <c r="BI52" i="78"/>
  <c r="BH52" i="78"/>
  <c r="BG52" i="78"/>
  <c r="BC54" i="78"/>
  <c r="BD53" i="78"/>
  <c r="BD53" i="79"/>
  <c r="BC54" i="79"/>
  <c r="BG52" i="79"/>
  <c r="BI52" i="79"/>
  <c r="BF52" i="79"/>
  <c r="BH52" i="79"/>
  <c r="BD50" i="76"/>
  <c r="BC51" i="76"/>
  <c r="BI49" i="76"/>
  <c r="BH49" i="76"/>
  <c r="BG49" i="76"/>
  <c r="BF49" i="76"/>
  <c r="BH48" i="75"/>
  <c r="BG48" i="75"/>
  <c r="BI48" i="75"/>
  <c r="BF48" i="75"/>
  <c r="BD49" i="75"/>
  <c r="BC50" i="75"/>
  <c r="BG46" i="74"/>
  <c r="BI46" i="74"/>
  <c r="BH46" i="74"/>
  <c r="BF46" i="74"/>
  <c r="BC48" i="74"/>
  <c r="BD47" i="74"/>
  <c r="BC46" i="73"/>
  <c r="BD45" i="73"/>
  <c r="BF44" i="73"/>
  <c r="BI44" i="73"/>
  <c r="BH44" i="73"/>
  <c r="BG44" i="73"/>
  <c r="BH42" i="71"/>
  <c r="BG42" i="71"/>
  <c r="BF42" i="71"/>
  <c r="BI42" i="71"/>
  <c r="BD43" i="71"/>
  <c r="BC44" i="71"/>
  <c r="BD41" i="70"/>
  <c r="BC42" i="70"/>
  <c r="BI40" i="70"/>
  <c r="BH40" i="70"/>
  <c r="BF40" i="70"/>
  <c r="BG40" i="70"/>
  <c r="BF39" i="69"/>
  <c r="BG39" i="69"/>
  <c r="BH39" i="69"/>
  <c r="BI39" i="69"/>
  <c r="BC41" i="69"/>
  <c r="BD40" i="69"/>
  <c r="BC40" i="68"/>
  <c r="BD39" i="68"/>
  <c r="BF38" i="68"/>
  <c r="BI38" i="68"/>
  <c r="BG38" i="68"/>
  <c r="BH38" i="68"/>
  <c r="BD41" i="66"/>
  <c r="BC42" i="66"/>
  <c r="BI40" i="66"/>
  <c r="BG40" i="66"/>
  <c r="BF40" i="66"/>
  <c r="BH40" i="66"/>
  <c r="BF42" i="65"/>
  <c r="BG42" i="65"/>
  <c r="BH42" i="65"/>
  <c r="BI42" i="65"/>
  <c r="BC44" i="65"/>
  <c r="BD43" i="65"/>
  <c r="BG36" i="64"/>
  <c r="BI36" i="64"/>
  <c r="BF36" i="64"/>
  <c r="BH36" i="64"/>
  <c r="BD37" i="64"/>
  <c r="BC38" i="64"/>
  <c r="BH39" i="63"/>
  <c r="BF39" i="63"/>
  <c r="BI39" i="63"/>
  <c r="BG39" i="63"/>
  <c r="BD40" i="63"/>
  <c r="BC41" i="63"/>
  <c r="BC32" i="61"/>
  <c r="BD31" i="61"/>
  <c r="BG30" i="61"/>
  <c r="BH30" i="61"/>
  <c r="BF30" i="61"/>
  <c r="BI30" i="61"/>
  <c r="BC33" i="60"/>
  <c r="BD32" i="60"/>
  <c r="BG31" i="60"/>
  <c r="BF31" i="60"/>
  <c r="BI31" i="60"/>
  <c r="BH31" i="60"/>
  <c r="BD30" i="58"/>
  <c r="BC31" i="58"/>
  <c r="BI29" i="58"/>
  <c r="BH29" i="58"/>
  <c r="BF29" i="58"/>
  <c r="BG29" i="58"/>
  <c r="BD27" i="57"/>
  <c r="BC28" i="57"/>
  <c r="BH26" i="57"/>
  <c r="BG26" i="57"/>
  <c r="BI26" i="57"/>
  <c r="BF26" i="57"/>
  <c r="BG60" i="83" l="1"/>
  <c r="BF60" i="83"/>
  <c r="BI60" i="83"/>
  <c r="BH60" i="83"/>
  <c r="BD62" i="83"/>
  <c r="BF55" i="81"/>
  <c r="BI55" i="81"/>
  <c r="BH55" i="81"/>
  <c r="BG55" i="81"/>
  <c r="BC57" i="81"/>
  <c r="BD56" i="81"/>
  <c r="BH54" i="80"/>
  <c r="BG54" i="80"/>
  <c r="BF54" i="80"/>
  <c r="BI54" i="80"/>
  <c r="BC56" i="80"/>
  <c r="BD55" i="80"/>
  <c r="BH53" i="78"/>
  <c r="BG53" i="78"/>
  <c r="BF53" i="78"/>
  <c r="BI53" i="78"/>
  <c r="BC55" i="78"/>
  <c r="BD54" i="78"/>
  <c r="BD54" i="79"/>
  <c r="BC55" i="79"/>
  <c r="BI53" i="79"/>
  <c r="BG53" i="79"/>
  <c r="BH53" i="79"/>
  <c r="BF53" i="79"/>
  <c r="BC52" i="76"/>
  <c r="BD51" i="76"/>
  <c r="BF50" i="76"/>
  <c r="BI50" i="76"/>
  <c r="BG50" i="76"/>
  <c r="BH50" i="76"/>
  <c r="BD50" i="75"/>
  <c r="BC51" i="75"/>
  <c r="BI49" i="75"/>
  <c r="BH49" i="75"/>
  <c r="BF49" i="75"/>
  <c r="BG49" i="75"/>
  <c r="BH47" i="74"/>
  <c r="BF47" i="74"/>
  <c r="BI47" i="74"/>
  <c r="BG47" i="74"/>
  <c r="BD48" i="74"/>
  <c r="BC49" i="74"/>
  <c r="BG45" i="73"/>
  <c r="BH45" i="73"/>
  <c r="BF45" i="73"/>
  <c r="BI45" i="73"/>
  <c r="BC47" i="73"/>
  <c r="BD46" i="73"/>
  <c r="BC45" i="71"/>
  <c r="BD44" i="71"/>
  <c r="BH43" i="71"/>
  <c r="BI43" i="71"/>
  <c r="BG43" i="71"/>
  <c r="BF43" i="71"/>
  <c r="BC43" i="70"/>
  <c r="BD42" i="70"/>
  <c r="BF41" i="70"/>
  <c r="BI41" i="70"/>
  <c r="BG41" i="70"/>
  <c r="BH41" i="70"/>
  <c r="BG40" i="69"/>
  <c r="BH40" i="69"/>
  <c r="BI40" i="69"/>
  <c r="BF40" i="69"/>
  <c r="BD41" i="69"/>
  <c r="BC42" i="69"/>
  <c r="BG39" i="68"/>
  <c r="BH39" i="68"/>
  <c r="BF39" i="68"/>
  <c r="BI39" i="68"/>
  <c r="BC41" i="68"/>
  <c r="BD40" i="68"/>
  <c r="BC43" i="66"/>
  <c r="BD42" i="66"/>
  <c r="BF41" i="66"/>
  <c r="BH41" i="66"/>
  <c r="BI41" i="66"/>
  <c r="BG41" i="66"/>
  <c r="BG43" i="65"/>
  <c r="BH43" i="65"/>
  <c r="BI43" i="65"/>
  <c r="BF43" i="65"/>
  <c r="BD44" i="65"/>
  <c r="BC45" i="65"/>
  <c r="BD38" i="64"/>
  <c r="BC39" i="64"/>
  <c r="BH37" i="64"/>
  <c r="BF37" i="64"/>
  <c r="BG37" i="64"/>
  <c r="BI37" i="64"/>
  <c r="BD41" i="63"/>
  <c r="BC42" i="63"/>
  <c r="BI40" i="63"/>
  <c r="BH40" i="63"/>
  <c r="BF40" i="63"/>
  <c r="BG40" i="63"/>
  <c r="BD32" i="61"/>
  <c r="BC33" i="61"/>
  <c r="BH31" i="61"/>
  <c r="BF31" i="61"/>
  <c r="BI31" i="61"/>
  <c r="BG31" i="61"/>
  <c r="BD33" i="60"/>
  <c r="BC34" i="60"/>
  <c r="BH32" i="60"/>
  <c r="BG32" i="60"/>
  <c r="BI32" i="60"/>
  <c r="BF32" i="60"/>
  <c r="BC32" i="58"/>
  <c r="BD31" i="58"/>
  <c r="BF30" i="58"/>
  <c r="BI30" i="58"/>
  <c r="BH30" i="58"/>
  <c r="BG30" i="58"/>
  <c r="BI27" i="57"/>
  <c r="BH27" i="57"/>
  <c r="BF27" i="57"/>
  <c r="BG27" i="57"/>
  <c r="BD28" i="57"/>
  <c r="BC29" i="57"/>
  <c r="BI61" i="83" l="1"/>
  <c r="BH61" i="83"/>
  <c r="BG61" i="83"/>
  <c r="BF61" i="83"/>
  <c r="BH62" i="83"/>
  <c r="BG62" i="83"/>
  <c r="BF62" i="83"/>
  <c r="BI62" i="83"/>
  <c r="BH56" i="81"/>
  <c r="BG56" i="81"/>
  <c r="BF56" i="81"/>
  <c r="BI56" i="81"/>
  <c r="BC58" i="81"/>
  <c r="BD57" i="81"/>
  <c r="BF55" i="80"/>
  <c r="BI55" i="80"/>
  <c r="BH55" i="80"/>
  <c r="BG55" i="80"/>
  <c r="BC57" i="80"/>
  <c r="BD56" i="80"/>
  <c r="BF54" i="78"/>
  <c r="BI54" i="78"/>
  <c r="BH54" i="78"/>
  <c r="BG54" i="78"/>
  <c r="BC56" i="78"/>
  <c r="BD55" i="78"/>
  <c r="BD55" i="79"/>
  <c r="BC56" i="79"/>
  <c r="BG54" i="79"/>
  <c r="BI54" i="79"/>
  <c r="BH54" i="79"/>
  <c r="BF54" i="79"/>
  <c r="BG51" i="76"/>
  <c r="BF51" i="76"/>
  <c r="BI51" i="76"/>
  <c r="BH51" i="76"/>
  <c r="BD52" i="76"/>
  <c r="BC53" i="76"/>
  <c r="BC52" i="75"/>
  <c r="BD51" i="75"/>
  <c r="BF50" i="75"/>
  <c r="BI50" i="75"/>
  <c r="BH50" i="75"/>
  <c r="BG50" i="75"/>
  <c r="BD49" i="74"/>
  <c r="BC50" i="74"/>
  <c r="BI48" i="74"/>
  <c r="BH48" i="74"/>
  <c r="BG48" i="74"/>
  <c r="BF48" i="74"/>
  <c r="BH46" i="73"/>
  <c r="BI46" i="73"/>
  <c r="BG46" i="73"/>
  <c r="BF46" i="73"/>
  <c r="BD47" i="73"/>
  <c r="BC48" i="73"/>
  <c r="BI44" i="71"/>
  <c r="BG44" i="71"/>
  <c r="BF44" i="71"/>
  <c r="BH44" i="71"/>
  <c r="BC46" i="71"/>
  <c r="BD45" i="71"/>
  <c r="BG42" i="70"/>
  <c r="BF42" i="70"/>
  <c r="BI42" i="70"/>
  <c r="BH42" i="70"/>
  <c r="BD43" i="70"/>
  <c r="BC44" i="70"/>
  <c r="BD42" i="69"/>
  <c r="BC43" i="69"/>
  <c r="BH41" i="69"/>
  <c r="BI41" i="69"/>
  <c r="BF41" i="69"/>
  <c r="BG41" i="69"/>
  <c r="BH40" i="68"/>
  <c r="BI40" i="68"/>
  <c r="BG40" i="68"/>
  <c r="BF40" i="68"/>
  <c r="BD41" i="68"/>
  <c r="BC42" i="68"/>
  <c r="BG42" i="66"/>
  <c r="BI42" i="66"/>
  <c r="BF42" i="66"/>
  <c r="BH42" i="66"/>
  <c r="BC44" i="66"/>
  <c r="BD43" i="66"/>
  <c r="BD45" i="65"/>
  <c r="BC46" i="65"/>
  <c r="BH44" i="65"/>
  <c r="BI44" i="65"/>
  <c r="BF44" i="65"/>
  <c r="BG44" i="65"/>
  <c r="BD39" i="64"/>
  <c r="BC40" i="64"/>
  <c r="BI38" i="64"/>
  <c r="BH38" i="64"/>
  <c r="BG38" i="64"/>
  <c r="BF38" i="64"/>
  <c r="BC43" i="63"/>
  <c r="BD42" i="63"/>
  <c r="BF41" i="63"/>
  <c r="BH41" i="63"/>
  <c r="BG41" i="63"/>
  <c r="BI41" i="63"/>
  <c r="BI32" i="61"/>
  <c r="BH32" i="61"/>
  <c r="BF32" i="61"/>
  <c r="BG32" i="61"/>
  <c r="BD33" i="61"/>
  <c r="BC34" i="61"/>
  <c r="BI33" i="60"/>
  <c r="BH33" i="60"/>
  <c r="BG33" i="60"/>
  <c r="BF33" i="60"/>
  <c r="BD34" i="60"/>
  <c r="BC35" i="60"/>
  <c r="BG31" i="58"/>
  <c r="BF31" i="58"/>
  <c r="BH31" i="58"/>
  <c r="BI31" i="58"/>
  <c r="BC33" i="58"/>
  <c r="BD32" i="58"/>
  <c r="BF28" i="57"/>
  <c r="BI28" i="57"/>
  <c r="BH28" i="57"/>
  <c r="BG28" i="57"/>
  <c r="BC30" i="57"/>
  <c r="BD29" i="57"/>
  <c r="BF57" i="81" l="1"/>
  <c r="BI57" i="81"/>
  <c r="BH57" i="81"/>
  <c r="BG57" i="81"/>
  <c r="BC59" i="81"/>
  <c r="BD58" i="81"/>
  <c r="BH56" i="80"/>
  <c r="BG56" i="80"/>
  <c r="BF56" i="80"/>
  <c r="BI56" i="80"/>
  <c r="BC58" i="80"/>
  <c r="BD57" i="80"/>
  <c r="BH55" i="78"/>
  <c r="BG55" i="78"/>
  <c r="BF55" i="78"/>
  <c r="BI55" i="78"/>
  <c r="BC57" i="78"/>
  <c r="BD56" i="78"/>
  <c r="BD56" i="79"/>
  <c r="BC57" i="79"/>
  <c r="BI55" i="79"/>
  <c r="BG55" i="79"/>
  <c r="BH55" i="79"/>
  <c r="BF55" i="79"/>
  <c r="BC54" i="76"/>
  <c r="BD53" i="76"/>
  <c r="BH52" i="76"/>
  <c r="BG52" i="76"/>
  <c r="BF52" i="76"/>
  <c r="BI52" i="76"/>
  <c r="BG51" i="75"/>
  <c r="BF51" i="75"/>
  <c r="BI51" i="75"/>
  <c r="BH51" i="75"/>
  <c r="BC53" i="75"/>
  <c r="BD52" i="75"/>
  <c r="BC51" i="74"/>
  <c r="BD50" i="74"/>
  <c r="BF49" i="74"/>
  <c r="BI49" i="74"/>
  <c r="BH49" i="74"/>
  <c r="BG49" i="74"/>
  <c r="BC49" i="73"/>
  <c r="BD48" i="73"/>
  <c r="BI47" i="73"/>
  <c r="BF47" i="73"/>
  <c r="BH47" i="73"/>
  <c r="BG47" i="73"/>
  <c r="BH45" i="71"/>
  <c r="BF45" i="71"/>
  <c r="BI45" i="71"/>
  <c r="BG45" i="71"/>
  <c r="BD46" i="71"/>
  <c r="BC47" i="71"/>
  <c r="BD44" i="70"/>
  <c r="BC45" i="70"/>
  <c r="BH43" i="70"/>
  <c r="BI43" i="70"/>
  <c r="BG43" i="70"/>
  <c r="BF43" i="70"/>
  <c r="BC44" i="69"/>
  <c r="BD43" i="69"/>
  <c r="BI42" i="69"/>
  <c r="BF42" i="69"/>
  <c r="BG42" i="69"/>
  <c r="BH42" i="69"/>
  <c r="BC43" i="68"/>
  <c r="BD42" i="68"/>
  <c r="BI41" i="68"/>
  <c r="BF41" i="68"/>
  <c r="BH41" i="68"/>
  <c r="BG41" i="68"/>
  <c r="BH43" i="66"/>
  <c r="BF43" i="66"/>
  <c r="BI43" i="66"/>
  <c r="BG43" i="66"/>
  <c r="BC45" i="66"/>
  <c r="BD44" i="66"/>
  <c r="BC47" i="65"/>
  <c r="BD46" i="65"/>
  <c r="BI45" i="65"/>
  <c r="BF45" i="65"/>
  <c r="BG45" i="65"/>
  <c r="BH45" i="65"/>
  <c r="BC41" i="64"/>
  <c r="BD40" i="64"/>
  <c r="BI39" i="64"/>
  <c r="BG39" i="64"/>
  <c r="BF39" i="64"/>
  <c r="BH39" i="64"/>
  <c r="BG42" i="63"/>
  <c r="BH42" i="63"/>
  <c r="BF42" i="63"/>
  <c r="BI42" i="63"/>
  <c r="BC44" i="63"/>
  <c r="BD43" i="63"/>
  <c r="BF33" i="61"/>
  <c r="BH33" i="61"/>
  <c r="BG33" i="61"/>
  <c r="BI33" i="61"/>
  <c r="BC35" i="61"/>
  <c r="BD34" i="61"/>
  <c r="BF34" i="60"/>
  <c r="BI34" i="60"/>
  <c r="BH34" i="60"/>
  <c r="BG34" i="60"/>
  <c r="BD35" i="60"/>
  <c r="BC36" i="60"/>
  <c r="BH32" i="58"/>
  <c r="BG32" i="58"/>
  <c r="BI32" i="58"/>
  <c r="BF32" i="58"/>
  <c r="BD33" i="58"/>
  <c r="BC34" i="58"/>
  <c r="BG29" i="57"/>
  <c r="BF29" i="57"/>
  <c r="BH29" i="57"/>
  <c r="BI29" i="57"/>
  <c r="BC31" i="57"/>
  <c r="BD30" i="57"/>
  <c r="BH58" i="81" l="1"/>
  <c r="BG58" i="81"/>
  <c r="BF58" i="81"/>
  <c r="BI58" i="81"/>
  <c r="BD59" i="81"/>
  <c r="BC60" i="81"/>
  <c r="BF57" i="80"/>
  <c r="BI57" i="80"/>
  <c r="BH57" i="80"/>
  <c r="BG57" i="80"/>
  <c r="BC59" i="80"/>
  <c r="BD58" i="80"/>
  <c r="BF56" i="78"/>
  <c r="BI56" i="78"/>
  <c r="BH56" i="78"/>
  <c r="BG56" i="78"/>
  <c r="BC58" i="78"/>
  <c r="BD57" i="78"/>
  <c r="BD57" i="79"/>
  <c r="BC58" i="79"/>
  <c r="BG56" i="79"/>
  <c r="BI56" i="79"/>
  <c r="BF56" i="79"/>
  <c r="BH56" i="79"/>
  <c r="BF53" i="76"/>
  <c r="BI53" i="76"/>
  <c r="BH53" i="76"/>
  <c r="BG53" i="76"/>
  <c r="BD54" i="76"/>
  <c r="BC55" i="76"/>
  <c r="BH52" i="75"/>
  <c r="BG52" i="75"/>
  <c r="BF52" i="75"/>
  <c r="BI52" i="75"/>
  <c r="BC54" i="75"/>
  <c r="BD53" i="75"/>
  <c r="BG50" i="74"/>
  <c r="BF50" i="74"/>
  <c r="BI50" i="74"/>
  <c r="BH50" i="74"/>
  <c r="BC52" i="74"/>
  <c r="BD51" i="74"/>
  <c r="BF48" i="73"/>
  <c r="BH48" i="73"/>
  <c r="BG48" i="73"/>
  <c r="BI48" i="73"/>
  <c r="BC50" i="73"/>
  <c r="BD49" i="73"/>
  <c r="BD47" i="71"/>
  <c r="BC48" i="71"/>
  <c r="BI46" i="71"/>
  <c r="BH46" i="71"/>
  <c r="BG46" i="71"/>
  <c r="BF46" i="71"/>
  <c r="BC46" i="70"/>
  <c r="BD45" i="70"/>
  <c r="BF44" i="70"/>
  <c r="BI44" i="70"/>
  <c r="BG44" i="70"/>
  <c r="BH44" i="70"/>
  <c r="BF43" i="69"/>
  <c r="BG43" i="69"/>
  <c r="BH43" i="69"/>
  <c r="BI43" i="69"/>
  <c r="BC45" i="69"/>
  <c r="BD44" i="69"/>
  <c r="BF42" i="68"/>
  <c r="BH42" i="68"/>
  <c r="BG42" i="68"/>
  <c r="BI42" i="68"/>
  <c r="BC44" i="68"/>
  <c r="BD43" i="68"/>
  <c r="BG44" i="66"/>
  <c r="BI44" i="66"/>
  <c r="BH44" i="66"/>
  <c r="BF44" i="66"/>
  <c r="BC46" i="66"/>
  <c r="BD45" i="66"/>
  <c r="BF46" i="65"/>
  <c r="BH46" i="65"/>
  <c r="BI46" i="65"/>
  <c r="BG46" i="65"/>
  <c r="BC48" i="65"/>
  <c r="BD47" i="65"/>
  <c r="BF40" i="64"/>
  <c r="BI40" i="64"/>
  <c r="BH40" i="64"/>
  <c r="BG40" i="64"/>
  <c r="BC42" i="64"/>
  <c r="BD41" i="64"/>
  <c r="BH43" i="63"/>
  <c r="BI43" i="63"/>
  <c r="BF43" i="63"/>
  <c r="BG43" i="63"/>
  <c r="BD44" i="63"/>
  <c r="BC45" i="63"/>
  <c r="BG34" i="61"/>
  <c r="BH34" i="61"/>
  <c r="BF34" i="61"/>
  <c r="BI34" i="61"/>
  <c r="BC36" i="61"/>
  <c r="BD35" i="61"/>
  <c r="BD36" i="60"/>
  <c r="BC37" i="60"/>
  <c r="BG35" i="60"/>
  <c r="BF35" i="60"/>
  <c r="BI35" i="60"/>
  <c r="BH35" i="60"/>
  <c r="BD34" i="58"/>
  <c r="BC35" i="58"/>
  <c r="BI33" i="58"/>
  <c r="BH33" i="58"/>
  <c r="BF33" i="58"/>
  <c r="BG33" i="58"/>
  <c r="BH30" i="57"/>
  <c r="BG30" i="57"/>
  <c r="BI30" i="57"/>
  <c r="BF30" i="57"/>
  <c r="BD31" i="57"/>
  <c r="BC32" i="57"/>
  <c r="BD60" i="81" l="1"/>
  <c r="BC61" i="81"/>
  <c r="BI59" i="81"/>
  <c r="BH59" i="81"/>
  <c r="BG59" i="81"/>
  <c r="BF59" i="81"/>
  <c r="BH58" i="80"/>
  <c r="BG58" i="80"/>
  <c r="BF58" i="80"/>
  <c r="BI58" i="80"/>
  <c r="BD59" i="80"/>
  <c r="BC60" i="80"/>
  <c r="BH57" i="78"/>
  <c r="BG57" i="78"/>
  <c r="BF57" i="78"/>
  <c r="BI57" i="78"/>
  <c r="BD58" i="78"/>
  <c r="BC59" i="78"/>
  <c r="BC59" i="79"/>
  <c r="BD58" i="79"/>
  <c r="BI57" i="79"/>
  <c r="BG57" i="79"/>
  <c r="BH57" i="79"/>
  <c r="BF57" i="79"/>
  <c r="BC56" i="76"/>
  <c r="BD55" i="76"/>
  <c r="BH54" i="76"/>
  <c r="BG54" i="76"/>
  <c r="BI54" i="76"/>
  <c r="BF54" i="76"/>
  <c r="BF53" i="75"/>
  <c r="BI53" i="75"/>
  <c r="BH53" i="75"/>
  <c r="BG53" i="75"/>
  <c r="BC55" i="75"/>
  <c r="BD54" i="75"/>
  <c r="BH51" i="74"/>
  <c r="BG51" i="74"/>
  <c r="BF51" i="74"/>
  <c r="BI51" i="74"/>
  <c r="BD52" i="74"/>
  <c r="BC53" i="74"/>
  <c r="BG49" i="73"/>
  <c r="BI49" i="73"/>
  <c r="BH49" i="73"/>
  <c r="BF49" i="73"/>
  <c r="BD50" i="73"/>
  <c r="BC51" i="73"/>
  <c r="BC49" i="71"/>
  <c r="BD48" i="71"/>
  <c r="BF47" i="71"/>
  <c r="BI47" i="71"/>
  <c r="BH47" i="71"/>
  <c r="BG47" i="71"/>
  <c r="BG45" i="70"/>
  <c r="BF45" i="70"/>
  <c r="BI45" i="70"/>
  <c r="BH45" i="70"/>
  <c r="BC47" i="70"/>
  <c r="BD46" i="70"/>
  <c r="BI44" i="69"/>
  <c r="BG44" i="69"/>
  <c r="BH44" i="69"/>
  <c r="BF44" i="69"/>
  <c r="BD45" i="69"/>
  <c r="BC46" i="69"/>
  <c r="BI43" i="68"/>
  <c r="BG43" i="68"/>
  <c r="BH43" i="68"/>
  <c r="BF43" i="68"/>
  <c r="BD44" i="68"/>
  <c r="BC45" i="68"/>
  <c r="BH45" i="66"/>
  <c r="BF45" i="66"/>
  <c r="BG45" i="66"/>
  <c r="BI45" i="66"/>
  <c r="BD46" i="66"/>
  <c r="BC47" i="66"/>
  <c r="BG47" i="65"/>
  <c r="BF47" i="65"/>
  <c r="BH47" i="65"/>
  <c r="BI47" i="65"/>
  <c r="BC49" i="65"/>
  <c r="BD48" i="65"/>
  <c r="BG41" i="64"/>
  <c r="BF41" i="64"/>
  <c r="BI41" i="64"/>
  <c r="BH41" i="64"/>
  <c r="BC43" i="64"/>
  <c r="BD42" i="64"/>
  <c r="BD45" i="63"/>
  <c r="BC46" i="63"/>
  <c r="BH44" i="63"/>
  <c r="BF44" i="63"/>
  <c r="BI44" i="63"/>
  <c r="BG44" i="63"/>
  <c r="BH35" i="61"/>
  <c r="BI35" i="61"/>
  <c r="BF35" i="61"/>
  <c r="BG35" i="61"/>
  <c r="BD36" i="61"/>
  <c r="BC37" i="61"/>
  <c r="BC38" i="60"/>
  <c r="BD37" i="60"/>
  <c r="BI36" i="60"/>
  <c r="BG36" i="60"/>
  <c r="BF36" i="60"/>
  <c r="BH36" i="60"/>
  <c r="BD35" i="58"/>
  <c r="BC36" i="58"/>
  <c r="BF34" i="58"/>
  <c r="BI34" i="58"/>
  <c r="BH34" i="58"/>
  <c r="BG34" i="58"/>
  <c r="BD32" i="57"/>
  <c r="BC33" i="57"/>
  <c r="BI31" i="57"/>
  <c r="BH31" i="57"/>
  <c r="BF31" i="57"/>
  <c r="BG31" i="57"/>
  <c r="BC62" i="81" l="1"/>
  <c r="BD61" i="81"/>
  <c r="BF60" i="81"/>
  <c r="BI60" i="81"/>
  <c r="BH60" i="81"/>
  <c r="BG60" i="81"/>
  <c r="BD60" i="80"/>
  <c r="BC61" i="80"/>
  <c r="BI59" i="80"/>
  <c r="BH59" i="80"/>
  <c r="BG59" i="80"/>
  <c r="BF59" i="80"/>
  <c r="BC60" i="78"/>
  <c r="BD59" i="78"/>
  <c r="BF58" i="78"/>
  <c r="BI58" i="78"/>
  <c r="BH58" i="78"/>
  <c r="BG58" i="78"/>
  <c r="BG58" i="79"/>
  <c r="BI58" i="79"/>
  <c r="BH58" i="79"/>
  <c r="BF58" i="79"/>
  <c r="BD59" i="79"/>
  <c r="BC60" i="79"/>
  <c r="BF55" i="76"/>
  <c r="BI55" i="76"/>
  <c r="BH55" i="76"/>
  <c r="BG55" i="76"/>
  <c r="BC57" i="76"/>
  <c r="BD56" i="76"/>
  <c r="BH54" i="75"/>
  <c r="BG54" i="75"/>
  <c r="BF54" i="75"/>
  <c r="BI54" i="75"/>
  <c r="BC56" i="75"/>
  <c r="BD55" i="75"/>
  <c r="BC54" i="74"/>
  <c r="BD53" i="74"/>
  <c r="BI52" i="74"/>
  <c r="BH52" i="74"/>
  <c r="BG52" i="74"/>
  <c r="BF52" i="74"/>
  <c r="BD51" i="73"/>
  <c r="BC52" i="73"/>
  <c r="BI50" i="73"/>
  <c r="BH50" i="73"/>
  <c r="BG50" i="73"/>
  <c r="BF50" i="73"/>
  <c r="BG48" i="71"/>
  <c r="BF48" i="71"/>
  <c r="BI48" i="71"/>
  <c r="BH48" i="71"/>
  <c r="BC50" i="71"/>
  <c r="BD49" i="71"/>
  <c r="BH46" i="70"/>
  <c r="BG46" i="70"/>
  <c r="BF46" i="70"/>
  <c r="BI46" i="70"/>
  <c r="BD47" i="70"/>
  <c r="BC48" i="70"/>
  <c r="BD46" i="69"/>
  <c r="BC47" i="69"/>
  <c r="BH45" i="69"/>
  <c r="BF45" i="69"/>
  <c r="BG45" i="69"/>
  <c r="BI45" i="69"/>
  <c r="BD45" i="68"/>
  <c r="BC46" i="68"/>
  <c r="BH44" i="68"/>
  <c r="BI44" i="68"/>
  <c r="BF44" i="68"/>
  <c r="BG44" i="68"/>
  <c r="BI46" i="66"/>
  <c r="BG46" i="66"/>
  <c r="BH46" i="66"/>
  <c r="BF46" i="66"/>
  <c r="BC48" i="66"/>
  <c r="BD47" i="66"/>
  <c r="BH48" i="65"/>
  <c r="BF48" i="65"/>
  <c r="BG48" i="65"/>
  <c r="BI48" i="65"/>
  <c r="BD49" i="65"/>
  <c r="BC50" i="65"/>
  <c r="BH42" i="64"/>
  <c r="BG42" i="64"/>
  <c r="BF42" i="64"/>
  <c r="BI42" i="64"/>
  <c r="BC44" i="64"/>
  <c r="BD43" i="64"/>
  <c r="BD46" i="63"/>
  <c r="BC47" i="63"/>
  <c r="BI45" i="63"/>
  <c r="BG45" i="63"/>
  <c r="BH45" i="63"/>
  <c r="BF45" i="63"/>
  <c r="BC38" i="61"/>
  <c r="BD37" i="61"/>
  <c r="BI36" i="61"/>
  <c r="BG36" i="61"/>
  <c r="BH36" i="61"/>
  <c r="BF36" i="61"/>
  <c r="BF37" i="60"/>
  <c r="BI37" i="60"/>
  <c r="BH37" i="60"/>
  <c r="BG37" i="60"/>
  <c r="BC39" i="60"/>
  <c r="BD38" i="60"/>
  <c r="BC37" i="58"/>
  <c r="BD36" i="58"/>
  <c r="BG35" i="58"/>
  <c r="BF35" i="58"/>
  <c r="BH35" i="58"/>
  <c r="BI35" i="58"/>
  <c r="BC34" i="57"/>
  <c r="BD33" i="57"/>
  <c r="BF32" i="57"/>
  <c r="BI32" i="57"/>
  <c r="BH32" i="57"/>
  <c r="BG32" i="57"/>
  <c r="BG61" i="81" l="1"/>
  <c r="BF61" i="81"/>
  <c r="BI61" i="81"/>
  <c r="BH61" i="81"/>
  <c r="BC63" i="81"/>
  <c r="BD63" i="81" s="1"/>
  <c r="BD62" i="81"/>
  <c r="BC62" i="80"/>
  <c r="BD61" i="80"/>
  <c r="BF60" i="80"/>
  <c r="BI60" i="80"/>
  <c r="BH60" i="80"/>
  <c r="BG60" i="80"/>
  <c r="BG59" i="78"/>
  <c r="BF59" i="78"/>
  <c r="BI59" i="78"/>
  <c r="BH59" i="78"/>
  <c r="BC61" i="78"/>
  <c r="BD60" i="78"/>
  <c r="BD60" i="79"/>
  <c r="BC61" i="79"/>
  <c r="BH59" i="79"/>
  <c r="BF59" i="79"/>
  <c r="BI59" i="79"/>
  <c r="BG59" i="79"/>
  <c r="BH56" i="76"/>
  <c r="BG56" i="76"/>
  <c r="BI56" i="76"/>
  <c r="BF56" i="76"/>
  <c r="BC58" i="76"/>
  <c r="BD57" i="76"/>
  <c r="BF55" i="75"/>
  <c r="BI55" i="75"/>
  <c r="BH55" i="75"/>
  <c r="BG55" i="75"/>
  <c r="BC57" i="75"/>
  <c r="BD56" i="75"/>
  <c r="BG53" i="74"/>
  <c r="BF53" i="74"/>
  <c r="BI53" i="74"/>
  <c r="BH53" i="74"/>
  <c r="BD54" i="74"/>
  <c r="BC55" i="74"/>
  <c r="BC53" i="73"/>
  <c r="BD52" i="73"/>
  <c r="BF51" i="73"/>
  <c r="BI51" i="73"/>
  <c r="BG51" i="73"/>
  <c r="BH51" i="73"/>
  <c r="BH49" i="71"/>
  <c r="BG49" i="71"/>
  <c r="BF49" i="71"/>
  <c r="BI49" i="71"/>
  <c r="BD50" i="71"/>
  <c r="BC51" i="71"/>
  <c r="BD48" i="70"/>
  <c r="BC49" i="70"/>
  <c r="BI47" i="70"/>
  <c r="BH47" i="70"/>
  <c r="BG47" i="70"/>
  <c r="BF47" i="70"/>
  <c r="BD47" i="69"/>
  <c r="BC48" i="69"/>
  <c r="BI46" i="69"/>
  <c r="BG46" i="69"/>
  <c r="BH46" i="69"/>
  <c r="BF46" i="69"/>
  <c r="BD46" i="68"/>
  <c r="BC47" i="68"/>
  <c r="BI45" i="68"/>
  <c r="BF45" i="68"/>
  <c r="BH45" i="68"/>
  <c r="BG45" i="68"/>
  <c r="BF47" i="66"/>
  <c r="BH47" i="66"/>
  <c r="BG47" i="66"/>
  <c r="BI47" i="66"/>
  <c r="BC49" i="66"/>
  <c r="BD48" i="66"/>
  <c r="BI49" i="65"/>
  <c r="BH49" i="65"/>
  <c r="BG49" i="65"/>
  <c r="BF49" i="65"/>
  <c r="BD50" i="65"/>
  <c r="BC51" i="65"/>
  <c r="BI43" i="64"/>
  <c r="BG43" i="64"/>
  <c r="BF43" i="64"/>
  <c r="BH43" i="64"/>
  <c r="BD44" i="64"/>
  <c r="BC45" i="64"/>
  <c r="BC48" i="63"/>
  <c r="BD47" i="63"/>
  <c r="BF46" i="63"/>
  <c r="BH46" i="63"/>
  <c r="BI46" i="63"/>
  <c r="BG46" i="63"/>
  <c r="BF37" i="61"/>
  <c r="BI37" i="61"/>
  <c r="BG37" i="61"/>
  <c r="BH37" i="61"/>
  <c r="BC39" i="61"/>
  <c r="BD38" i="61"/>
  <c r="BG38" i="60"/>
  <c r="BF38" i="60"/>
  <c r="BI38" i="60"/>
  <c r="BH38" i="60"/>
  <c r="BC40" i="60"/>
  <c r="BD39" i="60"/>
  <c r="BG36" i="58"/>
  <c r="BH36" i="58"/>
  <c r="BF36" i="58"/>
  <c r="BI36" i="58"/>
  <c r="BC38" i="58"/>
  <c r="BD37" i="58"/>
  <c r="BG33" i="57"/>
  <c r="BF33" i="57"/>
  <c r="BH33" i="57"/>
  <c r="BI33" i="57"/>
  <c r="BC35" i="57"/>
  <c r="BD34" i="57"/>
  <c r="BI62" i="81" l="1"/>
  <c r="BH62" i="81"/>
  <c r="BG62" i="81"/>
  <c r="BF62" i="81"/>
  <c r="BH63" i="81"/>
  <c r="BG63" i="81"/>
  <c r="BF63" i="81"/>
  <c r="BI63" i="81"/>
  <c r="BG61" i="80"/>
  <c r="BF61" i="80"/>
  <c r="BI61" i="80"/>
  <c r="BH61" i="80"/>
  <c r="BC63" i="80"/>
  <c r="BD63" i="80" s="1"/>
  <c r="BD62" i="80"/>
  <c r="BH60" i="78"/>
  <c r="BG60" i="78"/>
  <c r="BF60" i="78"/>
  <c r="BI60" i="78"/>
  <c r="BD61" i="78"/>
  <c r="BC62" i="78"/>
  <c r="BC62" i="79"/>
  <c r="BD61" i="79"/>
  <c r="BI60" i="79"/>
  <c r="BG60" i="79"/>
  <c r="BH60" i="79"/>
  <c r="BF60" i="79"/>
  <c r="BF57" i="76"/>
  <c r="BI57" i="76"/>
  <c r="BH57" i="76"/>
  <c r="BG57" i="76"/>
  <c r="BC59" i="76"/>
  <c r="BD58" i="76"/>
  <c r="BH56" i="75"/>
  <c r="BG56" i="75"/>
  <c r="BF56" i="75"/>
  <c r="BI56" i="75"/>
  <c r="BC58" i="75"/>
  <c r="BD57" i="75"/>
  <c r="BC56" i="74"/>
  <c r="BD55" i="74"/>
  <c r="BI54" i="74"/>
  <c r="BH54" i="74"/>
  <c r="BG54" i="74"/>
  <c r="BF54" i="74"/>
  <c r="BG52" i="73"/>
  <c r="BF52" i="73"/>
  <c r="BI52" i="73"/>
  <c r="BH52" i="73"/>
  <c r="BD53" i="73"/>
  <c r="BC54" i="73"/>
  <c r="BD51" i="71"/>
  <c r="BC52" i="71"/>
  <c r="BI50" i="71"/>
  <c r="BH50" i="71"/>
  <c r="BG50" i="71"/>
  <c r="BF50" i="71"/>
  <c r="BC50" i="70"/>
  <c r="BD49" i="70"/>
  <c r="BF48" i="70"/>
  <c r="BI48" i="70"/>
  <c r="BG48" i="70"/>
  <c r="BH48" i="70"/>
  <c r="BC49" i="69"/>
  <c r="BD48" i="69"/>
  <c r="BF47" i="69"/>
  <c r="BH47" i="69"/>
  <c r="BG47" i="69"/>
  <c r="BI47" i="69"/>
  <c r="BD47" i="68"/>
  <c r="BC48" i="68"/>
  <c r="BF46" i="68"/>
  <c r="BH46" i="68"/>
  <c r="BI46" i="68"/>
  <c r="BG46" i="68"/>
  <c r="BG48" i="66"/>
  <c r="BI48" i="66"/>
  <c r="BH48" i="66"/>
  <c r="BF48" i="66"/>
  <c r="BC50" i="66"/>
  <c r="BD49" i="66"/>
  <c r="BF50" i="65"/>
  <c r="BG50" i="65"/>
  <c r="BH50" i="65"/>
  <c r="BI50" i="65"/>
  <c r="BC52" i="65"/>
  <c r="BD51" i="65"/>
  <c r="BC46" i="64"/>
  <c r="BD45" i="64"/>
  <c r="BI44" i="64"/>
  <c r="BF44" i="64"/>
  <c r="BG44" i="64"/>
  <c r="BH44" i="64"/>
  <c r="BG47" i="63"/>
  <c r="BI47" i="63"/>
  <c r="BF47" i="63"/>
  <c r="BH47" i="63"/>
  <c r="BD48" i="63"/>
  <c r="BC49" i="63"/>
  <c r="BG38" i="61"/>
  <c r="BF38" i="61"/>
  <c r="BI38" i="61"/>
  <c r="BH38" i="61"/>
  <c r="BC40" i="61"/>
  <c r="BD39" i="61"/>
  <c r="BH39" i="60"/>
  <c r="BG39" i="60"/>
  <c r="BF39" i="60"/>
  <c r="BI39" i="60"/>
  <c r="BD40" i="60"/>
  <c r="BC41" i="60"/>
  <c r="BH37" i="58"/>
  <c r="BI37" i="58"/>
  <c r="BG37" i="58"/>
  <c r="BF37" i="58"/>
  <c r="BD38" i="58"/>
  <c r="BC39" i="58"/>
  <c r="BH34" i="57"/>
  <c r="BG34" i="57"/>
  <c r="BI34" i="57"/>
  <c r="BF34" i="57"/>
  <c r="BD35" i="57"/>
  <c r="BC36" i="57"/>
  <c r="BI62" i="80" l="1"/>
  <c r="BH62" i="80"/>
  <c r="BG62" i="80"/>
  <c r="BF62" i="80"/>
  <c r="BH63" i="80"/>
  <c r="BG63" i="80"/>
  <c r="BF63" i="80"/>
  <c r="BI63" i="80"/>
  <c r="BC63" i="78"/>
  <c r="BD63" i="78" s="1"/>
  <c r="BD62" i="78"/>
  <c r="BI61" i="78"/>
  <c r="BH61" i="78"/>
  <c r="BG61" i="78"/>
  <c r="BF61" i="78"/>
  <c r="BF61" i="79"/>
  <c r="BI61" i="79"/>
  <c r="BH61" i="79"/>
  <c r="BG61" i="79"/>
  <c r="BD62" i="79"/>
  <c r="BC63" i="79"/>
  <c r="BD63" i="79" s="1"/>
  <c r="BH58" i="76"/>
  <c r="BG58" i="76"/>
  <c r="BI58" i="76"/>
  <c r="BF58" i="76"/>
  <c r="BD59" i="76"/>
  <c r="BC60" i="76"/>
  <c r="BF57" i="75"/>
  <c r="BI57" i="75"/>
  <c r="BH57" i="75"/>
  <c r="BG57" i="75"/>
  <c r="BC59" i="75"/>
  <c r="BD58" i="75"/>
  <c r="BG55" i="74"/>
  <c r="BF55" i="74"/>
  <c r="BI55" i="74"/>
  <c r="BH55" i="74"/>
  <c r="BD56" i="74"/>
  <c r="BC57" i="74"/>
  <c r="BD54" i="73"/>
  <c r="BC55" i="73"/>
  <c r="BH53" i="73"/>
  <c r="BG53" i="73"/>
  <c r="BF53" i="73"/>
  <c r="BI53" i="73"/>
  <c r="BC53" i="71"/>
  <c r="BD52" i="71"/>
  <c r="BF51" i="71"/>
  <c r="BI51" i="71"/>
  <c r="BH51" i="71"/>
  <c r="BG51" i="71"/>
  <c r="BG49" i="70"/>
  <c r="BF49" i="70"/>
  <c r="BI49" i="70"/>
  <c r="BH49" i="70"/>
  <c r="BC51" i="70"/>
  <c r="BD50" i="70"/>
  <c r="BG48" i="69"/>
  <c r="BI48" i="69"/>
  <c r="BF48" i="69"/>
  <c r="BH48" i="69"/>
  <c r="BD49" i="69"/>
  <c r="BC50" i="69"/>
  <c r="BD48" i="68"/>
  <c r="BC49" i="68"/>
  <c r="BI47" i="68"/>
  <c r="BG47" i="68"/>
  <c r="BF47" i="68"/>
  <c r="BH47" i="68"/>
  <c r="BH49" i="66"/>
  <c r="BF49" i="66"/>
  <c r="BG49" i="66"/>
  <c r="BI49" i="66"/>
  <c r="BD50" i="66"/>
  <c r="BC51" i="66"/>
  <c r="BG51" i="65"/>
  <c r="BH51" i="65"/>
  <c r="BI51" i="65"/>
  <c r="BF51" i="65"/>
  <c r="BC53" i="65"/>
  <c r="BD52" i="65"/>
  <c r="BF45" i="64"/>
  <c r="BG45" i="64"/>
  <c r="BH45" i="64"/>
  <c r="BI45" i="64"/>
  <c r="BC47" i="64"/>
  <c r="BD46" i="64"/>
  <c r="BD49" i="63"/>
  <c r="BC50" i="63"/>
  <c r="BH48" i="63"/>
  <c r="BF48" i="63"/>
  <c r="BG48" i="63"/>
  <c r="BI48" i="63"/>
  <c r="BH39" i="61"/>
  <c r="BG39" i="61"/>
  <c r="BF39" i="61"/>
  <c r="BI39" i="61"/>
  <c r="BD40" i="61"/>
  <c r="BC41" i="61"/>
  <c r="BC42" i="60"/>
  <c r="BD41" i="60"/>
  <c r="BI40" i="60"/>
  <c r="BH40" i="60"/>
  <c r="BG40" i="60"/>
  <c r="BF40" i="60"/>
  <c r="BC40" i="58"/>
  <c r="BD39" i="58"/>
  <c r="BI38" i="58"/>
  <c r="BF38" i="58"/>
  <c r="BH38" i="58"/>
  <c r="BG38" i="58"/>
  <c r="BI35" i="57"/>
  <c r="BH35" i="57"/>
  <c r="BF35" i="57"/>
  <c r="BG35" i="57"/>
  <c r="BD36" i="57"/>
  <c r="BC37" i="57"/>
  <c r="BG62" i="78" l="1"/>
  <c r="BF62" i="78"/>
  <c r="BI62" i="78"/>
  <c r="BH62" i="78"/>
  <c r="BF63" i="78"/>
  <c r="BI63" i="78"/>
  <c r="BH63" i="78"/>
  <c r="BG63" i="78"/>
  <c r="BG63" i="79"/>
  <c r="BF63" i="79"/>
  <c r="BI63" i="79"/>
  <c r="BH63" i="79"/>
  <c r="BH62" i="79"/>
  <c r="BG62" i="79"/>
  <c r="BF62" i="79"/>
  <c r="BI62" i="79"/>
  <c r="BD60" i="76"/>
  <c r="BC61" i="76"/>
  <c r="BI59" i="76"/>
  <c r="BH59" i="76"/>
  <c r="BG59" i="76"/>
  <c r="BF59" i="76"/>
  <c r="BH58" i="75"/>
  <c r="BG58" i="75"/>
  <c r="BF58" i="75"/>
  <c r="BI58" i="75"/>
  <c r="BD59" i="75"/>
  <c r="BC60" i="75"/>
  <c r="BC58" i="74"/>
  <c r="BD57" i="74"/>
  <c r="BI56" i="74"/>
  <c r="BH56" i="74"/>
  <c r="BG56" i="74"/>
  <c r="BF56" i="74"/>
  <c r="BC56" i="73"/>
  <c r="BD55" i="73"/>
  <c r="BF54" i="73"/>
  <c r="BI54" i="73"/>
  <c r="BH54" i="73"/>
  <c r="BG54" i="73"/>
  <c r="BG52" i="71"/>
  <c r="BF52" i="71"/>
  <c r="BI52" i="71"/>
  <c r="BH52" i="71"/>
  <c r="BC54" i="71"/>
  <c r="BD53" i="71"/>
  <c r="BH50" i="70"/>
  <c r="BG50" i="70"/>
  <c r="BF50" i="70"/>
  <c r="BI50" i="70"/>
  <c r="BD51" i="70"/>
  <c r="BC52" i="70"/>
  <c r="BD50" i="69"/>
  <c r="BC51" i="69"/>
  <c r="BH49" i="69"/>
  <c r="BF49" i="69"/>
  <c r="BG49" i="69"/>
  <c r="BI49" i="69"/>
  <c r="BC50" i="68"/>
  <c r="BD49" i="68"/>
  <c r="BF48" i="68"/>
  <c r="BH48" i="68"/>
  <c r="BI48" i="68"/>
  <c r="BG48" i="68"/>
  <c r="BC52" i="66"/>
  <c r="BD51" i="66"/>
  <c r="BI50" i="66"/>
  <c r="BG50" i="66"/>
  <c r="BH50" i="66"/>
  <c r="BF50" i="66"/>
  <c r="BH52" i="65"/>
  <c r="BI52" i="65"/>
  <c r="BG52" i="65"/>
  <c r="BF52" i="65"/>
  <c r="BC54" i="65"/>
  <c r="BD53" i="65"/>
  <c r="BG46" i="64"/>
  <c r="BI46" i="64"/>
  <c r="BH46" i="64"/>
  <c r="BF46" i="64"/>
  <c r="BD47" i="64"/>
  <c r="BC48" i="64"/>
  <c r="BD50" i="63"/>
  <c r="BC51" i="63"/>
  <c r="BI49" i="63"/>
  <c r="BG49" i="63"/>
  <c r="BH49" i="63"/>
  <c r="BF49" i="63"/>
  <c r="BC42" i="61"/>
  <c r="BD41" i="61"/>
  <c r="BI40" i="61"/>
  <c r="BG40" i="61"/>
  <c r="BH40" i="61"/>
  <c r="BF40" i="61"/>
  <c r="BF41" i="60"/>
  <c r="BG41" i="60"/>
  <c r="BH41" i="60"/>
  <c r="BI41" i="60"/>
  <c r="BC43" i="60"/>
  <c r="BD42" i="60"/>
  <c r="BF39" i="58"/>
  <c r="BH39" i="58"/>
  <c r="BG39" i="58"/>
  <c r="BI39" i="58"/>
  <c r="BC41" i="58"/>
  <c r="BD40" i="58"/>
  <c r="BF36" i="57"/>
  <c r="BI36" i="57"/>
  <c r="BH36" i="57"/>
  <c r="BG36" i="57"/>
  <c r="BC38" i="57"/>
  <c r="BD37" i="57"/>
  <c r="BC62" i="76" l="1"/>
  <c r="BD61" i="76"/>
  <c r="BF60" i="76"/>
  <c r="BI60" i="76"/>
  <c r="BH60" i="76"/>
  <c r="BG60" i="76"/>
  <c r="BD60" i="75"/>
  <c r="BC61" i="75"/>
  <c r="BI59" i="75"/>
  <c r="BH59" i="75"/>
  <c r="BG59" i="75"/>
  <c r="BF59" i="75"/>
  <c r="BG57" i="74"/>
  <c r="BF57" i="74"/>
  <c r="BI57" i="74"/>
  <c r="BH57" i="74"/>
  <c r="BD58" i="74"/>
  <c r="BC59" i="74"/>
  <c r="BG55" i="73"/>
  <c r="BF55" i="73"/>
  <c r="BI55" i="73"/>
  <c r="BH55" i="73"/>
  <c r="BD56" i="73"/>
  <c r="BC57" i="73"/>
  <c r="BH53" i="71"/>
  <c r="BG53" i="71"/>
  <c r="BF53" i="71"/>
  <c r="BI53" i="71"/>
  <c r="BD54" i="71"/>
  <c r="BC55" i="71"/>
  <c r="BD52" i="70"/>
  <c r="BC53" i="70"/>
  <c r="BI51" i="70"/>
  <c r="BH51" i="70"/>
  <c r="BG51" i="70"/>
  <c r="BF51" i="70"/>
  <c r="BD51" i="69"/>
  <c r="BC52" i="69"/>
  <c r="BI50" i="69"/>
  <c r="BG50" i="69"/>
  <c r="BF50" i="69"/>
  <c r="BH50" i="69"/>
  <c r="BG49" i="68"/>
  <c r="BI49" i="68"/>
  <c r="BF49" i="68"/>
  <c r="BH49" i="68"/>
  <c r="BD50" i="68"/>
  <c r="BC51" i="68"/>
  <c r="BC53" i="66"/>
  <c r="BD52" i="66"/>
  <c r="BF51" i="66"/>
  <c r="BH51" i="66"/>
  <c r="BG51" i="66"/>
  <c r="BI51" i="66"/>
  <c r="BH53" i="65"/>
  <c r="BI53" i="65"/>
  <c r="BG53" i="65"/>
  <c r="BF53" i="65"/>
  <c r="BD54" i="65"/>
  <c r="BC55" i="65"/>
  <c r="BD48" i="64"/>
  <c r="BC49" i="64"/>
  <c r="BH47" i="64"/>
  <c r="BG47" i="64"/>
  <c r="BI47" i="64"/>
  <c r="BF47" i="64"/>
  <c r="BC52" i="63"/>
  <c r="BD51" i="63"/>
  <c r="BF50" i="63"/>
  <c r="BH50" i="63"/>
  <c r="BI50" i="63"/>
  <c r="BG50" i="63"/>
  <c r="BF41" i="61"/>
  <c r="BG41" i="61"/>
  <c r="BI41" i="61"/>
  <c r="BH41" i="61"/>
  <c r="BC43" i="61"/>
  <c r="BD42" i="61"/>
  <c r="BH42" i="60"/>
  <c r="BG42" i="60"/>
  <c r="BI42" i="60"/>
  <c r="BF42" i="60"/>
  <c r="BD43" i="60"/>
  <c r="BC44" i="60"/>
  <c r="BG40" i="58"/>
  <c r="BI40" i="58"/>
  <c r="BH40" i="58"/>
  <c r="BF40" i="58"/>
  <c r="BC42" i="58"/>
  <c r="BD41" i="58"/>
  <c r="BG37" i="57"/>
  <c r="BF37" i="57"/>
  <c r="BI37" i="57"/>
  <c r="BH37" i="57"/>
  <c r="BC39" i="57"/>
  <c r="BD38" i="57"/>
  <c r="BG61" i="76" l="1"/>
  <c r="BF61" i="76"/>
  <c r="BI61" i="76"/>
  <c r="BH61" i="76"/>
  <c r="BC63" i="76"/>
  <c r="BD63" i="76" s="1"/>
  <c r="BD62" i="76"/>
  <c r="BC62" i="75"/>
  <c r="BD61" i="75"/>
  <c r="BF60" i="75"/>
  <c r="BI60" i="75"/>
  <c r="BH60" i="75"/>
  <c r="BG60" i="75"/>
  <c r="BD59" i="74"/>
  <c r="BC60" i="74"/>
  <c r="BI58" i="74"/>
  <c r="BH58" i="74"/>
  <c r="BG58" i="74"/>
  <c r="BF58" i="74"/>
  <c r="BC58" i="73"/>
  <c r="BD57" i="73"/>
  <c r="BI56" i="73"/>
  <c r="BH56" i="73"/>
  <c r="BG56" i="73"/>
  <c r="BF56" i="73"/>
  <c r="BI54" i="71"/>
  <c r="BH54" i="71"/>
  <c r="BG54" i="71"/>
  <c r="BF54" i="71"/>
  <c r="BC56" i="71"/>
  <c r="BD55" i="71"/>
  <c r="BC54" i="70"/>
  <c r="BD53" i="70"/>
  <c r="BF52" i="70"/>
  <c r="BI52" i="70"/>
  <c r="BG52" i="70"/>
  <c r="BH52" i="70"/>
  <c r="BC53" i="69"/>
  <c r="BD52" i="69"/>
  <c r="BF51" i="69"/>
  <c r="BH51" i="69"/>
  <c r="BG51" i="69"/>
  <c r="BI51" i="69"/>
  <c r="BD51" i="68"/>
  <c r="BC52" i="68"/>
  <c r="BH50" i="68"/>
  <c r="BF50" i="68"/>
  <c r="BI50" i="68"/>
  <c r="BG50" i="68"/>
  <c r="BC54" i="66"/>
  <c r="BD53" i="66"/>
  <c r="BG52" i="66"/>
  <c r="BI52" i="66"/>
  <c r="BH52" i="66"/>
  <c r="BF52" i="66"/>
  <c r="BC56" i="65"/>
  <c r="BD55" i="65"/>
  <c r="BI54" i="65"/>
  <c r="BH54" i="65"/>
  <c r="BF54" i="65"/>
  <c r="BG54" i="65"/>
  <c r="BD49" i="64"/>
  <c r="BC50" i="64"/>
  <c r="BI48" i="64"/>
  <c r="BG48" i="64"/>
  <c r="BH48" i="64"/>
  <c r="BF48" i="64"/>
  <c r="BG51" i="63"/>
  <c r="BI51" i="63"/>
  <c r="BF51" i="63"/>
  <c r="BH51" i="63"/>
  <c r="BD52" i="63"/>
  <c r="BC53" i="63"/>
  <c r="BG42" i="61"/>
  <c r="BI42" i="61"/>
  <c r="BF42" i="61"/>
  <c r="BH42" i="61"/>
  <c r="BD43" i="61"/>
  <c r="BC44" i="61"/>
  <c r="BC45" i="60"/>
  <c r="BD44" i="60"/>
  <c r="BI43" i="60"/>
  <c r="BH43" i="60"/>
  <c r="BG43" i="60"/>
  <c r="BF43" i="60"/>
  <c r="BH41" i="58"/>
  <c r="BG41" i="58"/>
  <c r="BF41" i="58"/>
  <c r="BI41" i="58"/>
  <c r="BD42" i="58"/>
  <c r="BC43" i="58"/>
  <c r="BD39" i="57"/>
  <c r="BC40" i="57"/>
  <c r="BH38" i="57"/>
  <c r="BG38" i="57"/>
  <c r="BF38" i="57"/>
  <c r="BI38" i="57"/>
  <c r="BI62" i="76" l="1"/>
  <c r="BH62" i="76"/>
  <c r="BG62" i="76"/>
  <c r="BF62" i="76"/>
  <c r="BH63" i="76"/>
  <c r="BG63" i="76"/>
  <c r="BI63" i="76"/>
  <c r="BF63" i="76"/>
  <c r="BG61" i="75"/>
  <c r="BF61" i="75"/>
  <c r="BI61" i="75"/>
  <c r="BH61" i="75"/>
  <c r="BC63" i="75"/>
  <c r="BD63" i="75" s="1"/>
  <c r="BD62" i="75"/>
  <c r="BC61" i="74"/>
  <c r="BD60" i="74"/>
  <c r="BF59" i="74"/>
  <c r="BI59" i="74"/>
  <c r="BH59" i="74"/>
  <c r="BG59" i="74"/>
  <c r="BG57" i="73"/>
  <c r="BF57" i="73"/>
  <c r="BI57" i="73"/>
  <c r="BH57" i="73"/>
  <c r="BD58" i="73"/>
  <c r="BC59" i="73"/>
  <c r="BF55" i="71"/>
  <c r="BI55" i="71"/>
  <c r="BH55" i="71"/>
  <c r="BG55" i="71"/>
  <c r="BC57" i="71"/>
  <c r="BD56" i="71"/>
  <c r="BG53" i="70"/>
  <c r="BF53" i="70"/>
  <c r="BI53" i="70"/>
  <c r="BH53" i="70"/>
  <c r="BC55" i="70"/>
  <c r="BD54" i="70"/>
  <c r="BG52" i="69"/>
  <c r="BI52" i="69"/>
  <c r="BF52" i="69"/>
  <c r="BH52" i="69"/>
  <c r="BD53" i="69"/>
  <c r="BC54" i="69"/>
  <c r="BD52" i="68"/>
  <c r="BC53" i="68"/>
  <c r="BI51" i="68"/>
  <c r="BG51" i="68"/>
  <c r="BF51" i="68"/>
  <c r="BH51" i="68"/>
  <c r="BD54" i="66"/>
  <c r="BC55" i="66"/>
  <c r="BH53" i="66"/>
  <c r="BF53" i="66"/>
  <c r="BG53" i="66"/>
  <c r="BI53" i="66"/>
  <c r="BF55" i="65"/>
  <c r="BI55" i="65"/>
  <c r="BG55" i="65"/>
  <c r="BH55" i="65"/>
  <c r="BD56" i="65"/>
  <c r="BC57" i="65"/>
  <c r="BC51" i="64"/>
  <c r="BD50" i="64"/>
  <c r="BF49" i="64"/>
  <c r="BI49" i="64"/>
  <c r="BH49" i="64"/>
  <c r="BG49" i="64"/>
  <c r="BH52" i="63"/>
  <c r="BF52" i="63"/>
  <c r="BG52" i="63"/>
  <c r="BI52" i="63"/>
  <c r="BD53" i="63"/>
  <c r="BC54" i="63"/>
  <c r="BD44" i="61"/>
  <c r="BC45" i="61"/>
  <c r="BH43" i="61"/>
  <c r="BG43" i="61"/>
  <c r="BF43" i="61"/>
  <c r="BI43" i="61"/>
  <c r="BF44" i="60"/>
  <c r="BI44" i="60"/>
  <c r="BH44" i="60"/>
  <c r="BG44" i="60"/>
  <c r="BD45" i="60"/>
  <c r="BC46" i="60"/>
  <c r="BD43" i="58"/>
  <c r="BC44" i="58"/>
  <c r="BI42" i="58"/>
  <c r="BH42" i="58"/>
  <c r="BG42" i="58"/>
  <c r="BF42" i="58"/>
  <c r="BI39" i="57"/>
  <c r="BH39" i="57"/>
  <c r="BG39" i="57"/>
  <c r="BF39" i="57"/>
  <c r="BC41" i="57"/>
  <c r="BD40" i="57"/>
  <c r="BI62" i="75" l="1"/>
  <c r="BH62" i="75"/>
  <c r="BG62" i="75"/>
  <c r="BF62" i="75"/>
  <c r="BH63" i="75"/>
  <c r="BG63" i="75"/>
  <c r="BF63" i="75"/>
  <c r="BI63" i="75"/>
  <c r="BG60" i="74"/>
  <c r="BF60" i="74"/>
  <c r="BI60" i="74"/>
  <c r="BH60" i="74"/>
  <c r="BC62" i="74"/>
  <c r="BD61" i="74"/>
  <c r="BD59" i="73"/>
  <c r="BC60" i="73"/>
  <c r="BI58" i="73"/>
  <c r="BH58" i="73"/>
  <c r="BG58" i="73"/>
  <c r="BF58" i="73"/>
  <c r="BH56" i="71"/>
  <c r="BG56" i="71"/>
  <c r="BF56" i="71"/>
  <c r="BI56" i="71"/>
  <c r="BC58" i="71"/>
  <c r="BD57" i="71"/>
  <c r="BH54" i="70"/>
  <c r="BG54" i="70"/>
  <c r="BF54" i="70"/>
  <c r="BI54" i="70"/>
  <c r="BD55" i="70"/>
  <c r="BC56" i="70"/>
  <c r="BD54" i="69"/>
  <c r="BC55" i="69"/>
  <c r="BH53" i="69"/>
  <c r="BF53" i="69"/>
  <c r="BG53" i="69"/>
  <c r="BI53" i="69"/>
  <c r="BC54" i="68"/>
  <c r="BD53" i="68"/>
  <c r="BF52" i="68"/>
  <c r="BH52" i="68"/>
  <c r="BI52" i="68"/>
  <c r="BG52" i="68"/>
  <c r="BC56" i="66"/>
  <c r="BD55" i="66"/>
  <c r="BI54" i="66"/>
  <c r="BG54" i="66"/>
  <c r="BH54" i="66"/>
  <c r="BF54" i="66"/>
  <c r="BC58" i="65"/>
  <c r="BD57" i="65"/>
  <c r="BH56" i="65"/>
  <c r="BG56" i="65"/>
  <c r="BI56" i="65"/>
  <c r="BF56" i="65"/>
  <c r="BG50" i="64"/>
  <c r="BF50" i="64"/>
  <c r="BH50" i="64"/>
  <c r="BI50" i="64"/>
  <c r="BC52" i="64"/>
  <c r="BD51" i="64"/>
  <c r="BI53" i="63"/>
  <c r="BG53" i="63"/>
  <c r="BF53" i="63"/>
  <c r="BH53" i="63"/>
  <c r="BD54" i="63"/>
  <c r="BC55" i="63"/>
  <c r="BC46" i="61"/>
  <c r="BD45" i="61"/>
  <c r="BI44" i="61"/>
  <c r="BF44" i="61"/>
  <c r="BG44" i="61"/>
  <c r="BH44" i="61"/>
  <c r="BC47" i="60"/>
  <c r="BD46" i="60"/>
  <c r="BF45" i="60"/>
  <c r="BI45" i="60"/>
  <c r="BG45" i="60"/>
  <c r="BH45" i="60"/>
  <c r="BC45" i="58"/>
  <c r="BD44" i="58"/>
  <c r="BF43" i="58"/>
  <c r="BI43" i="58"/>
  <c r="BH43" i="58"/>
  <c r="BG43" i="58"/>
  <c r="BC42" i="57"/>
  <c r="BD41" i="57"/>
  <c r="BF40" i="57"/>
  <c r="BG40" i="57"/>
  <c r="BI40" i="57"/>
  <c r="BH40" i="57"/>
  <c r="BH61" i="74" l="1"/>
  <c r="BG61" i="74"/>
  <c r="BF61" i="74"/>
  <c r="BI61" i="74"/>
  <c r="BC63" i="74"/>
  <c r="BD63" i="74" s="1"/>
  <c r="BD62" i="74"/>
  <c r="BC61" i="73"/>
  <c r="BD60" i="73"/>
  <c r="BF59" i="73"/>
  <c r="BI59" i="73"/>
  <c r="BH59" i="73"/>
  <c r="BG59" i="73"/>
  <c r="BF57" i="71"/>
  <c r="BI57" i="71"/>
  <c r="BH57" i="71"/>
  <c r="BG57" i="71"/>
  <c r="BC59" i="71"/>
  <c r="BD58" i="71"/>
  <c r="BC57" i="70"/>
  <c r="BD56" i="70"/>
  <c r="BI55" i="70"/>
  <c r="BH55" i="70"/>
  <c r="BF55" i="70"/>
  <c r="BG55" i="70"/>
  <c r="BC56" i="69"/>
  <c r="BD55" i="69"/>
  <c r="BI54" i="69"/>
  <c r="BG54" i="69"/>
  <c r="BH54" i="69"/>
  <c r="BF54" i="69"/>
  <c r="BG53" i="68"/>
  <c r="BI53" i="68"/>
  <c r="BF53" i="68"/>
  <c r="BH53" i="68"/>
  <c r="BD54" i="68"/>
  <c r="BC55" i="68"/>
  <c r="BF55" i="66"/>
  <c r="BH55" i="66"/>
  <c r="BG55" i="66"/>
  <c r="BI55" i="66"/>
  <c r="BC57" i="66"/>
  <c r="BD56" i="66"/>
  <c r="BF57" i="65"/>
  <c r="BI57" i="65"/>
  <c r="BG57" i="65"/>
  <c r="BH57" i="65"/>
  <c r="BC59" i="65"/>
  <c r="BD58" i="65"/>
  <c r="BH51" i="64"/>
  <c r="BG51" i="64"/>
  <c r="BI51" i="64"/>
  <c r="BF51" i="64"/>
  <c r="BD52" i="64"/>
  <c r="BC53" i="64"/>
  <c r="BF54" i="63"/>
  <c r="BH54" i="63"/>
  <c r="BI54" i="63"/>
  <c r="BG54" i="63"/>
  <c r="BD55" i="63"/>
  <c r="BC56" i="63"/>
  <c r="BF45" i="61"/>
  <c r="BG45" i="61"/>
  <c r="BH45" i="61"/>
  <c r="BI45" i="61"/>
  <c r="BC47" i="61"/>
  <c r="BD46" i="61"/>
  <c r="BG46" i="60"/>
  <c r="BF46" i="60"/>
  <c r="BI46" i="60"/>
  <c r="BH46" i="60"/>
  <c r="BC48" i="60"/>
  <c r="BD47" i="60"/>
  <c r="BG44" i="58"/>
  <c r="BF44" i="58"/>
  <c r="BI44" i="58"/>
  <c r="BH44" i="58"/>
  <c r="BC46" i="58"/>
  <c r="BD45" i="58"/>
  <c r="BD42" i="57"/>
  <c r="BC43" i="57"/>
  <c r="BG41" i="57"/>
  <c r="BI41" i="57"/>
  <c r="BH41" i="57"/>
  <c r="BF41" i="57"/>
  <c r="BF62" i="74" l="1"/>
  <c r="BI62" i="74"/>
  <c r="BH62" i="74"/>
  <c r="BG62" i="74"/>
  <c r="BI63" i="74"/>
  <c r="BH63" i="74"/>
  <c r="BG63" i="74"/>
  <c r="BF63" i="74"/>
  <c r="BG60" i="73"/>
  <c r="BF60" i="73"/>
  <c r="BI60" i="73"/>
  <c r="BH60" i="73"/>
  <c r="BC62" i="73"/>
  <c r="BD61" i="73"/>
  <c r="BH58" i="71"/>
  <c r="BG58" i="71"/>
  <c r="BF58" i="71"/>
  <c r="BI58" i="71"/>
  <c r="BD59" i="71"/>
  <c r="BC60" i="71"/>
  <c r="BG56" i="70"/>
  <c r="BF56" i="70"/>
  <c r="BH56" i="70"/>
  <c r="BI56" i="70"/>
  <c r="BD57" i="70"/>
  <c r="BC58" i="70"/>
  <c r="BF55" i="69"/>
  <c r="BH55" i="69"/>
  <c r="BI55" i="69"/>
  <c r="BG55" i="69"/>
  <c r="BC57" i="69"/>
  <c r="BD56" i="69"/>
  <c r="BD55" i="68"/>
  <c r="BC56" i="68"/>
  <c r="BH54" i="68"/>
  <c r="BF54" i="68"/>
  <c r="BI54" i="68"/>
  <c r="BG54" i="68"/>
  <c r="BH56" i="66"/>
  <c r="BF56" i="66"/>
  <c r="BG56" i="66"/>
  <c r="BI56" i="66"/>
  <c r="BC58" i="66"/>
  <c r="BD57" i="66"/>
  <c r="BH58" i="65"/>
  <c r="BG58" i="65"/>
  <c r="BI58" i="65"/>
  <c r="BF58" i="65"/>
  <c r="BD59" i="65"/>
  <c r="BC60" i="65"/>
  <c r="BI52" i="64"/>
  <c r="BG52" i="64"/>
  <c r="BF52" i="64"/>
  <c r="BH52" i="64"/>
  <c r="BC54" i="64"/>
  <c r="BD53" i="64"/>
  <c r="BG55" i="63"/>
  <c r="BI55" i="63"/>
  <c r="BF55" i="63"/>
  <c r="BH55" i="63"/>
  <c r="BD56" i="63"/>
  <c r="BC57" i="63"/>
  <c r="BG46" i="61"/>
  <c r="BH46" i="61"/>
  <c r="BI46" i="61"/>
  <c r="BF46" i="61"/>
  <c r="BD47" i="61"/>
  <c r="BC48" i="61"/>
  <c r="BH47" i="60"/>
  <c r="BG47" i="60"/>
  <c r="BF47" i="60"/>
  <c r="BI47" i="60"/>
  <c r="BD48" i="60"/>
  <c r="BC49" i="60"/>
  <c r="BG45" i="58"/>
  <c r="BI45" i="58"/>
  <c r="BH45" i="58"/>
  <c r="BF45" i="58"/>
  <c r="BD46" i="58"/>
  <c r="BC47" i="58"/>
  <c r="BD43" i="57"/>
  <c r="BC44" i="57"/>
  <c r="BH42" i="57"/>
  <c r="BI42" i="57"/>
  <c r="BG42" i="57"/>
  <c r="BF42" i="57"/>
  <c r="BH61" i="73" l="1"/>
  <c r="BG61" i="73"/>
  <c r="BI61" i="73"/>
  <c r="BF61" i="73"/>
  <c r="BC63" i="73"/>
  <c r="BD63" i="73" s="1"/>
  <c r="BD62" i="73"/>
  <c r="BD60" i="71"/>
  <c r="BC61" i="71"/>
  <c r="BI59" i="71"/>
  <c r="BH59" i="71"/>
  <c r="BG59" i="71"/>
  <c r="BF59" i="71"/>
  <c r="BC59" i="70"/>
  <c r="BD58" i="70"/>
  <c r="BI57" i="70"/>
  <c r="BH57" i="70"/>
  <c r="BG57" i="70"/>
  <c r="BF57" i="70"/>
  <c r="BH56" i="69"/>
  <c r="BF56" i="69"/>
  <c r="BI56" i="69"/>
  <c r="BG56" i="69"/>
  <c r="BC58" i="69"/>
  <c r="BD57" i="69"/>
  <c r="BD56" i="68"/>
  <c r="BC57" i="68"/>
  <c r="BI55" i="68"/>
  <c r="BG55" i="68"/>
  <c r="BF55" i="68"/>
  <c r="BH55" i="68"/>
  <c r="BF57" i="66"/>
  <c r="BH57" i="66"/>
  <c r="BG57" i="66"/>
  <c r="BI57" i="66"/>
  <c r="BC59" i="66"/>
  <c r="BD58" i="66"/>
  <c r="BD60" i="65"/>
  <c r="BC61" i="65"/>
  <c r="BI59" i="65"/>
  <c r="BH59" i="65"/>
  <c r="BF59" i="65"/>
  <c r="BG59" i="65"/>
  <c r="BC55" i="64"/>
  <c r="BD54" i="64"/>
  <c r="BF53" i="64"/>
  <c r="BG53" i="64"/>
  <c r="BH53" i="64"/>
  <c r="BI53" i="64"/>
  <c r="BI56" i="63"/>
  <c r="BG56" i="63"/>
  <c r="BH56" i="63"/>
  <c r="BF56" i="63"/>
  <c r="BD57" i="63"/>
  <c r="BC58" i="63"/>
  <c r="BD48" i="61"/>
  <c r="BC49" i="61"/>
  <c r="BH47" i="61"/>
  <c r="BI47" i="61"/>
  <c r="BF47" i="61"/>
  <c r="BG47" i="61"/>
  <c r="BD49" i="60"/>
  <c r="BC50" i="60"/>
  <c r="BI48" i="60"/>
  <c r="BH48" i="60"/>
  <c r="BG48" i="60"/>
  <c r="BF48" i="60"/>
  <c r="BD47" i="58"/>
  <c r="BC48" i="58"/>
  <c r="BI46" i="58"/>
  <c r="BH46" i="58"/>
  <c r="BG46" i="58"/>
  <c r="BF46" i="58"/>
  <c r="BC45" i="57"/>
  <c r="BD44" i="57"/>
  <c r="BI43" i="57"/>
  <c r="BG43" i="57"/>
  <c r="BF43" i="57"/>
  <c r="BH43" i="57"/>
  <c r="BF62" i="73" l="1"/>
  <c r="BI62" i="73"/>
  <c r="BH62" i="73"/>
  <c r="BG62" i="73"/>
  <c r="BI63" i="73"/>
  <c r="BH63" i="73"/>
  <c r="BF63" i="73"/>
  <c r="BG63" i="73"/>
  <c r="BC62" i="71"/>
  <c r="BD61" i="71"/>
  <c r="BF60" i="71"/>
  <c r="BI60" i="71"/>
  <c r="BH60" i="71"/>
  <c r="BG60" i="71"/>
  <c r="BG58" i="70"/>
  <c r="BF58" i="70"/>
  <c r="BI58" i="70"/>
  <c r="BH58" i="70"/>
  <c r="BC60" i="70"/>
  <c r="BD59" i="70"/>
  <c r="BF57" i="69"/>
  <c r="BH57" i="69"/>
  <c r="BI57" i="69"/>
  <c r="BG57" i="69"/>
  <c r="BC59" i="69"/>
  <c r="BD58" i="69"/>
  <c r="BD57" i="68"/>
  <c r="BC58" i="68"/>
  <c r="BG56" i="68"/>
  <c r="BI56" i="68"/>
  <c r="BH56" i="68"/>
  <c r="BF56" i="68"/>
  <c r="BD59" i="66"/>
  <c r="BC60" i="66"/>
  <c r="BH58" i="66"/>
  <c r="BF58" i="66"/>
  <c r="BG58" i="66"/>
  <c r="BI58" i="66"/>
  <c r="BC62" i="65"/>
  <c r="BD61" i="65"/>
  <c r="BF60" i="65"/>
  <c r="BI60" i="65"/>
  <c r="BG60" i="65"/>
  <c r="BH60" i="65"/>
  <c r="BD55" i="64"/>
  <c r="BC56" i="64"/>
  <c r="BG54" i="64"/>
  <c r="BI54" i="64"/>
  <c r="BH54" i="64"/>
  <c r="BF54" i="64"/>
  <c r="BG57" i="63"/>
  <c r="BI57" i="63"/>
  <c r="BF57" i="63"/>
  <c r="BH57" i="63"/>
  <c r="BD58" i="63"/>
  <c r="BC59" i="63"/>
  <c r="BC50" i="61"/>
  <c r="BD49" i="61"/>
  <c r="BI48" i="61"/>
  <c r="BF48" i="61"/>
  <c r="BH48" i="61"/>
  <c r="BG48" i="61"/>
  <c r="BC51" i="60"/>
  <c r="BD50" i="60"/>
  <c r="BF49" i="60"/>
  <c r="BI49" i="60"/>
  <c r="BG49" i="60"/>
  <c r="BH49" i="60"/>
  <c r="BC49" i="58"/>
  <c r="BD48" i="58"/>
  <c r="BF47" i="58"/>
  <c r="BI47" i="58"/>
  <c r="BH47" i="58"/>
  <c r="BG47" i="58"/>
  <c r="BF44" i="57"/>
  <c r="BI44" i="57"/>
  <c r="BH44" i="57"/>
  <c r="BG44" i="57"/>
  <c r="BD45" i="57"/>
  <c r="BC46" i="57"/>
  <c r="BG61" i="71" l="1"/>
  <c r="BF61" i="71"/>
  <c r="BI61" i="71"/>
  <c r="BH61" i="71"/>
  <c r="BC63" i="71"/>
  <c r="BD63" i="71" s="1"/>
  <c r="BD62" i="71"/>
  <c r="BH59" i="70"/>
  <c r="BG59" i="70"/>
  <c r="BF59" i="70"/>
  <c r="BI59" i="70"/>
  <c r="BD60" i="70"/>
  <c r="BC61" i="70"/>
  <c r="BH58" i="69"/>
  <c r="BF58" i="69"/>
  <c r="BI58" i="69"/>
  <c r="BG58" i="69"/>
  <c r="BD59" i="69"/>
  <c r="BC60" i="69"/>
  <c r="BC59" i="68"/>
  <c r="BD58" i="68"/>
  <c r="BI57" i="68"/>
  <c r="BG57" i="68"/>
  <c r="BF57" i="68"/>
  <c r="BH57" i="68"/>
  <c r="BC61" i="66"/>
  <c r="BD60" i="66"/>
  <c r="BI59" i="66"/>
  <c r="BG59" i="66"/>
  <c r="BH59" i="66"/>
  <c r="BF59" i="66"/>
  <c r="BG61" i="65"/>
  <c r="BF61" i="65"/>
  <c r="BH61" i="65"/>
  <c r="BI61" i="65"/>
  <c r="BC63" i="65"/>
  <c r="BD63" i="65" s="1"/>
  <c r="BD62" i="65"/>
  <c r="BH55" i="64"/>
  <c r="BG55" i="64"/>
  <c r="BI55" i="64"/>
  <c r="BF55" i="64"/>
  <c r="BC57" i="64"/>
  <c r="BD56" i="64"/>
  <c r="BI58" i="63"/>
  <c r="BG58" i="63"/>
  <c r="BH58" i="63"/>
  <c r="BF58" i="63"/>
  <c r="BC60" i="63"/>
  <c r="BD59" i="63"/>
  <c r="BF49" i="61"/>
  <c r="BG49" i="61"/>
  <c r="BH49" i="61"/>
  <c r="BI49" i="61"/>
  <c r="BC51" i="61"/>
  <c r="BD50" i="61"/>
  <c r="BG50" i="60"/>
  <c r="BF50" i="60"/>
  <c r="BI50" i="60"/>
  <c r="BH50" i="60"/>
  <c r="BC52" i="60"/>
  <c r="BD51" i="60"/>
  <c r="BG48" i="58"/>
  <c r="BF48" i="58"/>
  <c r="BI48" i="58"/>
  <c r="BH48" i="58"/>
  <c r="BC50" i="58"/>
  <c r="BD49" i="58"/>
  <c r="BH45" i="57"/>
  <c r="BG45" i="57"/>
  <c r="BF45" i="57"/>
  <c r="BI45" i="57"/>
  <c r="BD46" i="57"/>
  <c r="BC47" i="57"/>
  <c r="BI62" i="71" l="1"/>
  <c r="BH62" i="71"/>
  <c r="BG62" i="71"/>
  <c r="BF62" i="71"/>
  <c r="BH63" i="71"/>
  <c r="BG63" i="71"/>
  <c r="BF63" i="71"/>
  <c r="BI63" i="71"/>
  <c r="BI60" i="70"/>
  <c r="BH60" i="70"/>
  <c r="BF60" i="70"/>
  <c r="BG60" i="70"/>
  <c r="BC62" i="70"/>
  <c r="BD61" i="70"/>
  <c r="BD60" i="69"/>
  <c r="BC61" i="69"/>
  <c r="BI59" i="69"/>
  <c r="BG59" i="69"/>
  <c r="BF59" i="69"/>
  <c r="BH59" i="69"/>
  <c r="BG58" i="68"/>
  <c r="BI58" i="68"/>
  <c r="BH58" i="68"/>
  <c r="BF58" i="68"/>
  <c r="BC60" i="68"/>
  <c r="BD59" i="68"/>
  <c r="BF60" i="66"/>
  <c r="BH60" i="66"/>
  <c r="BG60" i="66"/>
  <c r="BI60" i="66"/>
  <c r="BC62" i="66"/>
  <c r="BD61" i="66"/>
  <c r="BH62" i="65"/>
  <c r="BG62" i="65"/>
  <c r="BI62" i="65"/>
  <c r="BF62" i="65"/>
  <c r="BG63" i="65"/>
  <c r="BF63" i="65"/>
  <c r="BH63" i="65"/>
  <c r="BI63" i="65"/>
  <c r="BC58" i="64"/>
  <c r="BD57" i="64"/>
  <c r="BF56" i="64"/>
  <c r="BG56" i="64"/>
  <c r="BH56" i="64"/>
  <c r="BI56" i="64"/>
  <c r="BC61" i="63"/>
  <c r="BD60" i="63"/>
  <c r="BF59" i="63"/>
  <c r="BH59" i="63"/>
  <c r="BG59" i="63"/>
  <c r="BI59" i="63"/>
  <c r="BG50" i="61"/>
  <c r="BH50" i="61"/>
  <c r="BI50" i="61"/>
  <c r="BF50" i="61"/>
  <c r="BD51" i="61"/>
  <c r="BC52" i="61"/>
  <c r="BD52" i="60"/>
  <c r="BC53" i="60"/>
  <c r="BH51" i="60"/>
  <c r="BG51" i="60"/>
  <c r="BF51" i="60"/>
  <c r="BI51" i="60"/>
  <c r="BH49" i="58"/>
  <c r="BG49" i="58"/>
  <c r="BI49" i="58"/>
  <c r="BF49" i="58"/>
  <c r="BD50" i="58"/>
  <c r="BC51" i="58"/>
  <c r="BI46" i="57"/>
  <c r="BG46" i="57"/>
  <c r="BH46" i="57"/>
  <c r="BF46" i="57"/>
  <c r="BD47" i="57"/>
  <c r="BC48" i="57"/>
  <c r="BF61" i="70" l="1"/>
  <c r="BI61" i="70"/>
  <c r="BH61" i="70"/>
  <c r="BG61" i="70"/>
  <c r="BC63" i="70"/>
  <c r="BD63" i="70" s="1"/>
  <c r="BD62" i="70"/>
  <c r="BD61" i="69"/>
  <c r="BC62" i="69"/>
  <c r="BF60" i="69"/>
  <c r="BH60" i="69"/>
  <c r="BI60" i="69"/>
  <c r="BG60" i="69"/>
  <c r="BH59" i="68"/>
  <c r="BF59" i="68"/>
  <c r="BG59" i="68"/>
  <c r="BI59" i="68"/>
  <c r="BD60" i="68"/>
  <c r="BC61" i="68"/>
  <c r="BG61" i="66"/>
  <c r="BI61" i="66"/>
  <c r="BH61" i="66"/>
  <c r="BF61" i="66"/>
  <c r="BC63" i="66"/>
  <c r="BD63" i="66" s="1"/>
  <c r="BD62" i="66"/>
  <c r="BC59" i="64"/>
  <c r="BD58" i="64"/>
  <c r="BH57" i="64"/>
  <c r="BG57" i="64"/>
  <c r="BF57" i="64"/>
  <c r="BI57" i="64"/>
  <c r="BG60" i="63"/>
  <c r="BI60" i="63"/>
  <c r="BH60" i="63"/>
  <c r="BF60" i="63"/>
  <c r="BC62" i="63"/>
  <c r="BD61" i="63"/>
  <c r="BD52" i="61"/>
  <c r="BC53" i="61"/>
  <c r="BH51" i="61"/>
  <c r="BI51" i="61"/>
  <c r="BF51" i="61"/>
  <c r="BG51" i="61"/>
  <c r="BD53" i="60"/>
  <c r="BC54" i="60"/>
  <c r="BI52" i="60"/>
  <c r="BH52" i="60"/>
  <c r="BG52" i="60"/>
  <c r="BF52" i="60"/>
  <c r="BD51" i="58"/>
  <c r="BC52" i="58"/>
  <c r="BI50" i="58"/>
  <c r="BH50" i="58"/>
  <c r="BG50" i="58"/>
  <c r="BF50" i="58"/>
  <c r="BF47" i="57"/>
  <c r="BI47" i="57"/>
  <c r="BG47" i="57"/>
  <c r="BH47" i="57"/>
  <c r="BC49" i="57"/>
  <c r="BD48" i="57"/>
  <c r="BH62" i="70" l="1"/>
  <c r="BG62" i="70"/>
  <c r="BI62" i="70"/>
  <c r="BF62" i="70"/>
  <c r="BG63" i="70"/>
  <c r="BF63" i="70"/>
  <c r="BI63" i="70"/>
  <c r="BH63" i="70"/>
  <c r="BC63" i="69"/>
  <c r="BD63" i="69" s="1"/>
  <c r="BD62" i="69"/>
  <c r="BG61" i="69"/>
  <c r="BI61" i="69"/>
  <c r="BF61" i="69"/>
  <c r="BH61" i="69"/>
  <c r="BC62" i="68"/>
  <c r="BD61" i="68"/>
  <c r="BI60" i="68"/>
  <c r="BG60" i="68"/>
  <c r="BH60" i="68"/>
  <c r="BF60" i="68"/>
  <c r="BG63" i="66"/>
  <c r="BI63" i="66"/>
  <c r="BH63" i="66"/>
  <c r="BF63" i="66"/>
  <c r="BH62" i="66"/>
  <c r="BF62" i="66"/>
  <c r="BI62" i="66"/>
  <c r="BG62" i="66"/>
  <c r="BC60" i="64"/>
  <c r="BD59" i="64"/>
  <c r="BF58" i="64"/>
  <c r="BI58" i="64"/>
  <c r="BG58" i="64"/>
  <c r="BH58" i="64"/>
  <c r="BC63" i="63"/>
  <c r="BD63" i="63" s="1"/>
  <c r="BD62" i="63"/>
  <c r="BH61" i="63"/>
  <c r="BF61" i="63"/>
  <c r="BG61" i="63"/>
  <c r="BI61" i="63"/>
  <c r="BC54" i="61"/>
  <c r="BD53" i="61"/>
  <c r="BI52" i="61"/>
  <c r="BF52" i="61"/>
  <c r="BH52" i="61"/>
  <c r="BG52" i="61"/>
  <c r="BF53" i="60"/>
  <c r="BI53" i="60"/>
  <c r="BG53" i="60"/>
  <c r="BH53" i="60"/>
  <c r="BC55" i="60"/>
  <c r="BD54" i="60"/>
  <c r="BC53" i="58"/>
  <c r="BD52" i="58"/>
  <c r="BF51" i="58"/>
  <c r="BI51" i="58"/>
  <c r="BG51" i="58"/>
  <c r="BH51" i="58"/>
  <c r="BC50" i="57"/>
  <c r="BD49" i="57"/>
  <c r="BG48" i="57"/>
  <c r="BH48" i="57"/>
  <c r="BF48" i="57"/>
  <c r="BI48" i="57"/>
  <c r="BI62" i="69" l="1"/>
  <c r="BG62" i="69"/>
  <c r="BH62" i="69"/>
  <c r="BF62" i="69"/>
  <c r="BH63" i="69"/>
  <c r="BF63" i="69"/>
  <c r="BG63" i="69"/>
  <c r="BI63" i="69"/>
  <c r="BF61" i="68"/>
  <c r="BH61" i="68"/>
  <c r="BG61" i="68"/>
  <c r="BI61" i="68"/>
  <c r="BD62" i="68"/>
  <c r="BC63" i="68"/>
  <c r="BD63" i="68" s="1"/>
  <c r="BD60" i="64"/>
  <c r="BC61" i="64"/>
  <c r="BG59" i="64"/>
  <c r="BI59" i="64"/>
  <c r="BH59" i="64"/>
  <c r="BF59" i="64"/>
  <c r="BI62" i="63"/>
  <c r="BG62" i="63"/>
  <c r="BH62" i="63"/>
  <c r="BF62" i="63"/>
  <c r="BH63" i="63"/>
  <c r="BF63" i="63"/>
  <c r="BG63" i="63"/>
  <c r="BI63" i="63"/>
  <c r="BF53" i="61"/>
  <c r="BG53" i="61"/>
  <c r="BH53" i="61"/>
  <c r="BI53" i="61"/>
  <c r="BC55" i="61"/>
  <c r="BD54" i="61"/>
  <c r="BG54" i="60"/>
  <c r="BF54" i="60"/>
  <c r="BI54" i="60"/>
  <c r="BH54" i="60"/>
  <c r="BC56" i="60"/>
  <c r="BD55" i="60"/>
  <c r="BG52" i="58"/>
  <c r="BF52" i="58"/>
  <c r="BI52" i="58"/>
  <c r="BH52" i="58"/>
  <c r="BC54" i="58"/>
  <c r="BD53" i="58"/>
  <c r="BH49" i="57"/>
  <c r="BI49" i="57"/>
  <c r="BG49" i="57"/>
  <c r="BF49" i="57"/>
  <c r="BD50" i="57"/>
  <c r="BC51" i="57"/>
  <c r="BG63" i="68" l="1"/>
  <c r="BI63" i="68"/>
  <c r="BF63" i="68"/>
  <c r="BH63" i="68"/>
  <c r="BH62" i="68"/>
  <c r="BF62" i="68"/>
  <c r="BG62" i="68"/>
  <c r="BI62" i="68"/>
  <c r="BH60" i="64"/>
  <c r="BF60" i="64"/>
  <c r="BG60" i="64"/>
  <c r="BI60" i="64"/>
  <c r="BD61" i="64"/>
  <c r="BC62" i="64"/>
  <c r="BG54" i="61"/>
  <c r="BH54" i="61"/>
  <c r="BI54" i="61"/>
  <c r="BF54" i="61"/>
  <c r="BD55" i="61"/>
  <c r="BC56" i="61"/>
  <c r="BD56" i="60"/>
  <c r="BC57" i="60"/>
  <c r="BH55" i="60"/>
  <c r="BG55" i="60"/>
  <c r="BF55" i="60"/>
  <c r="BI55" i="60"/>
  <c r="BH53" i="58"/>
  <c r="BG53" i="58"/>
  <c r="BI53" i="58"/>
  <c r="BF53" i="58"/>
  <c r="BD54" i="58"/>
  <c r="BC55" i="58"/>
  <c r="BD51" i="57"/>
  <c r="BC52" i="57"/>
  <c r="BI50" i="57"/>
  <c r="BH50" i="57"/>
  <c r="BF50" i="57"/>
  <c r="BG50" i="57"/>
  <c r="BI61" i="64" l="1"/>
  <c r="BG61" i="64"/>
  <c r="BH61" i="64"/>
  <c r="BF61" i="64"/>
  <c r="BD62" i="64"/>
  <c r="BC63" i="64"/>
  <c r="BD63" i="64" s="1"/>
  <c r="BD56" i="61"/>
  <c r="BC57" i="61"/>
  <c r="BH55" i="61"/>
  <c r="BI55" i="61"/>
  <c r="BF55" i="61"/>
  <c r="BG55" i="61"/>
  <c r="BD57" i="60"/>
  <c r="BC58" i="60"/>
  <c r="BI56" i="60"/>
  <c r="BH56" i="60"/>
  <c r="BG56" i="60"/>
  <c r="BF56" i="60"/>
  <c r="BD55" i="58"/>
  <c r="BC56" i="58"/>
  <c r="BI54" i="58"/>
  <c r="BH54" i="58"/>
  <c r="BG54" i="58"/>
  <c r="BF54" i="58"/>
  <c r="BC53" i="57"/>
  <c r="BD52" i="57"/>
  <c r="BF51" i="57"/>
  <c r="BI51" i="57"/>
  <c r="BH51" i="57"/>
  <c r="BG51" i="57"/>
  <c r="BI63" i="64" l="1"/>
  <c r="BF63" i="64"/>
  <c r="BG63" i="64"/>
  <c r="BH63" i="64"/>
  <c r="BF62" i="64"/>
  <c r="BH62" i="64"/>
  <c r="BG62" i="64"/>
  <c r="BI62" i="64"/>
  <c r="BC58" i="61"/>
  <c r="BD57" i="61"/>
  <c r="BI56" i="61"/>
  <c r="BF56" i="61"/>
  <c r="BH56" i="61"/>
  <c r="BG56" i="61"/>
  <c r="BF57" i="60"/>
  <c r="BI57" i="60"/>
  <c r="BG57" i="60"/>
  <c r="BH57" i="60"/>
  <c r="BC59" i="60"/>
  <c r="BD58" i="60"/>
  <c r="BC57" i="58"/>
  <c r="BD56" i="58"/>
  <c r="BF55" i="58"/>
  <c r="BI55" i="58"/>
  <c r="BH55" i="58"/>
  <c r="BG55" i="58"/>
  <c r="BG52" i="57"/>
  <c r="BF52" i="57"/>
  <c r="BI52" i="57"/>
  <c r="BH52" i="57"/>
  <c r="BC54" i="57"/>
  <c r="BD53" i="57"/>
  <c r="BG57" i="61" l="1"/>
  <c r="BH57" i="61"/>
  <c r="BI57" i="61"/>
  <c r="BF57" i="61"/>
  <c r="BD58" i="61"/>
  <c r="BC59" i="61"/>
  <c r="BG58" i="60"/>
  <c r="BF58" i="60"/>
  <c r="BH58" i="60"/>
  <c r="BI58" i="60"/>
  <c r="BC60" i="60"/>
  <c r="BD59" i="60"/>
  <c r="BG56" i="58"/>
  <c r="BF56" i="58"/>
  <c r="BI56" i="58"/>
  <c r="BH56" i="58"/>
  <c r="BC58" i="58"/>
  <c r="BD57" i="58"/>
  <c r="BH53" i="57"/>
  <c r="BG53" i="57"/>
  <c r="BI53" i="57"/>
  <c r="BF53" i="57"/>
  <c r="BD54" i="57"/>
  <c r="BC55" i="57"/>
  <c r="BC60" i="61" l="1"/>
  <c r="BD59" i="61"/>
  <c r="BI58" i="61"/>
  <c r="BF58" i="61"/>
  <c r="BG58" i="61"/>
  <c r="BH58" i="61"/>
  <c r="BD60" i="60"/>
  <c r="BC61" i="60"/>
  <c r="BH59" i="60"/>
  <c r="BG59" i="60"/>
  <c r="BF59" i="60"/>
  <c r="BI59" i="60"/>
  <c r="BH57" i="58"/>
  <c r="BG57" i="58"/>
  <c r="BI57" i="58"/>
  <c r="BF57" i="58"/>
  <c r="BD58" i="58"/>
  <c r="BC59" i="58"/>
  <c r="BD55" i="57"/>
  <c r="BC56" i="57"/>
  <c r="BI54" i="57"/>
  <c r="BH54" i="57"/>
  <c r="BG54" i="57"/>
  <c r="BF54" i="57"/>
  <c r="BF59" i="61" l="1"/>
  <c r="BG59" i="61"/>
  <c r="BH59" i="61"/>
  <c r="BI59" i="61"/>
  <c r="BC61" i="61"/>
  <c r="BD60" i="61"/>
  <c r="BD61" i="60"/>
  <c r="BC62" i="60"/>
  <c r="BI60" i="60"/>
  <c r="BH60" i="60"/>
  <c r="BF60" i="60"/>
  <c r="BG60" i="60"/>
  <c r="BD59" i="58"/>
  <c r="BC60" i="58"/>
  <c r="BI58" i="58"/>
  <c r="BH58" i="58"/>
  <c r="BG58" i="58"/>
  <c r="BF58" i="58"/>
  <c r="BC57" i="57"/>
  <c r="BD56" i="57"/>
  <c r="BF55" i="57"/>
  <c r="BI55" i="57"/>
  <c r="BH55" i="57"/>
  <c r="BG55" i="57"/>
  <c r="BG60" i="61" l="1"/>
  <c r="BH60" i="61"/>
  <c r="BF60" i="61"/>
  <c r="BI60" i="61"/>
  <c r="BD61" i="61"/>
  <c r="BC62" i="61"/>
  <c r="BF61" i="60"/>
  <c r="BI61" i="60"/>
  <c r="BH61" i="60"/>
  <c r="BG61" i="60"/>
  <c r="BC63" i="60"/>
  <c r="BD63" i="60" s="1"/>
  <c r="BD62" i="60"/>
  <c r="BC61" i="58"/>
  <c r="BD60" i="58"/>
  <c r="BF59" i="58"/>
  <c r="BI59" i="58"/>
  <c r="BH59" i="58"/>
  <c r="BG59" i="58"/>
  <c r="BG56" i="57"/>
  <c r="BF56" i="57"/>
  <c r="BI56" i="57"/>
  <c r="BH56" i="57"/>
  <c r="BC58" i="57"/>
  <c r="BD57" i="57"/>
  <c r="BC63" i="61" l="1"/>
  <c r="BD63" i="61" s="1"/>
  <c r="BD62" i="61"/>
  <c r="BH61" i="61"/>
  <c r="BI61" i="61"/>
  <c r="BG61" i="61"/>
  <c r="BF61" i="61"/>
  <c r="BG62" i="60"/>
  <c r="BF62" i="60"/>
  <c r="BI62" i="60"/>
  <c r="BH62" i="60"/>
  <c r="BF63" i="60"/>
  <c r="BI63" i="60"/>
  <c r="BH63" i="60"/>
  <c r="BG63" i="60"/>
  <c r="BG60" i="58"/>
  <c r="BF60" i="58"/>
  <c r="BI60" i="58"/>
  <c r="BH60" i="58"/>
  <c r="BC62" i="58"/>
  <c r="BD61" i="58"/>
  <c r="BH57" i="57"/>
  <c r="BG57" i="57"/>
  <c r="BI57" i="57"/>
  <c r="BF57" i="57"/>
  <c r="BD58" i="57"/>
  <c r="BC59" i="57"/>
  <c r="BI62" i="61" l="1"/>
  <c r="BF62" i="61"/>
  <c r="BH62" i="61"/>
  <c r="BG62" i="61"/>
  <c r="BH63" i="61"/>
  <c r="BI63" i="61"/>
  <c r="BG63" i="61"/>
  <c r="BF63" i="61"/>
  <c r="BH61" i="58"/>
  <c r="BG61" i="58"/>
  <c r="BI61" i="58"/>
  <c r="BF61" i="58"/>
  <c r="BC63" i="58"/>
  <c r="BD63" i="58" s="1"/>
  <c r="BD62" i="58"/>
  <c r="BD59" i="57"/>
  <c r="BC60" i="57"/>
  <c r="BI58" i="57"/>
  <c r="BH58" i="57"/>
  <c r="BF58" i="57"/>
  <c r="BG58" i="57"/>
  <c r="BI62" i="58" l="1"/>
  <c r="BH62" i="58"/>
  <c r="BG62" i="58"/>
  <c r="BF62" i="58"/>
  <c r="BH63" i="58"/>
  <c r="BG63" i="58"/>
  <c r="BI63" i="58"/>
  <c r="BF63" i="58"/>
  <c r="BC61" i="57"/>
  <c r="BD60" i="57"/>
  <c r="BF59" i="57"/>
  <c r="BI59" i="57"/>
  <c r="BG59" i="57"/>
  <c r="BH59" i="57"/>
  <c r="BG60" i="57" l="1"/>
  <c r="BF60" i="57"/>
  <c r="BH60" i="57"/>
  <c r="BI60" i="57"/>
  <c r="BC62" i="57"/>
  <c r="BD61" i="57"/>
  <c r="BH61" i="57" l="1"/>
  <c r="BG61" i="57"/>
  <c r="BI61" i="57"/>
  <c r="BF61" i="57"/>
  <c r="BC63" i="57"/>
  <c r="BD63" i="57" s="1"/>
  <c r="BD62" i="57"/>
  <c r="BI62" i="57" l="1"/>
  <c r="BH62" i="57"/>
  <c r="BG62" i="57"/>
  <c r="BF62" i="57"/>
  <c r="BH63" i="57"/>
  <c r="BG63" i="57"/>
  <c r="BI63" i="57"/>
  <c r="BF63" i="57"/>
  <c r="C68" i="56" l="1"/>
  <c r="B68" i="56" s="1"/>
  <c r="AH67" i="56"/>
  <c r="AG67" i="56"/>
  <c r="AF67" i="56"/>
  <c r="AH66" i="56"/>
  <c r="AG66" i="56"/>
  <c r="AF66" i="56"/>
  <c r="AH65" i="56"/>
  <c r="AG65" i="56"/>
  <c r="AF65" i="56"/>
  <c r="AH64" i="56"/>
  <c r="AG64" i="56"/>
  <c r="AF64" i="56"/>
  <c r="AV63" i="56"/>
  <c r="AH63" i="56"/>
  <c r="AG63" i="56"/>
  <c r="AF63" i="56"/>
  <c r="AV62" i="56"/>
  <c r="AH62" i="56"/>
  <c r="AG62" i="56"/>
  <c r="AF62" i="56"/>
  <c r="AV61" i="56"/>
  <c r="AV60" i="56"/>
  <c r="AH60" i="56"/>
  <c r="AG60" i="56"/>
  <c r="AF60" i="56"/>
  <c r="AF61" i="56" s="1"/>
  <c r="G60" i="56"/>
  <c r="E60" i="56" s="1"/>
  <c r="AV59" i="56"/>
  <c r="AV58" i="56"/>
  <c r="AV57" i="56"/>
  <c r="AV56" i="56"/>
  <c r="AV55" i="56"/>
  <c r="AV54" i="56"/>
  <c r="AV53" i="56"/>
  <c r="AV52" i="56"/>
  <c r="AV51" i="56"/>
  <c r="AV50" i="56"/>
  <c r="AV49" i="56"/>
  <c r="AV48" i="56"/>
  <c r="AV47" i="56"/>
  <c r="AV46" i="56"/>
  <c r="AV45" i="56"/>
  <c r="AV44" i="56"/>
  <c r="AV43" i="56"/>
  <c r="AV42" i="56"/>
  <c r="AV41" i="56"/>
  <c r="AV40" i="56"/>
  <c r="AV39" i="56"/>
  <c r="AV38" i="56"/>
  <c r="AV37" i="56"/>
  <c r="AV36" i="56"/>
  <c r="AV35" i="56"/>
  <c r="AV34" i="56"/>
  <c r="AV33" i="56"/>
  <c r="AV32" i="56"/>
  <c r="AV31" i="56"/>
  <c r="AV30" i="56"/>
  <c r="AV29" i="56"/>
  <c r="AV28" i="56"/>
  <c r="AV27" i="56"/>
  <c r="AV26" i="56"/>
  <c r="AV25" i="56"/>
  <c r="AV24" i="56"/>
  <c r="AV23" i="56"/>
  <c r="AV22" i="56"/>
  <c r="AV21" i="56"/>
  <c r="AV20" i="56"/>
  <c r="AV19" i="56"/>
  <c r="AV18" i="56"/>
  <c r="AV17" i="56"/>
  <c r="AV16" i="56"/>
  <c r="L16" i="56" a="1"/>
  <c r="L16" i="56" s="1"/>
  <c r="AV15" i="56"/>
  <c r="AV14" i="56"/>
  <c r="AV13" i="56"/>
  <c r="L13" i="56"/>
  <c r="AV12" i="56"/>
  <c r="L12" i="56"/>
  <c r="AV11" i="56"/>
  <c r="L11" i="56"/>
  <c r="AV10" i="56"/>
  <c r="L10" i="56"/>
  <c r="AV9" i="56"/>
  <c r="L9" i="56"/>
  <c r="AV8" i="56"/>
  <c r="L8" i="56"/>
  <c r="BC7" i="56"/>
  <c r="BC8" i="56" s="1"/>
  <c r="AV7" i="56"/>
  <c r="AF7" i="56"/>
  <c r="AF8" i="56" s="1"/>
  <c r="AF9" i="56" s="1"/>
  <c r="AF10" i="56" s="1"/>
  <c r="AF11" i="56" s="1"/>
  <c r="AF12" i="56" s="1"/>
  <c r="AF13" i="56" s="1"/>
  <c r="AF14" i="56" s="1"/>
  <c r="AF15" i="56" s="1"/>
  <c r="AF16" i="56" s="1"/>
  <c r="AF17" i="56" s="1"/>
  <c r="AF18" i="56" s="1"/>
  <c r="AF19" i="56" s="1"/>
  <c r="AF20" i="56" s="1"/>
  <c r="AF21" i="56" s="1"/>
  <c r="AF22" i="56" s="1"/>
  <c r="AF23" i="56" s="1"/>
  <c r="AF24" i="56" s="1"/>
  <c r="AF25" i="56" s="1"/>
  <c r="AF26" i="56" s="1"/>
  <c r="AF27" i="56" s="1"/>
  <c r="AF28" i="56" s="1"/>
  <c r="AF29" i="56" s="1"/>
  <c r="AF30" i="56" s="1"/>
  <c r="AF31" i="56" s="1"/>
  <c r="AF32" i="56" s="1"/>
  <c r="AF33" i="56" s="1"/>
  <c r="AF34" i="56" s="1"/>
  <c r="AF35" i="56" s="1"/>
  <c r="AF36" i="56" s="1"/>
  <c r="AF37" i="56" s="1"/>
  <c r="AF38" i="56" s="1"/>
  <c r="AF39" i="56" s="1"/>
  <c r="AF40" i="56" s="1"/>
  <c r="AF41" i="56" s="1"/>
  <c r="AF42" i="56" s="1"/>
  <c r="AF43" i="56" s="1"/>
  <c r="AF44" i="56" s="1"/>
  <c r="AF45" i="56" s="1"/>
  <c r="AF46" i="56" s="1"/>
  <c r="AF47" i="56" s="1"/>
  <c r="AF48" i="56" s="1"/>
  <c r="AF49" i="56" s="1"/>
  <c r="AF50" i="56" s="1"/>
  <c r="AF51" i="56" s="1"/>
  <c r="AF52" i="56" s="1"/>
  <c r="AF53" i="56" s="1"/>
  <c r="AF54" i="56" s="1"/>
  <c r="AF55" i="56" s="1"/>
  <c r="AF56" i="56" s="1"/>
  <c r="AF57" i="56" s="1"/>
  <c r="AF58" i="56" s="1"/>
  <c r="AF59" i="56" s="1"/>
  <c r="AL4" i="56"/>
  <c r="AL2" i="56" s="1"/>
  <c r="AK4" i="56"/>
  <c r="AJ4" i="56"/>
  <c r="AJ2" i="56" s="1"/>
  <c r="G3" i="56"/>
  <c r="AK2" i="56"/>
  <c r="E2" i="56"/>
  <c r="E3" i="56" s="1"/>
  <c r="A1" i="56"/>
  <c r="G59" i="56"/>
  <c r="G15" i="56"/>
  <c r="AJ50" i="56"/>
  <c r="E6" i="56"/>
  <c r="E59" i="56" l="1"/>
  <c r="AW8" i="56"/>
  <c r="AX8" i="56" s="1"/>
  <c r="AW16" i="56"/>
  <c r="AX16" i="56" s="1"/>
  <c r="AW10" i="56"/>
  <c r="AX10" i="56" s="1"/>
  <c r="AW14" i="56"/>
  <c r="AX14" i="56" s="1"/>
  <c r="AW18" i="56"/>
  <c r="AX18" i="56" s="1"/>
  <c r="AW12" i="56"/>
  <c r="AX12" i="56" s="1"/>
  <c r="AW29" i="56"/>
  <c r="AX29" i="56" s="1"/>
  <c r="BC9" i="56"/>
  <c r="AW31" i="56"/>
  <c r="AX31" i="56" s="1"/>
  <c r="AW62" i="56"/>
  <c r="AX62" i="56" s="1"/>
  <c r="AW58" i="56"/>
  <c r="AX58" i="56" s="1"/>
  <c r="AW54" i="56"/>
  <c r="AX54" i="56" s="1"/>
  <c r="AW50" i="56"/>
  <c r="AX50" i="56" s="1"/>
  <c r="AW46" i="56"/>
  <c r="AX46" i="56" s="1"/>
  <c r="AW55" i="56"/>
  <c r="AX55" i="56" s="1"/>
  <c r="AW47" i="56"/>
  <c r="AX47" i="56" s="1"/>
  <c r="AW39" i="56"/>
  <c r="AX39" i="56" s="1"/>
  <c r="AW36" i="56"/>
  <c r="AX36" i="56" s="1"/>
  <c r="AW32" i="56"/>
  <c r="AX32" i="56" s="1"/>
  <c r="AW41" i="56"/>
  <c r="AX41" i="56" s="1"/>
  <c r="AW38" i="56"/>
  <c r="AX38" i="56" s="1"/>
  <c r="AW34" i="56"/>
  <c r="AX34" i="56" s="1"/>
  <c r="AW30" i="56"/>
  <c r="AX30" i="56" s="1"/>
  <c r="AW27" i="56"/>
  <c r="AX27" i="56" s="1"/>
  <c r="AW22" i="56"/>
  <c r="AX22" i="56" s="1"/>
  <c r="AW19" i="56"/>
  <c r="AX19" i="56" s="1"/>
  <c r="AW15" i="56"/>
  <c r="AX15" i="56" s="1"/>
  <c r="AW13" i="56"/>
  <c r="AX13" i="56" s="1"/>
  <c r="AW43" i="56"/>
  <c r="AX43" i="56" s="1"/>
  <c r="AW28" i="56"/>
  <c r="AX28" i="56" s="1"/>
  <c r="AW20" i="56"/>
  <c r="AX20" i="56" s="1"/>
  <c r="AW51" i="56"/>
  <c r="AX51" i="56" s="1"/>
  <c r="AW59" i="56"/>
  <c r="AX59" i="56" s="1"/>
  <c r="AW7" i="56"/>
  <c r="AX7" i="56" s="1"/>
  <c r="AW9" i="56"/>
  <c r="AX9" i="56" s="1"/>
  <c r="AW11" i="56"/>
  <c r="AX11" i="56" s="1"/>
  <c r="AW21" i="56"/>
  <c r="AX21" i="56" s="1"/>
  <c r="AW23" i="56"/>
  <c r="AX23" i="56" s="1"/>
  <c r="AW24" i="56"/>
  <c r="AX24" i="56" s="1"/>
  <c r="AW26" i="56"/>
  <c r="AX26" i="56" s="1"/>
  <c r="AW35" i="56"/>
  <c r="AX35" i="56" s="1"/>
  <c r="L14" i="56"/>
  <c r="C77" i="56" s="1"/>
  <c r="AW33" i="56"/>
  <c r="AX33" i="56" s="1"/>
  <c r="AW17" i="56"/>
  <c r="AX17" i="56" s="1"/>
  <c r="AW25" i="56"/>
  <c r="AX25" i="56" s="1"/>
  <c r="AW42" i="56"/>
  <c r="AX42" i="56" s="1"/>
  <c r="AW60" i="56"/>
  <c r="AX60" i="56" s="1"/>
  <c r="AW37" i="56"/>
  <c r="AX37" i="56" s="1"/>
  <c r="AW40" i="56"/>
  <c r="AX40" i="56" s="1"/>
  <c r="AW53" i="56"/>
  <c r="AX53" i="56" s="1"/>
  <c r="AW63" i="56"/>
  <c r="AX63" i="56" s="1"/>
  <c r="AW49" i="56"/>
  <c r="AX49" i="56" s="1"/>
  <c r="AW57" i="56"/>
  <c r="AX57" i="56" s="1"/>
  <c r="AW44" i="56"/>
  <c r="AX44" i="56" s="1"/>
  <c r="AW45" i="56"/>
  <c r="AX45" i="56" s="1"/>
  <c r="AW48" i="56"/>
  <c r="AX48" i="56" s="1"/>
  <c r="AW52" i="56"/>
  <c r="AX52" i="56" s="1"/>
  <c r="AW56" i="56"/>
  <c r="AX56" i="56" s="1"/>
  <c r="AW61" i="56"/>
  <c r="AX61" i="56" s="1"/>
  <c r="C68" i="55"/>
  <c r="B68" i="55" s="1"/>
  <c r="AH67" i="55"/>
  <c r="AG67" i="55"/>
  <c r="AF67" i="55"/>
  <c r="AH66" i="55"/>
  <c r="AG66" i="55"/>
  <c r="AF66" i="55"/>
  <c r="AH65" i="55"/>
  <c r="AG65" i="55"/>
  <c r="AF65" i="55"/>
  <c r="AH64" i="55"/>
  <c r="AG64" i="55"/>
  <c r="AF64" i="55"/>
  <c r="AV63" i="55"/>
  <c r="AH63" i="55"/>
  <c r="AG63" i="55"/>
  <c r="AF63" i="55"/>
  <c r="AV62" i="55"/>
  <c r="AV61" i="55"/>
  <c r="AV60" i="55"/>
  <c r="AH60" i="55"/>
  <c r="AG60" i="55"/>
  <c r="AF60" i="55"/>
  <c r="AF61" i="55" s="1"/>
  <c r="AF62" i="55" s="1"/>
  <c r="G60" i="55"/>
  <c r="E60" i="55" s="1"/>
  <c r="AV59" i="55"/>
  <c r="AH59" i="55"/>
  <c r="AG59" i="55"/>
  <c r="AF59" i="55"/>
  <c r="G59" i="55"/>
  <c r="E59" i="55" s="1"/>
  <c r="AV58" i="55"/>
  <c r="AV57" i="55"/>
  <c r="AV56" i="55"/>
  <c r="AV55" i="55"/>
  <c r="AV54" i="55"/>
  <c r="AV53" i="55"/>
  <c r="AV52" i="55"/>
  <c r="AV51" i="55"/>
  <c r="AV50" i="55"/>
  <c r="AV49" i="55"/>
  <c r="AV48" i="55"/>
  <c r="AV47" i="55"/>
  <c r="AV46" i="55"/>
  <c r="AV45" i="55"/>
  <c r="AV44" i="55"/>
  <c r="AV43" i="55"/>
  <c r="AV42" i="55"/>
  <c r="AV41" i="55"/>
  <c r="AV40" i="55"/>
  <c r="AV39" i="55"/>
  <c r="AV38" i="55"/>
  <c r="AV37" i="55"/>
  <c r="AV36" i="55"/>
  <c r="AV35" i="55"/>
  <c r="AV34" i="55"/>
  <c r="AV33" i="55"/>
  <c r="AV32" i="55"/>
  <c r="AV31" i="55"/>
  <c r="AV30" i="55"/>
  <c r="AV29" i="55"/>
  <c r="AV28" i="55"/>
  <c r="AV27" i="55"/>
  <c r="AV26" i="55"/>
  <c r="AV25" i="55"/>
  <c r="AV24" i="55"/>
  <c r="AV23" i="55"/>
  <c r="AV22" i="55"/>
  <c r="AV21" i="55"/>
  <c r="AV20" i="55"/>
  <c r="AV19" i="55"/>
  <c r="AV18" i="55"/>
  <c r="AV17" i="55"/>
  <c r="AV16" i="55"/>
  <c r="L16" i="55" a="1"/>
  <c r="L16" i="55" s="1"/>
  <c r="AV15" i="55"/>
  <c r="AV14" i="55"/>
  <c r="AV13" i="55"/>
  <c r="L13" i="55"/>
  <c r="AV12" i="55"/>
  <c r="L12" i="55"/>
  <c r="AV11" i="55"/>
  <c r="L11" i="55"/>
  <c r="AV10" i="55"/>
  <c r="L10" i="55"/>
  <c r="AV9" i="55"/>
  <c r="L9" i="55"/>
  <c r="AV8" i="55"/>
  <c r="L8" i="55"/>
  <c r="BC7" i="55"/>
  <c r="BC8" i="55" s="1"/>
  <c r="BC9" i="55" s="1"/>
  <c r="AV7" i="55"/>
  <c r="AF7" i="55"/>
  <c r="AF8" i="55" s="1"/>
  <c r="AF9" i="55" s="1"/>
  <c r="AF10" i="55" s="1"/>
  <c r="AF11" i="55" s="1"/>
  <c r="AF12" i="55" s="1"/>
  <c r="AF13" i="55" s="1"/>
  <c r="AF14" i="55" s="1"/>
  <c r="AF15" i="55" s="1"/>
  <c r="AF16" i="55" s="1"/>
  <c r="AF17" i="55" s="1"/>
  <c r="AF18" i="55" s="1"/>
  <c r="AF19" i="55" s="1"/>
  <c r="AF20" i="55" s="1"/>
  <c r="AF21" i="55" s="1"/>
  <c r="AF22" i="55" s="1"/>
  <c r="AF23" i="55" s="1"/>
  <c r="AF24" i="55" s="1"/>
  <c r="AF25" i="55" s="1"/>
  <c r="AF26" i="55" s="1"/>
  <c r="AF27" i="55" s="1"/>
  <c r="AF28" i="55" s="1"/>
  <c r="AF29" i="55" s="1"/>
  <c r="AF30" i="55" s="1"/>
  <c r="AF31" i="55" s="1"/>
  <c r="AF32" i="55" s="1"/>
  <c r="AF33" i="55" s="1"/>
  <c r="AF34" i="55" s="1"/>
  <c r="AF35" i="55" s="1"/>
  <c r="AF36" i="55" s="1"/>
  <c r="AF37" i="55" s="1"/>
  <c r="AF38" i="55" s="1"/>
  <c r="AF39" i="55" s="1"/>
  <c r="AF40" i="55" s="1"/>
  <c r="AF41" i="55" s="1"/>
  <c r="AF42" i="55" s="1"/>
  <c r="AF43" i="55" s="1"/>
  <c r="AF44" i="55" s="1"/>
  <c r="AF45" i="55" s="1"/>
  <c r="AF46" i="55" s="1"/>
  <c r="AF47" i="55" s="1"/>
  <c r="AF48" i="55" s="1"/>
  <c r="AF49" i="55" s="1"/>
  <c r="AF50" i="55" s="1"/>
  <c r="AF51" i="55" s="1"/>
  <c r="AF52" i="55" s="1"/>
  <c r="AF53" i="55" s="1"/>
  <c r="AF54" i="55" s="1"/>
  <c r="AF55" i="55" s="1"/>
  <c r="AF56" i="55" s="1"/>
  <c r="AF57" i="55" s="1"/>
  <c r="AF58" i="55" s="1"/>
  <c r="AL4" i="55"/>
  <c r="AL2" i="55" s="1"/>
  <c r="AK4" i="55"/>
  <c r="AK2" i="55" s="1"/>
  <c r="AJ4" i="55"/>
  <c r="AJ2" i="55" s="1"/>
  <c r="G3" i="55"/>
  <c r="E2" i="55"/>
  <c r="E3" i="55" s="1"/>
  <c r="A1" i="55"/>
  <c r="G61" i="56"/>
  <c r="G32" i="56"/>
  <c r="G28" i="56"/>
  <c r="AJ42" i="56"/>
  <c r="AJ12" i="56"/>
  <c r="AJ35" i="56"/>
  <c r="AJ14" i="56"/>
  <c r="AJ34" i="56"/>
  <c r="G16" i="56"/>
  <c r="G14" i="56"/>
  <c r="AJ28" i="56"/>
  <c r="AJ57" i="56"/>
  <c r="G15" i="55"/>
  <c r="AJ22" i="56"/>
  <c r="AJ11" i="56"/>
  <c r="G23" i="56"/>
  <c r="G11" i="56"/>
  <c r="AJ21" i="56"/>
  <c r="G41" i="56"/>
  <c r="G58" i="56"/>
  <c r="G19" i="56"/>
  <c r="AJ45" i="56"/>
  <c r="G48" i="56"/>
  <c r="AJ38" i="56"/>
  <c r="G39" i="56"/>
  <c r="AJ53" i="56"/>
  <c r="G54" i="56"/>
  <c r="G20" i="56"/>
  <c r="AJ24" i="56"/>
  <c r="AJ30" i="56"/>
  <c r="G55" i="56"/>
  <c r="G31" i="56"/>
  <c r="G24" i="56"/>
  <c r="G40" i="56"/>
  <c r="AJ52" i="56"/>
  <c r="AJ26" i="56"/>
  <c r="G45" i="56"/>
  <c r="AJ61" i="56"/>
  <c r="AJ20" i="56"/>
  <c r="AJ13" i="56"/>
  <c r="AJ54" i="56"/>
  <c r="AJ56" i="56"/>
  <c r="AJ58" i="56"/>
  <c r="AJ23" i="56"/>
  <c r="AJ9" i="56"/>
  <c r="G18" i="56"/>
  <c r="AJ19" i="56"/>
  <c r="AK50" i="56"/>
  <c r="G35" i="56"/>
  <c r="AJ17" i="56"/>
  <c r="AJ31" i="56"/>
  <c r="G25" i="56"/>
  <c r="G30" i="56"/>
  <c r="AJ67" i="56"/>
  <c r="G37" i="56"/>
  <c r="G21" i="56"/>
  <c r="AJ65" i="56"/>
  <c r="G53" i="56"/>
  <c r="G49" i="56"/>
  <c r="G51" i="56"/>
  <c r="G13" i="56"/>
  <c r="AJ33" i="56"/>
  <c r="G56" i="56"/>
  <c r="AJ60" i="56"/>
  <c r="G34" i="56"/>
  <c r="AJ36" i="56"/>
  <c r="AJ29" i="56"/>
  <c r="AJ8" i="56"/>
  <c r="AL50" i="56"/>
  <c r="AJ46" i="56"/>
  <c r="AJ63" i="56"/>
  <c r="AJ55" i="56"/>
  <c r="E6" i="55"/>
  <c r="AJ18" i="56"/>
  <c r="AJ64" i="56"/>
  <c r="AJ7" i="56"/>
  <c r="G44" i="56"/>
  <c r="G9" i="56"/>
  <c r="AJ25" i="56"/>
  <c r="AJ49" i="56"/>
  <c r="AJ59" i="56"/>
  <c r="G46" i="56"/>
  <c r="AJ27" i="56"/>
  <c r="G52" i="56"/>
  <c r="AJ51" i="56"/>
  <c r="G27" i="56"/>
  <c r="G50" i="56"/>
  <c r="G36" i="56"/>
  <c r="G12" i="56"/>
  <c r="G38" i="56"/>
  <c r="AJ66" i="56"/>
  <c r="AJ41" i="56"/>
  <c r="G58" i="55"/>
  <c r="G22" i="56"/>
  <c r="G10" i="56"/>
  <c r="G26" i="56"/>
  <c r="AJ39" i="56"/>
  <c r="G7" i="56"/>
  <c r="AJ10" i="56"/>
  <c r="G29" i="56"/>
  <c r="AJ15" i="56"/>
  <c r="AJ44" i="56"/>
  <c r="G8" i="56"/>
  <c r="G47" i="56"/>
  <c r="AJ62" i="56"/>
  <c r="E15" i="56"/>
  <c r="AJ48" i="56"/>
  <c r="G62" i="56"/>
  <c r="AJ47" i="56"/>
  <c r="AJ40" i="56"/>
  <c r="AJ32" i="56"/>
  <c r="AJ37" i="56"/>
  <c r="AJ43" i="56"/>
  <c r="G33" i="56"/>
  <c r="AJ16" i="56"/>
  <c r="G17" i="56"/>
  <c r="G42" i="56"/>
  <c r="G43" i="56"/>
  <c r="AJ12" i="55"/>
  <c r="G57" i="56"/>
  <c r="AY61" i="56" l="1"/>
  <c r="AK64" i="56"/>
  <c r="AM64" i="56" s="1"/>
  <c r="AL64" i="56"/>
  <c r="AL67" i="56"/>
  <c r="AK67" i="56"/>
  <c r="AM67" i="56" s="1"/>
  <c r="AL65" i="56"/>
  <c r="AK65" i="56"/>
  <c r="AM65" i="56" s="1"/>
  <c r="AL63" i="56"/>
  <c r="AK63" i="56"/>
  <c r="AM63" i="56" s="1"/>
  <c r="AM50" i="56"/>
  <c r="AL66" i="56"/>
  <c r="AK66" i="56"/>
  <c r="AM66" i="56" s="1"/>
  <c r="AK60" i="56"/>
  <c r="AM60" i="56" s="1"/>
  <c r="AL60" i="56"/>
  <c r="AH50" i="56"/>
  <c r="AG50" i="56"/>
  <c r="AY53" i="56"/>
  <c r="AY41" i="56"/>
  <c r="AY49" i="56"/>
  <c r="AY9" i="56"/>
  <c r="AY42" i="56"/>
  <c r="AY7" i="56"/>
  <c r="AY16" i="56"/>
  <c r="AY33" i="56"/>
  <c r="AY22" i="56"/>
  <c r="AY50" i="56"/>
  <c r="AY52" i="56"/>
  <c r="AY45" i="56"/>
  <c r="AY63" i="56"/>
  <c r="AY30" i="56"/>
  <c r="AY14" i="56"/>
  <c r="AY21" i="56"/>
  <c r="AY26" i="56"/>
  <c r="AY11" i="56"/>
  <c r="AY43" i="56"/>
  <c r="AY39" i="56"/>
  <c r="AY31" i="56"/>
  <c r="AY44" i="56"/>
  <c r="AY17" i="56"/>
  <c r="AY12" i="56"/>
  <c r="AY8" i="56"/>
  <c r="AY23" i="56"/>
  <c r="AY13" i="56"/>
  <c r="AY27" i="56"/>
  <c r="AY47" i="56"/>
  <c r="BC10" i="56"/>
  <c r="AY62" i="56"/>
  <c r="AY46" i="56"/>
  <c r="AY34" i="56"/>
  <c r="M13" i="56"/>
  <c r="L5" i="56"/>
  <c r="M12" i="56"/>
  <c r="M14" i="56"/>
  <c r="Y14" i="56"/>
  <c r="M10" i="56"/>
  <c r="M8" i="56"/>
  <c r="AY24" i="56"/>
  <c r="AY59" i="56"/>
  <c r="AY20" i="56"/>
  <c r="AY15" i="56"/>
  <c r="AY32" i="56"/>
  <c r="AY55" i="56"/>
  <c r="AY54" i="56"/>
  <c r="AY57" i="56"/>
  <c r="AY40" i="56"/>
  <c r="AY37" i="56"/>
  <c r="AY25" i="56"/>
  <c r="AY51" i="56"/>
  <c r="AY38" i="56"/>
  <c r="AY48" i="56"/>
  <c r="AY60" i="56"/>
  <c r="AY56" i="56"/>
  <c r="AY58" i="56"/>
  <c r="AY18" i="56"/>
  <c r="AY10" i="56"/>
  <c r="AY35" i="56"/>
  <c r="AY29" i="56"/>
  <c r="AY28" i="56"/>
  <c r="AY19" i="56"/>
  <c r="AY36" i="56"/>
  <c r="M9" i="56"/>
  <c r="M11" i="56"/>
  <c r="AW44" i="55"/>
  <c r="AX44" i="55" s="1"/>
  <c r="AW9" i="55"/>
  <c r="AX9" i="55" s="1"/>
  <c r="AW11" i="55"/>
  <c r="AX11" i="55" s="1"/>
  <c r="AW13" i="55"/>
  <c r="AX13" i="55" s="1"/>
  <c r="AW15" i="55"/>
  <c r="BC10" i="55"/>
  <c r="AW16" i="55"/>
  <c r="AX16" i="55" s="1"/>
  <c r="AW18" i="55"/>
  <c r="AX18" i="55" s="1"/>
  <c r="AW19" i="55"/>
  <c r="AX19" i="55" s="1"/>
  <c r="AW21" i="55"/>
  <c r="AX21" i="55" s="1"/>
  <c r="AW25" i="55"/>
  <c r="AX25" i="55" s="1"/>
  <c r="AW40" i="55"/>
  <c r="AX40" i="55" s="1"/>
  <c r="AW58" i="55"/>
  <c r="AX58" i="55" s="1"/>
  <c r="AW7" i="55"/>
  <c r="AX7" i="55" s="1"/>
  <c r="AW42" i="55"/>
  <c r="AX42" i="55" s="1"/>
  <c r="AW29" i="55"/>
  <c r="AX29" i="55" s="1"/>
  <c r="AW54" i="55"/>
  <c r="AX54" i="55" s="1"/>
  <c r="AW50" i="55"/>
  <c r="AX50" i="55" s="1"/>
  <c r="AW46" i="55"/>
  <c r="AX46" i="55" s="1"/>
  <c r="AW63" i="55"/>
  <c r="AX63" i="55" s="1"/>
  <c r="AW59" i="55"/>
  <c r="AX59" i="55" s="1"/>
  <c r="AW61" i="55"/>
  <c r="AX61" i="55" s="1"/>
  <c r="AW53" i="55"/>
  <c r="AX53" i="55" s="1"/>
  <c r="AW49" i="55"/>
  <c r="AX49" i="55" s="1"/>
  <c r="AW36" i="55"/>
  <c r="AX36" i="55" s="1"/>
  <c r="AW35" i="55"/>
  <c r="AX35" i="55" s="1"/>
  <c r="AW34" i="55"/>
  <c r="AX34" i="55" s="1"/>
  <c r="AW22" i="55"/>
  <c r="AX22" i="55" s="1"/>
  <c r="AW17" i="55"/>
  <c r="AW23" i="55"/>
  <c r="AX23" i="55" s="1"/>
  <c r="AX15" i="55"/>
  <c r="AW31" i="55"/>
  <c r="AX31" i="55" s="1"/>
  <c r="L14" i="55"/>
  <c r="M11" i="55" s="1"/>
  <c r="AW8" i="55"/>
  <c r="AX8" i="55" s="1"/>
  <c r="AW10" i="55"/>
  <c r="AX10" i="55" s="1"/>
  <c r="AW12" i="55"/>
  <c r="AX12" i="55" s="1"/>
  <c r="AW14" i="55"/>
  <c r="AX14" i="55" s="1"/>
  <c r="AW27" i="55"/>
  <c r="AX27" i="55" s="1"/>
  <c r="AW38" i="55"/>
  <c r="AX38" i="55" s="1"/>
  <c r="AW45" i="55"/>
  <c r="AX45" i="55" s="1"/>
  <c r="AX17" i="55"/>
  <c r="AW20" i="55"/>
  <c r="AX20" i="55" s="1"/>
  <c r="AW24" i="55"/>
  <c r="AX24" i="55" s="1"/>
  <c r="AW26" i="55"/>
  <c r="AX26" i="55" s="1"/>
  <c r="AW28" i="55"/>
  <c r="AX28" i="55" s="1"/>
  <c r="AW30" i="55"/>
  <c r="AX30" i="55" s="1"/>
  <c r="AW32" i="55"/>
  <c r="AX32" i="55" s="1"/>
  <c r="AW62" i="55"/>
  <c r="AX62" i="55" s="1"/>
  <c r="AW52" i="55"/>
  <c r="AX52" i="55" s="1"/>
  <c r="AW48" i="55"/>
  <c r="AX48" i="55" s="1"/>
  <c r="AW33" i="55"/>
  <c r="AX33" i="55" s="1"/>
  <c r="AW37" i="55"/>
  <c r="AX37" i="55" s="1"/>
  <c r="AW39" i="55"/>
  <c r="AX39" i="55" s="1"/>
  <c r="AW41" i="55"/>
  <c r="AX41" i="55" s="1"/>
  <c r="AW43" i="55"/>
  <c r="AX43" i="55" s="1"/>
  <c r="AW47" i="55"/>
  <c r="AX47" i="55" s="1"/>
  <c r="AW51" i="55"/>
  <c r="AX51" i="55" s="1"/>
  <c r="AW60" i="55"/>
  <c r="AX60" i="55" s="1"/>
  <c r="AW57" i="55"/>
  <c r="AX57" i="55" s="1"/>
  <c r="AW56" i="55"/>
  <c r="AX56" i="55" s="1"/>
  <c r="AW55" i="55"/>
  <c r="AX55" i="55" s="1"/>
  <c r="C68" i="54"/>
  <c r="B68" i="54" s="1"/>
  <c r="AH67" i="54"/>
  <c r="AG67" i="54"/>
  <c r="AF67" i="54"/>
  <c r="AH66" i="54"/>
  <c r="AG66" i="54"/>
  <c r="AF66" i="54"/>
  <c r="AH65" i="54"/>
  <c r="AG65" i="54"/>
  <c r="AF65" i="54"/>
  <c r="AH64" i="54"/>
  <c r="AG64" i="54"/>
  <c r="AF64" i="54"/>
  <c r="AV63" i="54"/>
  <c r="AH63" i="54"/>
  <c r="AG63" i="54"/>
  <c r="AF63" i="54"/>
  <c r="AV62" i="54"/>
  <c r="AV61" i="54"/>
  <c r="AV60" i="54"/>
  <c r="AH60" i="54"/>
  <c r="AG60" i="54"/>
  <c r="AF60" i="54"/>
  <c r="AF61" i="54" s="1"/>
  <c r="AF62" i="54" s="1"/>
  <c r="G60" i="54"/>
  <c r="E60" i="54" s="1"/>
  <c r="AV59" i="54"/>
  <c r="AH59" i="54"/>
  <c r="AG59" i="54"/>
  <c r="AF59" i="54"/>
  <c r="G59" i="54"/>
  <c r="E59" i="54" s="1"/>
  <c r="AV58" i="54"/>
  <c r="AH58" i="54"/>
  <c r="AG58" i="54"/>
  <c r="AF58" i="54"/>
  <c r="G58" i="54"/>
  <c r="E58" i="54" s="1"/>
  <c r="AV57" i="54"/>
  <c r="AV56" i="54"/>
  <c r="AV55" i="54"/>
  <c r="AV54" i="54"/>
  <c r="AV53" i="54"/>
  <c r="AV52" i="54"/>
  <c r="AV51" i="54"/>
  <c r="AV50" i="54"/>
  <c r="AV49" i="54"/>
  <c r="AV48" i="54"/>
  <c r="AV47" i="54"/>
  <c r="AV46" i="54"/>
  <c r="AV45" i="54"/>
  <c r="AV44" i="54"/>
  <c r="AV43" i="54"/>
  <c r="AV42" i="54"/>
  <c r="AV41" i="54"/>
  <c r="AV40" i="54"/>
  <c r="AV39" i="54"/>
  <c r="AV38" i="54"/>
  <c r="AV37" i="54"/>
  <c r="AV36" i="54"/>
  <c r="AV35" i="54"/>
  <c r="AV34" i="54"/>
  <c r="AV33" i="54"/>
  <c r="AV32" i="54"/>
  <c r="AV31" i="54"/>
  <c r="AV30" i="54"/>
  <c r="AV29" i="54"/>
  <c r="AV28" i="54"/>
  <c r="AV27" i="54"/>
  <c r="AV26" i="54"/>
  <c r="AV25" i="54"/>
  <c r="AV24" i="54"/>
  <c r="AV23" i="54"/>
  <c r="AV22" i="54"/>
  <c r="AV21" i="54"/>
  <c r="AV20" i="54"/>
  <c r="AV19" i="54"/>
  <c r="AV18" i="54"/>
  <c r="AV17" i="54"/>
  <c r="AV16" i="54"/>
  <c r="L16" i="54" a="1"/>
  <c r="L16" i="54" s="1"/>
  <c r="AV15" i="54"/>
  <c r="AV14" i="54"/>
  <c r="AV13" i="54"/>
  <c r="L13" i="54"/>
  <c r="AV12" i="54"/>
  <c r="L12" i="54"/>
  <c r="AV11" i="54"/>
  <c r="L11" i="54"/>
  <c r="AV10" i="54"/>
  <c r="L10" i="54"/>
  <c r="AV9" i="54"/>
  <c r="L9" i="54"/>
  <c r="AV8" i="54"/>
  <c r="L8" i="54"/>
  <c r="BC7" i="54"/>
  <c r="BC8" i="54" s="1"/>
  <c r="AV7" i="54"/>
  <c r="AW7" i="54" s="1"/>
  <c r="AF7" i="54"/>
  <c r="AF8" i="54" s="1"/>
  <c r="AF9" i="54" s="1"/>
  <c r="AF10" i="54" s="1"/>
  <c r="AF11" i="54" s="1"/>
  <c r="AF12" i="54" s="1"/>
  <c r="AF13" i="54" s="1"/>
  <c r="AF14" i="54" s="1"/>
  <c r="AF15" i="54" s="1"/>
  <c r="AF16" i="54" s="1"/>
  <c r="AF17" i="54" s="1"/>
  <c r="AF18" i="54" s="1"/>
  <c r="AF19" i="54" s="1"/>
  <c r="AF20" i="54" s="1"/>
  <c r="AF21" i="54" s="1"/>
  <c r="AF22" i="54" s="1"/>
  <c r="AF23" i="54" s="1"/>
  <c r="AF24" i="54" s="1"/>
  <c r="AF25" i="54" s="1"/>
  <c r="AF26" i="54" s="1"/>
  <c r="AF27" i="54" s="1"/>
  <c r="AF28" i="54" s="1"/>
  <c r="AF29" i="54" s="1"/>
  <c r="AF30" i="54" s="1"/>
  <c r="AF31" i="54" s="1"/>
  <c r="AF32" i="54" s="1"/>
  <c r="AF33" i="54" s="1"/>
  <c r="AF34" i="54" s="1"/>
  <c r="AF35" i="54" s="1"/>
  <c r="AF36" i="54" s="1"/>
  <c r="AF37" i="54" s="1"/>
  <c r="AF38" i="54" s="1"/>
  <c r="AF39" i="54" s="1"/>
  <c r="AF40" i="54" s="1"/>
  <c r="AF41" i="54" s="1"/>
  <c r="AF42" i="54" s="1"/>
  <c r="AF43" i="54" s="1"/>
  <c r="AF44" i="54" s="1"/>
  <c r="AF45" i="54" s="1"/>
  <c r="AF46" i="54" s="1"/>
  <c r="AF47" i="54" s="1"/>
  <c r="AF48" i="54" s="1"/>
  <c r="AF49" i="54" s="1"/>
  <c r="AF50" i="54" s="1"/>
  <c r="AF51" i="54" s="1"/>
  <c r="AF52" i="54" s="1"/>
  <c r="AF53" i="54" s="1"/>
  <c r="AF54" i="54" s="1"/>
  <c r="AF55" i="54" s="1"/>
  <c r="AF56" i="54" s="1"/>
  <c r="AF57" i="54" s="1"/>
  <c r="AL4" i="54"/>
  <c r="AL2" i="54" s="1"/>
  <c r="AK4" i="54"/>
  <c r="AJ4" i="54"/>
  <c r="AJ2" i="54" s="1"/>
  <c r="G3" i="54"/>
  <c r="AK2" i="54"/>
  <c r="E2" i="54"/>
  <c r="E3" i="54" s="1"/>
  <c r="A1" i="54"/>
  <c r="AL59" i="56"/>
  <c r="AK59" i="56"/>
  <c r="E19" i="56"/>
  <c r="E27" i="56"/>
  <c r="G62" i="55"/>
  <c r="AJ11" i="55"/>
  <c r="E10" i="56"/>
  <c r="E49" i="56"/>
  <c r="AJ15" i="55"/>
  <c r="AJ35" i="55"/>
  <c r="G22" i="55"/>
  <c r="E22" i="56"/>
  <c r="G7" i="55"/>
  <c r="AJ24" i="55"/>
  <c r="AJ9" i="55"/>
  <c r="AJ13" i="55"/>
  <c r="AJ16" i="55"/>
  <c r="AJ26" i="55"/>
  <c r="E33" i="56"/>
  <c r="AJ33" i="55"/>
  <c r="G48" i="55"/>
  <c r="AJ30" i="55"/>
  <c r="E12" i="56"/>
  <c r="AJ34" i="55"/>
  <c r="G52" i="55"/>
  <c r="AJ8" i="55"/>
  <c r="E17" i="56"/>
  <c r="E25" i="56"/>
  <c r="E9" i="56"/>
  <c r="G17" i="55"/>
  <c r="AJ28" i="55"/>
  <c r="E8" i="56"/>
  <c r="AJ7" i="55"/>
  <c r="AJ18" i="55"/>
  <c r="AJ14" i="55"/>
  <c r="E11" i="56"/>
  <c r="E7" i="56"/>
  <c r="G20" i="55"/>
  <c r="AJ10" i="55"/>
  <c r="AJ32" i="55"/>
  <c r="AJ21" i="55"/>
  <c r="AL35" i="55" l="1"/>
  <c r="AH35" i="55" s="1"/>
  <c r="AK35" i="55"/>
  <c r="AM35" i="55" s="1"/>
  <c r="AM59" i="56"/>
  <c r="AH59" i="56"/>
  <c r="AG59" i="56"/>
  <c r="BD9" i="56"/>
  <c r="BI9" i="56" s="1"/>
  <c r="BC11" i="56"/>
  <c r="BD10" i="56"/>
  <c r="BD7" i="56"/>
  <c r="BD8" i="56"/>
  <c r="M13" i="55"/>
  <c r="C77" i="55"/>
  <c r="M9" i="55"/>
  <c r="M8" i="55"/>
  <c r="M12" i="55"/>
  <c r="M10" i="55"/>
  <c r="AY52" i="55"/>
  <c r="AY14" i="55"/>
  <c r="AY63" i="55"/>
  <c r="AY29" i="55"/>
  <c r="AY51" i="55"/>
  <c r="AY25" i="55"/>
  <c r="AY55" i="55"/>
  <c r="AY57" i="55"/>
  <c r="AY47" i="55"/>
  <c r="AY10" i="55"/>
  <c r="AY7" i="55"/>
  <c r="AY44" i="55"/>
  <c r="AY21" i="55"/>
  <c r="AY48" i="55"/>
  <c r="AY8" i="55"/>
  <c r="AY38" i="55"/>
  <c r="AY56" i="55"/>
  <c r="AY26" i="55"/>
  <c r="AY16" i="55"/>
  <c r="AY49" i="55"/>
  <c r="AY34" i="55"/>
  <c r="AY20" i="55"/>
  <c r="AY23" i="55"/>
  <c r="AY46" i="55"/>
  <c r="AY60" i="55"/>
  <c r="AY43" i="55"/>
  <c r="AY33" i="55"/>
  <c r="AY32" i="55"/>
  <c r="AY28" i="55"/>
  <c r="AY24" i="55"/>
  <c r="AY45" i="55"/>
  <c r="AY31" i="55"/>
  <c r="AY13" i="55"/>
  <c r="AY50" i="55"/>
  <c r="AY19" i="55"/>
  <c r="AY62" i="55"/>
  <c r="AY41" i="55"/>
  <c r="AY42" i="55"/>
  <c r="AY17" i="55"/>
  <c r="L5" i="55"/>
  <c r="M14" i="55"/>
  <c r="AY11" i="55"/>
  <c r="AY36" i="55"/>
  <c r="AY59" i="55"/>
  <c r="AY54" i="55"/>
  <c r="AY40" i="55"/>
  <c r="Y14" i="55"/>
  <c r="AY58" i="55"/>
  <c r="AY61" i="55"/>
  <c r="AY39" i="55"/>
  <c r="AY30" i="55"/>
  <c r="AY18" i="55"/>
  <c r="AY12" i="55"/>
  <c r="AY9" i="55"/>
  <c r="AY22" i="55"/>
  <c r="BC11" i="55"/>
  <c r="AY37" i="55"/>
  <c r="AY35" i="55"/>
  <c r="AY27" i="55"/>
  <c r="AY15" i="55"/>
  <c r="AY53" i="55"/>
  <c r="AW13" i="54"/>
  <c r="AW17" i="54"/>
  <c r="AX17" i="54" s="1"/>
  <c r="AW8" i="54"/>
  <c r="AW19" i="54"/>
  <c r="AX19" i="54" s="1"/>
  <c r="L14" i="54"/>
  <c r="L5" i="54" s="1"/>
  <c r="AW35" i="54"/>
  <c r="AX35" i="54" s="1"/>
  <c r="AX8" i="54"/>
  <c r="AW9" i="54"/>
  <c r="AX9" i="54" s="1"/>
  <c r="AW10" i="54"/>
  <c r="AX10" i="54" s="1"/>
  <c r="AW62" i="54"/>
  <c r="AX62" i="54" s="1"/>
  <c r="AW61" i="54"/>
  <c r="AX61" i="54" s="1"/>
  <c r="AW57" i="54"/>
  <c r="AX57" i="54" s="1"/>
  <c r="AW50" i="54"/>
  <c r="AX50" i="54" s="1"/>
  <c r="AW49" i="54"/>
  <c r="AX49" i="54" s="1"/>
  <c r="AW31" i="54"/>
  <c r="AX31" i="54" s="1"/>
  <c r="AW29" i="54"/>
  <c r="AX29" i="54" s="1"/>
  <c r="AW27" i="54"/>
  <c r="AW25" i="54"/>
  <c r="AX25" i="54" s="1"/>
  <c r="AW23" i="54"/>
  <c r="AX23" i="54" s="1"/>
  <c r="AW11" i="54"/>
  <c r="AX11" i="54" s="1"/>
  <c r="BC9" i="54"/>
  <c r="AW21" i="54"/>
  <c r="AX21" i="54" s="1"/>
  <c r="AW34" i="54"/>
  <c r="AX34" i="54" s="1"/>
  <c r="AW36" i="54"/>
  <c r="AX36" i="54" s="1"/>
  <c r="AW46" i="54"/>
  <c r="AX46" i="54" s="1"/>
  <c r="AW52" i="54"/>
  <c r="AX52" i="54" s="1"/>
  <c r="AW53" i="54"/>
  <c r="AX53" i="54" s="1"/>
  <c r="AW54" i="54"/>
  <c r="AX54" i="54" s="1"/>
  <c r="AX7" i="54"/>
  <c r="AW12" i="54"/>
  <c r="AX12" i="54" s="1"/>
  <c r="AX13" i="54"/>
  <c r="AW15" i="54"/>
  <c r="AX15" i="54" s="1"/>
  <c r="AX27" i="54"/>
  <c r="AW33" i="54"/>
  <c r="AX33" i="54" s="1"/>
  <c r="AW60" i="54"/>
  <c r="AX60" i="54" s="1"/>
  <c r="AW32" i="54"/>
  <c r="AX32" i="54" s="1"/>
  <c r="AW48" i="54"/>
  <c r="AX48" i="54" s="1"/>
  <c r="AW56" i="54"/>
  <c r="AX56" i="54" s="1"/>
  <c r="AW63" i="54"/>
  <c r="AX63" i="54" s="1"/>
  <c r="AW59" i="54"/>
  <c r="AX59" i="54" s="1"/>
  <c r="AW55" i="54"/>
  <c r="AX55" i="54" s="1"/>
  <c r="AW51" i="54"/>
  <c r="AX51" i="54" s="1"/>
  <c r="AW47" i="54"/>
  <c r="AX47" i="54" s="1"/>
  <c r="AW58" i="54"/>
  <c r="AX58" i="54" s="1"/>
  <c r="AW14" i="54"/>
  <c r="AX14" i="54" s="1"/>
  <c r="AW16" i="54"/>
  <c r="AX16" i="54" s="1"/>
  <c r="AW18" i="54"/>
  <c r="AX18" i="54" s="1"/>
  <c r="AW20" i="54"/>
  <c r="AX20" i="54" s="1"/>
  <c r="AW22" i="54"/>
  <c r="AX22" i="54" s="1"/>
  <c r="AW24" i="54"/>
  <c r="AX24" i="54" s="1"/>
  <c r="AW26" i="54"/>
  <c r="AX26" i="54" s="1"/>
  <c r="AW28" i="54"/>
  <c r="AX28" i="54" s="1"/>
  <c r="AW30" i="54"/>
  <c r="AX30" i="54" s="1"/>
  <c r="AW37" i="54"/>
  <c r="AX37" i="54" s="1"/>
  <c r="AW39" i="54"/>
  <c r="AX39" i="54" s="1"/>
  <c r="AW41" i="54"/>
  <c r="AX41" i="54" s="1"/>
  <c r="AW43" i="54"/>
  <c r="AX43" i="54" s="1"/>
  <c r="AW45" i="54"/>
  <c r="AX45" i="54" s="1"/>
  <c r="AW38" i="54"/>
  <c r="AX38" i="54" s="1"/>
  <c r="AW40" i="54"/>
  <c r="AX40" i="54" s="1"/>
  <c r="AW42" i="54"/>
  <c r="AX42" i="54" s="1"/>
  <c r="AW44" i="54"/>
  <c r="AX44" i="54" s="1"/>
  <c r="BT40" i="5"/>
  <c r="BS40" i="5"/>
  <c r="BR40" i="5"/>
  <c r="BA40" i="5"/>
  <c r="AZ40" i="5"/>
  <c r="AY40" i="5"/>
  <c r="AX40" i="5"/>
  <c r="AW40" i="5"/>
  <c r="AV40" i="5"/>
  <c r="AU40" i="5"/>
  <c r="AT40" i="5"/>
  <c r="M14" i="54" l="1"/>
  <c r="C78" i="54"/>
  <c r="M11" i="54"/>
  <c r="AG35" i="55"/>
  <c r="M13" i="54"/>
  <c r="BF9" i="56"/>
  <c r="BG9" i="56"/>
  <c r="BH9" i="56"/>
  <c r="BG10" i="56"/>
  <c r="BF10" i="56"/>
  <c r="BH10" i="56"/>
  <c r="BI10" i="56"/>
  <c r="BC12" i="56"/>
  <c r="BD11" i="56"/>
  <c r="BG8" i="56"/>
  <c r="BF8" i="56"/>
  <c r="BH8" i="56"/>
  <c r="BI8" i="56"/>
  <c r="BG7" i="56"/>
  <c r="BF7" i="56"/>
  <c r="BI7" i="56"/>
  <c r="BH7" i="56"/>
  <c r="BD10" i="55"/>
  <c r="BH10" i="55" s="1"/>
  <c r="BD11" i="55"/>
  <c r="BC12" i="55"/>
  <c r="BD9" i="55"/>
  <c r="BD7" i="55"/>
  <c r="BD8" i="55"/>
  <c r="M9" i="54"/>
  <c r="M12" i="54"/>
  <c r="Y14" i="54"/>
  <c r="M10" i="54"/>
  <c r="M8" i="54"/>
  <c r="AY41" i="54"/>
  <c r="AY15" i="54"/>
  <c r="AY56" i="54"/>
  <c r="AY60" i="54"/>
  <c r="AY36" i="54"/>
  <c r="AY48" i="54"/>
  <c r="AY10" i="54"/>
  <c r="AY8" i="54"/>
  <c r="AY17" i="54"/>
  <c r="AY12" i="54"/>
  <c r="AY52" i="54"/>
  <c r="AY42" i="54"/>
  <c r="AY37" i="54"/>
  <c r="AY30" i="54"/>
  <c r="AY22" i="54"/>
  <c r="AY14" i="54"/>
  <c r="AY59" i="54"/>
  <c r="AY33" i="54"/>
  <c r="AY25" i="54"/>
  <c r="AY45" i="54"/>
  <c r="AY40" i="54"/>
  <c r="AY39" i="54"/>
  <c r="AY47" i="54"/>
  <c r="AY63" i="54"/>
  <c r="AY34" i="54"/>
  <c r="AY31" i="54"/>
  <c r="AY50" i="54"/>
  <c r="AY49" i="54"/>
  <c r="AY26" i="54"/>
  <c r="AY18" i="54"/>
  <c r="AY58" i="54"/>
  <c r="AY19" i="54"/>
  <c r="AY21" i="54"/>
  <c r="AY62" i="54"/>
  <c r="AY57" i="54"/>
  <c r="AY61" i="54"/>
  <c r="AY38" i="54"/>
  <c r="AY28" i="54"/>
  <c r="AY24" i="54"/>
  <c r="AY20" i="54"/>
  <c r="AY16" i="54"/>
  <c r="AY11" i="54"/>
  <c r="AY51" i="54"/>
  <c r="AY32" i="54"/>
  <c r="AY27" i="54"/>
  <c r="AY7" i="54"/>
  <c r="AY9" i="54"/>
  <c r="AY54" i="54"/>
  <c r="AY46" i="54"/>
  <c r="AY29" i="54"/>
  <c r="AY53" i="54"/>
  <c r="AY44" i="54"/>
  <c r="AY43" i="54"/>
  <c r="AY55" i="54"/>
  <c r="AY23" i="54"/>
  <c r="AY13" i="54"/>
  <c r="BC10" i="54"/>
  <c r="AY35" i="54"/>
  <c r="C68" i="52"/>
  <c r="B68" i="52" s="1"/>
  <c r="BG11" i="56" l="1"/>
  <c r="BF11" i="56"/>
  <c r="BI11" i="56"/>
  <c r="BH11" i="56"/>
  <c r="BC13" i="56"/>
  <c r="BD12" i="56"/>
  <c r="AH62" i="55"/>
  <c r="AG62" i="55"/>
  <c r="BI10" i="55"/>
  <c r="BF10" i="55"/>
  <c r="BG10" i="55"/>
  <c r="BC13" i="55"/>
  <c r="BD12" i="55"/>
  <c r="BG8" i="55"/>
  <c r="BF8" i="55"/>
  <c r="BI8" i="55"/>
  <c r="BH8" i="55"/>
  <c r="BG11" i="55"/>
  <c r="BF11" i="55"/>
  <c r="BH11" i="55"/>
  <c r="BI11" i="55"/>
  <c r="BG7" i="55"/>
  <c r="BF7" i="55"/>
  <c r="BH7" i="55"/>
  <c r="BI7" i="55"/>
  <c r="BG9" i="55"/>
  <c r="BF9" i="55"/>
  <c r="BH9" i="55"/>
  <c r="BI9" i="55"/>
  <c r="BD9" i="54"/>
  <c r="BD10" i="54"/>
  <c r="BC11" i="54"/>
  <c r="BD7" i="54"/>
  <c r="BD8" i="54"/>
  <c r="B64" i="53"/>
  <c r="B57" i="53"/>
  <c r="B58" i="53" s="1"/>
  <c r="B59" i="53" s="1"/>
  <c r="B60" i="53" s="1"/>
  <c r="B61" i="53" s="1"/>
  <c r="B62" i="53" s="1"/>
  <c r="B7" i="53"/>
  <c r="B8" i="53" s="1"/>
  <c r="B9" i="53" s="1"/>
  <c r="B10" i="53" s="1"/>
  <c r="B11" i="53" s="1"/>
  <c r="B12" i="53" s="1"/>
  <c r="B13" i="53" s="1"/>
  <c r="B14" i="53" s="1"/>
  <c r="B15" i="53" s="1"/>
  <c r="B16" i="53" s="1"/>
  <c r="B17" i="53" s="1"/>
  <c r="B18" i="53" s="1"/>
  <c r="B19" i="53" s="1"/>
  <c r="B20" i="53" s="1"/>
  <c r="B21" i="53" s="1"/>
  <c r="B22" i="53" s="1"/>
  <c r="B23" i="53" s="1"/>
  <c r="B24" i="53" s="1"/>
  <c r="B25" i="53" s="1"/>
  <c r="B26" i="53" s="1"/>
  <c r="B27" i="53" s="1"/>
  <c r="B28" i="53" s="1"/>
  <c r="B29" i="53" s="1"/>
  <c r="B30" i="53" s="1"/>
  <c r="B31" i="53" s="1"/>
  <c r="B32" i="53" s="1"/>
  <c r="B33" i="53" s="1"/>
  <c r="B34" i="53" s="1"/>
  <c r="B35" i="53" s="1"/>
  <c r="BC14" i="56" l="1"/>
  <c r="BD13" i="56"/>
  <c r="BG12" i="56"/>
  <c r="BH12" i="56"/>
  <c r="BF12" i="56"/>
  <c r="BI12" i="56"/>
  <c r="BH9" i="54"/>
  <c r="BF9" i="54"/>
  <c r="BG9" i="54"/>
  <c r="BI9" i="54"/>
  <c r="BG12" i="55"/>
  <c r="BF12" i="55"/>
  <c r="BI12" i="55"/>
  <c r="BH12" i="55"/>
  <c r="BD13" i="55"/>
  <c r="BC14" i="55"/>
  <c r="BC12" i="54"/>
  <c r="BD11" i="54"/>
  <c r="BF10" i="54"/>
  <c r="BG10" i="54"/>
  <c r="BI10" i="54"/>
  <c r="BH10" i="54"/>
  <c r="BH8" i="54"/>
  <c r="BF8" i="54"/>
  <c r="BI8" i="54"/>
  <c r="BG8" i="54"/>
  <c r="BH7" i="54"/>
  <c r="BF7" i="54"/>
  <c r="BI7" i="54"/>
  <c r="BG7" i="54"/>
  <c r="B65" i="53"/>
  <c r="B36" i="53" s="1"/>
  <c r="B37" i="53" s="1"/>
  <c r="B38" i="53" s="1"/>
  <c r="B39" i="53" s="1"/>
  <c r="B40" i="53" s="1"/>
  <c r="B41" i="53" s="1"/>
  <c r="B42" i="53" s="1"/>
  <c r="B43" i="53" s="1"/>
  <c r="B44" i="53" s="1"/>
  <c r="B45" i="53" s="1"/>
  <c r="B46" i="53" s="1"/>
  <c r="B47" i="53" s="1"/>
  <c r="B48" i="53" s="1"/>
  <c r="B49" i="53" s="1"/>
  <c r="B50" i="53" s="1"/>
  <c r="B51" i="53" s="1"/>
  <c r="B52" i="53" s="1"/>
  <c r="B53" i="53" s="1"/>
  <c r="B54" i="53" s="1"/>
  <c r="B55" i="53" s="1"/>
  <c r="AJ12" i="54"/>
  <c r="AJ23" i="54"/>
  <c r="E57" i="56"/>
  <c r="AK15" i="55"/>
  <c r="AK39" i="56"/>
  <c r="AK19" i="56"/>
  <c r="AL56" i="56"/>
  <c r="AJ55" i="54"/>
  <c r="AJ26" i="54"/>
  <c r="AK41" i="56"/>
  <c r="G56" i="55"/>
  <c r="AJ30" i="54"/>
  <c r="G46" i="55"/>
  <c r="AK46" i="56"/>
  <c r="AL40" i="56"/>
  <c r="G10" i="55"/>
  <c r="E31" i="56"/>
  <c r="AK42" i="56"/>
  <c r="AL11" i="56"/>
  <c r="AJ54" i="55"/>
  <c r="AK8" i="56"/>
  <c r="AJ37" i="54"/>
  <c r="AL8" i="56"/>
  <c r="AJ39" i="55"/>
  <c r="G20" i="54"/>
  <c r="AJ45" i="55"/>
  <c r="G51" i="54"/>
  <c r="AK11" i="55"/>
  <c r="AL29" i="56"/>
  <c r="G32" i="54"/>
  <c r="AJ46" i="54"/>
  <c r="AJ32" i="54"/>
  <c r="AL35" i="56"/>
  <c r="AJ65" i="55"/>
  <c r="G53" i="55"/>
  <c r="AJ47" i="55"/>
  <c r="AK48" i="56"/>
  <c r="AL7" i="56"/>
  <c r="AJ40" i="54"/>
  <c r="AK24" i="55"/>
  <c r="AL16" i="55"/>
  <c r="G18" i="54"/>
  <c r="AK16" i="56"/>
  <c r="AL23" i="56"/>
  <c r="AJ45" i="54"/>
  <c r="G11" i="54"/>
  <c r="G17" i="54"/>
  <c r="G55" i="54"/>
  <c r="AK14" i="56"/>
  <c r="G37" i="54"/>
  <c r="AJ58" i="55"/>
  <c r="AJ50" i="55"/>
  <c r="AK36" i="56"/>
  <c r="AL41" i="56"/>
  <c r="AJ53" i="54"/>
  <c r="AJ44" i="55"/>
  <c r="AJ20" i="54"/>
  <c r="AJ52" i="54"/>
  <c r="G40" i="54"/>
  <c r="AL37" i="56"/>
  <c r="AK26" i="56"/>
  <c r="AK21" i="56"/>
  <c r="AJ49" i="55"/>
  <c r="AL20" i="56"/>
  <c r="E15" i="55"/>
  <c r="AJ67" i="54"/>
  <c r="AK12" i="55"/>
  <c r="AJ66" i="54"/>
  <c r="E42" i="56"/>
  <c r="G39" i="54"/>
  <c r="AL44" i="56"/>
  <c r="AK61" i="56"/>
  <c r="AK7" i="55"/>
  <c r="E40" i="56"/>
  <c r="E6" i="54"/>
  <c r="AL26" i="55"/>
  <c r="G45" i="54"/>
  <c r="AK45" i="56"/>
  <c r="AL18" i="55"/>
  <c r="AK21" i="55"/>
  <c r="G33" i="54"/>
  <c r="G47" i="54"/>
  <c r="AJ13" i="54"/>
  <c r="AK29" i="56"/>
  <c r="AK11" i="56"/>
  <c r="G16" i="55"/>
  <c r="G36" i="54"/>
  <c r="G27" i="54"/>
  <c r="AL14" i="55"/>
  <c r="AJ67" i="55"/>
  <c r="AK9" i="56"/>
  <c r="G23" i="55"/>
  <c r="G34" i="54"/>
  <c r="G30" i="54"/>
  <c r="E52" i="55"/>
  <c r="G64" i="54"/>
  <c r="E28" i="56"/>
  <c r="E54" i="56"/>
  <c r="AL13" i="55"/>
  <c r="AL30" i="55"/>
  <c r="AJ43" i="54"/>
  <c r="E32" i="56"/>
  <c r="AJ51" i="55"/>
  <c r="AL18" i="56"/>
  <c r="AJ43" i="55"/>
  <c r="AL12" i="55"/>
  <c r="G48" i="54"/>
  <c r="G8" i="54"/>
  <c r="AL28" i="55"/>
  <c r="AK34" i="55"/>
  <c r="AL57" i="56"/>
  <c r="AJ25" i="54"/>
  <c r="E56" i="56"/>
  <c r="G30" i="55"/>
  <c r="AK18" i="56"/>
  <c r="AK25" i="56"/>
  <c r="G12" i="54"/>
  <c r="E35" i="56"/>
  <c r="G26" i="54"/>
  <c r="AK37" i="56"/>
  <c r="AK15" i="56"/>
  <c r="AL34" i="55"/>
  <c r="AL15" i="55"/>
  <c r="G28" i="54"/>
  <c r="G29" i="54"/>
  <c r="G36" i="55"/>
  <c r="AK27" i="56"/>
  <c r="G38" i="54"/>
  <c r="AJ10" i="54"/>
  <c r="AJ25" i="55"/>
  <c r="AJ63" i="54"/>
  <c r="AL39" i="56"/>
  <c r="G44" i="54"/>
  <c r="AL10" i="55"/>
  <c r="E23" i="56"/>
  <c r="E41" i="56"/>
  <c r="AJ34" i="54"/>
  <c r="AL49" i="56"/>
  <c r="E14" i="56"/>
  <c r="G61" i="54"/>
  <c r="AK56" i="56"/>
  <c r="G24" i="54"/>
  <c r="G24" i="55"/>
  <c r="G9" i="54"/>
  <c r="E13" i="56"/>
  <c r="AL24" i="56"/>
  <c r="E45" i="56"/>
  <c r="G19" i="55"/>
  <c r="AK43" i="56"/>
  <c r="AK51" i="56"/>
  <c r="AL34" i="56"/>
  <c r="AL32" i="55"/>
  <c r="AL12" i="56"/>
  <c r="G54" i="54"/>
  <c r="AJ29" i="54"/>
  <c r="G13" i="55"/>
  <c r="G33" i="55"/>
  <c r="AL32" i="56"/>
  <c r="AK44" i="56"/>
  <c r="AJ24" i="54"/>
  <c r="AJ31" i="54"/>
  <c r="AL8" i="55"/>
  <c r="AJ54" i="54"/>
  <c r="AJ17" i="55"/>
  <c r="E20" i="56"/>
  <c r="AJ16" i="54"/>
  <c r="E21" i="56"/>
  <c r="G27" i="55"/>
  <c r="G7" i="54"/>
  <c r="AL62" i="56"/>
  <c r="G29" i="55"/>
  <c r="G61" i="55"/>
  <c r="E52" i="56"/>
  <c r="AL48" i="56"/>
  <c r="E39" i="56"/>
  <c r="AL16" i="56"/>
  <c r="AJ55" i="55"/>
  <c r="E16" i="56"/>
  <c r="AL47" i="56"/>
  <c r="E62" i="56"/>
  <c r="E61" i="56"/>
  <c r="AJ40" i="55"/>
  <c r="AL21" i="55"/>
  <c r="G46" i="54"/>
  <c r="AK53" i="56"/>
  <c r="G62" i="54"/>
  <c r="AK8" i="55"/>
  <c r="AJ35" i="54"/>
  <c r="AJ38" i="54"/>
  <c r="G47" i="55"/>
  <c r="AJ19" i="55"/>
  <c r="AK14" i="55"/>
  <c r="G54" i="55"/>
  <c r="AL10" i="56"/>
  <c r="AK12" i="56"/>
  <c r="AJ60" i="55"/>
  <c r="G23" i="54"/>
  <c r="AJ44" i="54"/>
  <c r="AK55" i="56"/>
  <c r="G14" i="55"/>
  <c r="AL9" i="56"/>
  <c r="G16" i="54"/>
  <c r="G38" i="55"/>
  <c r="G21" i="55"/>
  <c r="AJ56" i="55"/>
  <c r="AJ27" i="55"/>
  <c r="AJ17" i="54"/>
  <c r="AK7" i="56"/>
  <c r="E24" i="56"/>
  <c r="AJ60" i="54"/>
  <c r="G55" i="55"/>
  <c r="AL55" i="56"/>
  <c r="E53" i="56"/>
  <c r="AJ61" i="55"/>
  <c r="AL13" i="56"/>
  <c r="G42" i="54"/>
  <c r="AL11" i="55"/>
  <c r="AK47" i="56"/>
  <c r="AL33" i="56"/>
  <c r="AK10" i="55"/>
  <c r="G57" i="54"/>
  <c r="AK32" i="55"/>
  <c r="AJ49" i="54"/>
  <c r="G43" i="54"/>
  <c r="AJ57" i="54"/>
  <c r="AL27" i="56"/>
  <c r="AK24" i="56"/>
  <c r="AK38" i="56"/>
  <c r="AK54" i="56"/>
  <c r="AK62" i="56"/>
  <c r="AJ64" i="54"/>
  <c r="AL28" i="56"/>
  <c r="G42" i="55"/>
  <c r="G56" i="54"/>
  <c r="AK26" i="55"/>
  <c r="AL19" i="56"/>
  <c r="AK18" i="55"/>
  <c r="G63" i="54"/>
  <c r="AK33" i="55"/>
  <c r="G10" i="54"/>
  <c r="E20" i="55"/>
  <c r="AK23" i="56"/>
  <c r="G28" i="55"/>
  <c r="AL43" i="56"/>
  <c r="AK16" i="55"/>
  <c r="G15" i="54"/>
  <c r="G44" i="55"/>
  <c r="G41" i="55"/>
  <c r="AJ58" i="54"/>
  <c r="G52" i="54"/>
  <c r="AJ36" i="55"/>
  <c r="AL61" i="56"/>
  <c r="AJ59" i="54"/>
  <c r="G50" i="54"/>
  <c r="E17" i="55"/>
  <c r="AJ62" i="55"/>
  <c r="E34" i="56"/>
  <c r="G45" i="55"/>
  <c r="AK30" i="55"/>
  <c r="AK34" i="56"/>
  <c r="AJ41" i="55"/>
  <c r="AJ50" i="54"/>
  <c r="E58" i="56"/>
  <c r="AJ56" i="54"/>
  <c r="AL51" i="56"/>
  <c r="AL46" i="56"/>
  <c r="AL53" i="56"/>
  <c r="G13" i="54"/>
  <c r="AK40" i="56"/>
  <c r="AL9" i="55"/>
  <c r="AL7" i="55"/>
  <c r="AJ61" i="54"/>
  <c r="E26" i="56"/>
  <c r="AK28" i="55"/>
  <c r="G35" i="55"/>
  <c r="AK20" i="56"/>
  <c r="G50" i="55"/>
  <c r="E43" i="56"/>
  <c r="AJ8" i="54"/>
  <c r="AL21" i="56"/>
  <c r="AJ62" i="54"/>
  <c r="AJ47" i="54"/>
  <c r="AL15" i="56"/>
  <c r="AL54" i="56"/>
  <c r="AK13" i="56"/>
  <c r="AJ65" i="54"/>
  <c r="AJ29" i="55"/>
  <c r="E48" i="56"/>
  <c r="AL33" i="55"/>
  <c r="AJ38" i="55"/>
  <c r="G22" i="54"/>
  <c r="G25" i="54"/>
  <c r="AL22" i="56"/>
  <c r="G39" i="55"/>
  <c r="AL26" i="56"/>
  <c r="E36" i="56"/>
  <c r="AJ41" i="54"/>
  <c r="G40" i="55"/>
  <c r="AJ19" i="54"/>
  <c r="AK57" i="56"/>
  <c r="AJ36" i="54"/>
  <c r="AL42" i="56"/>
  <c r="AJ28" i="54"/>
  <c r="AJ15" i="54"/>
  <c r="G34" i="55"/>
  <c r="AJ51" i="54"/>
  <c r="G18" i="55"/>
  <c r="G31" i="55"/>
  <c r="AJ37" i="55"/>
  <c r="AK28" i="56"/>
  <c r="AK17" i="56"/>
  <c r="AL31" i="56"/>
  <c r="E51" i="56"/>
  <c r="AJ42" i="55"/>
  <c r="G51" i="55"/>
  <c r="E30" i="56"/>
  <c r="AK31" i="56"/>
  <c r="AJ20" i="55"/>
  <c r="G53" i="54"/>
  <c r="AJ39" i="54"/>
  <c r="AJ27" i="54"/>
  <c r="AL30" i="56"/>
  <c r="AJ22" i="54"/>
  <c r="E47" i="56"/>
  <c r="AJ52" i="55"/>
  <c r="AL25" i="56"/>
  <c r="AK35" i="56"/>
  <c r="E38" i="56"/>
  <c r="G35" i="54"/>
  <c r="AJ66" i="55"/>
  <c r="G57" i="55"/>
  <c r="AJ64" i="55"/>
  <c r="AK10" i="56"/>
  <c r="E55" i="56"/>
  <c r="AJ31" i="55"/>
  <c r="AK30" i="56"/>
  <c r="AK22" i="56"/>
  <c r="E29" i="56"/>
  <c r="G8" i="55"/>
  <c r="AJ46" i="55"/>
  <c r="AJ48" i="55"/>
  <c r="E44" i="56"/>
  <c r="AJ23" i="55"/>
  <c r="AJ53" i="55"/>
  <c r="G9" i="55"/>
  <c r="AK13" i="55"/>
  <c r="G49" i="55"/>
  <c r="E48" i="55"/>
  <c r="G21" i="54"/>
  <c r="G25" i="55"/>
  <c r="AJ21" i="54"/>
  <c r="E46" i="56"/>
  <c r="AJ7" i="54"/>
  <c r="AJ9" i="54"/>
  <c r="AK9" i="55"/>
  <c r="AK58" i="56"/>
  <c r="AK49" i="56"/>
  <c r="AJ33" i="54"/>
  <c r="AL24" i="55"/>
  <c r="AJ59" i="55"/>
  <c r="AK33" i="56"/>
  <c r="G14" i="54"/>
  <c r="E62" i="55"/>
  <c r="AL36" i="56"/>
  <c r="E18" i="56"/>
  <c r="G37" i="55"/>
  <c r="AJ42" i="54"/>
  <c r="G43" i="55"/>
  <c r="AK32" i="56"/>
  <c r="G32" i="55"/>
  <c r="G12" i="55"/>
  <c r="AL58" i="56"/>
  <c r="AL52" i="56"/>
  <c r="AJ14" i="54"/>
  <c r="AL14" i="56"/>
  <c r="AL45" i="56"/>
  <c r="AJ11" i="54"/>
  <c r="AJ18" i="54"/>
  <c r="G49" i="54"/>
  <c r="G11" i="55"/>
  <c r="AK52" i="56"/>
  <c r="AJ22" i="55"/>
  <c r="AJ57" i="55"/>
  <c r="E22" i="55"/>
  <c r="E58" i="55"/>
  <c r="AL17" i="56"/>
  <c r="G41" i="54"/>
  <c r="AJ63" i="55"/>
  <c r="G26" i="55"/>
  <c r="G19" i="54"/>
  <c r="E37" i="56"/>
  <c r="G31" i="54"/>
  <c r="E7" i="55"/>
  <c r="AL38" i="56"/>
  <c r="E50" i="56"/>
  <c r="AJ48" i="54"/>
  <c r="U9" i="56" l="1"/>
  <c r="V9" i="56" s="1"/>
  <c r="O11" i="56"/>
  <c r="O9" i="56"/>
  <c r="R8" i="56"/>
  <c r="O10" i="56"/>
  <c r="U11" i="56"/>
  <c r="V11" i="56" s="1"/>
  <c r="R9" i="56"/>
  <c r="O13" i="56"/>
  <c r="U12" i="56"/>
  <c r="O16" i="56" a="1"/>
  <c r="O16" i="56" s="1"/>
  <c r="R12" i="56"/>
  <c r="R11" i="56"/>
  <c r="R10" i="56"/>
  <c r="U8" i="56"/>
  <c r="V8" i="56" s="1"/>
  <c r="U10" i="56"/>
  <c r="R13" i="56"/>
  <c r="S13" i="56" s="1"/>
  <c r="O12" i="56"/>
  <c r="U13" i="56"/>
  <c r="V13" i="56" s="1"/>
  <c r="R16" i="56" a="1"/>
  <c r="R16" i="56" s="1"/>
  <c r="O8" i="56"/>
  <c r="U16" i="56" a="1"/>
  <c r="U16" i="56" s="1"/>
  <c r="AM51" i="56"/>
  <c r="AM10" i="56"/>
  <c r="AG21" i="56"/>
  <c r="AH21" i="56"/>
  <c r="AM25" i="56"/>
  <c r="AH28" i="56"/>
  <c r="AG28" i="56"/>
  <c r="AM18" i="56"/>
  <c r="AH13" i="55"/>
  <c r="AG13" i="55"/>
  <c r="AM33" i="56"/>
  <c r="AL60" i="54"/>
  <c r="AK60" i="54"/>
  <c r="AM60" i="54" s="1"/>
  <c r="AM18" i="55"/>
  <c r="AL67" i="54"/>
  <c r="AK67" i="54"/>
  <c r="AM67" i="54" s="1"/>
  <c r="AH51" i="56"/>
  <c r="AG51" i="56"/>
  <c r="AM24" i="56"/>
  <c r="AH24" i="56"/>
  <c r="AG24" i="56"/>
  <c r="AM34" i="56"/>
  <c r="AH28" i="55"/>
  <c r="AG28" i="55"/>
  <c r="AG8" i="56"/>
  <c r="AH8" i="56"/>
  <c r="AM54" i="56"/>
  <c r="AM55" i="56"/>
  <c r="AG12" i="55"/>
  <c r="AH12" i="55"/>
  <c r="AM36" i="56"/>
  <c r="AH13" i="56"/>
  <c r="AG13" i="56"/>
  <c r="AG7" i="55"/>
  <c r="AH7" i="55"/>
  <c r="AM49" i="56"/>
  <c r="AM8" i="55"/>
  <c r="AG61" i="56"/>
  <c r="AH61" i="56"/>
  <c r="AH10" i="56"/>
  <c r="AG10" i="56"/>
  <c r="AM14" i="55"/>
  <c r="AM9" i="56"/>
  <c r="AG36" i="56"/>
  <c r="AH36" i="56"/>
  <c r="AM30" i="56"/>
  <c r="AM20" i="56"/>
  <c r="AH24" i="55"/>
  <c r="AG24" i="55"/>
  <c r="AM12" i="56"/>
  <c r="AG10" i="55"/>
  <c r="AH10" i="55"/>
  <c r="AM32" i="55"/>
  <c r="AH48" i="56"/>
  <c r="AG48" i="56"/>
  <c r="AH38" i="56"/>
  <c r="AG38" i="56"/>
  <c r="AG34" i="56"/>
  <c r="AH34" i="56"/>
  <c r="AM21" i="56"/>
  <c r="AM61" i="56"/>
  <c r="AM43" i="56"/>
  <c r="AM22" i="56"/>
  <c r="AM8" i="56"/>
  <c r="AH54" i="56"/>
  <c r="AG54" i="56"/>
  <c r="AH18" i="55"/>
  <c r="AG18" i="55"/>
  <c r="AM13" i="55"/>
  <c r="AM12" i="55"/>
  <c r="AM28" i="55"/>
  <c r="AM11" i="56"/>
  <c r="AM11" i="55"/>
  <c r="AG34" i="55"/>
  <c r="AH34" i="55"/>
  <c r="AM26" i="55"/>
  <c r="AL63" i="55"/>
  <c r="AK63" i="55"/>
  <c r="AM63" i="55" s="1"/>
  <c r="AL59" i="55"/>
  <c r="AK59" i="55"/>
  <c r="AM59" i="55" s="1"/>
  <c r="AH9" i="56"/>
  <c r="AG9" i="56"/>
  <c r="AH27" i="56"/>
  <c r="AG27" i="56"/>
  <c r="AG23" i="56"/>
  <c r="AH23" i="56"/>
  <c r="AH14" i="55"/>
  <c r="AG14" i="55"/>
  <c r="AM57" i="56"/>
  <c r="AH30" i="55"/>
  <c r="AG30" i="55"/>
  <c r="AG16" i="55"/>
  <c r="AH16" i="55"/>
  <c r="AM31" i="56"/>
  <c r="AH16" i="56"/>
  <c r="AG16" i="56"/>
  <c r="AG30" i="56"/>
  <c r="AH30" i="56"/>
  <c r="AM16" i="56"/>
  <c r="AH15" i="56"/>
  <c r="AG15" i="56"/>
  <c r="AH8" i="55"/>
  <c r="AG8" i="55"/>
  <c r="AM38" i="56"/>
  <c r="AL67" i="55"/>
  <c r="AK67" i="55"/>
  <c r="AM67" i="55" s="1"/>
  <c r="AH15" i="55"/>
  <c r="AG15" i="55"/>
  <c r="AG52" i="56"/>
  <c r="AH52" i="56"/>
  <c r="AM47" i="56"/>
  <c r="AL65" i="55"/>
  <c r="AK65" i="55"/>
  <c r="AM65" i="55" s="1"/>
  <c r="AM53" i="56"/>
  <c r="AG43" i="56"/>
  <c r="AH43" i="56"/>
  <c r="AM24" i="55"/>
  <c r="AM52" i="56"/>
  <c r="AM58" i="56"/>
  <c r="AM39" i="56"/>
  <c r="AM41" i="56"/>
  <c r="AG33" i="55"/>
  <c r="AH33" i="55"/>
  <c r="AM44" i="56"/>
  <c r="AM35" i="56"/>
  <c r="AM15" i="55"/>
  <c r="AM56" i="56"/>
  <c r="AK65" i="54"/>
  <c r="AM65" i="54" s="1"/>
  <c r="AL65" i="54"/>
  <c r="AH14" i="56"/>
  <c r="AG14" i="56"/>
  <c r="AM9" i="55"/>
  <c r="AG21" i="55"/>
  <c r="AH21" i="55"/>
  <c r="AH20" i="56"/>
  <c r="AG20" i="56"/>
  <c r="AH31" i="56"/>
  <c r="AG31" i="56"/>
  <c r="AG19" i="56"/>
  <c r="AH19" i="56"/>
  <c r="AH40" i="56"/>
  <c r="AG40" i="56"/>
  <c r="AM7" i="55"/>
  <c r="AM37" i="56"/>
  <c r="AM16" i="55"/>
  <c r="AL58" i="54"/>
  <c r="AK58" i="54"/>
  <c r="AM58" i="54" s="1"/>
  <c r="AM29" i="56"/>
  <c r="AM48" i="56"/>
  <c r="AM42" i="56"/>
  <c r="AH39" i="56"/>
  <c r="AG39" i="56"/>
  <c r="AM15" i="56"/>
  <c r="AM32" i="56"/>
  <c r="AH22" i="56"/>
  <c r="AG22" i="56"/>
  <c r="AG37" i="56"/>
  <c r="AH37" i="56"/>
  <c r="AL64" i="55"/>
  <c r="AK64" i="55"/>
  <c r="AM64" i="55" s="1"/>
  <c r="AM10" i="55"/>
  <c r="AM46" i="56"/>
  <c r="AG29" i="56"/>
  <c r="AH29" i="56"/>
  <c r="AH35" i="56"/>
  <c r="AG35" i="56"/>
  <c r="AH11" i="56"/>
  <c r="AG11" i="56"/>
  <c r="AH44" i="56"/>
  <c r="AG44" i="56"/>
  <c r="AH57" i="56"/>
  <c r="AG57" i="56"/>
  <c r="AM34" i="55"/>
  <c r="AL59" i="54"/>
  <c r="AK59" i="54"/>
  <c r="AM59" i="54" s="1"/>
  <c r="AK66" i="55"/>
  <c r="AM66" i="55" s="1"/>
  <c r="AL66" i="55"/>
  <c r="AG18" i="56"/>
  <c r="AH18" i="56"/>
  <c r="AM33" i="55"/>
  <c r="AM21" i="55"/>
  <c r="AM19" i="56"/>
  <c r="AM30" i="55"/>
  <c r="AG26" i="55"/>
  <c r="AH26" i="55"/>
  <c r="AG55" i="56"/>
  <c r="AH55" i="56"/>
  <c r="AH58" i="56"/>
  <c r="AG58" i="56"/>
  <c r="AM27" i="56"/>
  <c r="AG41" i="56"/>
  <c r="AH41" i="56"/>
  <c r="AH46" i="56"/>
  <c r="AG46" i="56"/>
  <c r="AG12" i="56"/>
  <c r="AH12" i="56"/>
  <c r="AM40" i="56"/>
  <c r="AG7" i="56"/>
  <c r="AH7" i="56"/>
  <c r="AG56" i="56"/>
  <c r="AH56" i="56"/>
  <c r="AM28" i="56"/>
  <c r="AH26" i="56"/>
  <c r="AG26" i="56"/>
  <c r="AH9" i="55"/>
  <c r="AG9" i="55"/>
  <c r="AM13" i="56"/>
  <c r="AM26" i="56"/>
  <c r="AL60" i="55"/>
  <c r="AK60" i="55"/>
  <c r="AM60" i="55" s="1"/>
  <c r="AG49" i="56"/>
  <c r="AH49" i="56"/>
  <c r="AM7" i="56"/>
  <c r="AH32" i="56"/>
  <c r="AG32" i="56"/>
  <c r="AM17" i="56"/>
  <c r="AH32" i="55"/>
  <c r="AG32" i="55"/>
  <c r="AL66" i="54"/>
  <c r="AK66" i="54"/>
  <c r="AM66" i="54" s="1"/>
  <c r="AH11" i="55"/>
  <c r="AG11" i="55"/>
  <c r="AG42" i="56"/>
  <c r="AH42" i="56"/>
  <c r="AG33" i="56"/>
  <c r="AH33" i="56"/>
  <c r="AM45" i="56"/>
  <c r="AH17" i="56"/>
  <c r="AG17" i="56"/>
  <c r="AH25" i="56"/>
  <c r="AG25" i="56"/>
  <c r="AM14" i="56"/>
  <c r="AG47" i="56"/>
  <c r="AH47" i="56"/>
  <c r="AG53" i="56"/>
  <c r="AH53" i="56"/>
  <c r="AM23" i="56"/>
  <c r="AG45" i="56"/>
  <c r="AH45" i="56"/>
  <c r="AM62" i="56"/>
  <c r="BG13" i="56"/>
  <c r="BF13" i="56"/>
  <c r="BH13" i="56"/>
  <c r="BI13" i="56"/>
  <c r="BC15" i="56"/>
  <c r="BD14" i="56"/>
  <c r="BG13" i="55"/>
  <c r="BF13" i="55"/>
  <c r="BI13" i="55"/>
  <c r="BH13" i="55"/>
  <c r="BD14" i="55"/>
  <c r="BC15" i="55"/>
  <c r="BF11" i="54"/>
  <c r="BH11" i="54"/>
  <c r="BG11" i="54"/>
  <c r="BI11" i="54"/>
  <c r="BC13" i="54"/>
  <c r="BD12" i="54"/>
  <c r="AZ62" i="5"/>
  <c r="AY62" i="5"/>
  <c r="AX62" i="5"/>
  <c r="AZ61" i="5"/>
  <c r="AZ63" i="5" s="1"/>
  <c r="AY61" i="5"/>
  <c r="AY63" i="5" s="1"/>
  <c r="AX61" i="5"/>
  <c r="AX63" i="5" s="1"/>
  <c r="BA57" i="5"/>
  <c r="AZ57" i="5"/>
  <c r="AY57" i="5"/>
  <c r="AX57" i="5"/>
  <c r="BA56" i="5"/>
  <c r="BA58" i="5" s="1"/>
  <c r="AZ56" i="5"/>
  <c r="AZ58" i="5" s="1"/>
  <c r="AY56" i="5"/>
  <c r="AX56" i="5"/>
  <c r="BA47" i="5"/>
  <c r="AZ47" i="5"/>
  <c r="AY47" i="5"/>
  <c r="AX47" i="5"/>
  <c r="BA46" i="5"/>
  <c r="BA52" i="5" s="1"/>
  <c r="O13" i="9" s="1"/>
  <c r="AZ46" i="5"/>
  <c r="AZ52" i="5" s="1"/>
  <c r="AY46" i="5"/>
  <c r="AY52" i="5" s="1"/>
  <c r="AX46" i="5"/>
  <c r="AX52" i="5" s="1"/>
  <c r="BA45" i="5"/>
  <c r="AZ45" i="5"/>
  <c r="AY45" i="5"/>
  <c r="AX45" i="5"/>
  <c r="BA44" i="5"/>
  <c r="BA51" i="5" s="1"/>
  <c r="O12" i="9" s="1"/>
  <c r="AZ44" i="5"/>
  <c r="AZ51" i="5" s="1"/>
  <c r="AZ53" i="5" s="1"/>
  <c r="AY44" i="5"/>
  <c r="AY51" i="5" s="1"/>
  <c r="AY53" i="5" s="1"/>
  <c r="AX44" i="5"/>
  <c r="AX51" i="5" s="1"/>
  <c r="AX53" i="5" s="1"/>
  <c r="BA43" i="5"/>
  <c r="AZ43" i="5"/>
  <c r="AY43" i="5"/>
  <c r="AX43" i="5"/>
  <c r="BA42" i="5"/>
  <c r="BA50" i="5" s="1"/>
  <c r="O11" i="9" s="1"/>
  <c r="O14" i="9" s="1"/>
  <c r="AZ42" i="5"/>
  <c r="AZ50" i="5" s="1"/>
  <c r="AY42" i="5"/>
  <c r="AY50" i="5" s="1"/>
  <c r="AX42" i="5"/>
  <c r="AX50" i="5" s="1"/>
  <c r="BY31" i="7"/>
  <c r="BY21" i="7"/>
  <c r="BY11" i="7"/>
  <c r="BY7" i="7"/>
  <c r="G60" i="52"/>
  <c r="E60" i="52" s="1"/>
  <c r="AH67" i="52"/>
  <c r="AG67" i="52"/>
  <c r="AF67" i="52"/>
  <c r="AH66" i="52"/>
  <c r="AG66" i="52"/>
  <c r="AF66" i="52"/>
  <c r="AH65" i="52"/>
  <c r="AG65" i="52"/>
  <c r="AF65" i="52"/>
  <c r="AH64" i="52"/>
  <c r="AG64" i="52"/>
  <c r="AF64" i="52"/>
  <c r="AV63" i="52"/>
  <c r="AV62" i="52"/>
  <c r="AV61" i="52"/>
  <c r="AV60" i="52"/>
  <c r="AH60" i="52"/>
  <c r="AG60" i="52"/>
  <c r="AF60" i="52"/>
  <c r="AF61" i="52" s="1"/>
  <c r="AF62" i="52" s="1"/>
  <c r="AF63" i="52" s="1"/>
  <c r="AV59" i="52"/>
  <c r="AH59" i="52"/>
  <c r="AG59" i="52"/>
  <c r="AF59" i="52"/>
  <c r="G59" i="52"/>
  <c r="E59" i="52" s="1"/>
  <c r="AV58" i="52"/>
  <c r="AV57" i="52"/>
  <c r="AV56" i="52"/>
  <c r="AV55" i="52"/>
  <c r="AV54" i="52"/>
  <c r="AV53" i="52"/>
  <c r="AV52" i="52"/>
  <c r="AV51" i="52"/>
  <c r="AV50" i="52"/>
  <c r="AV49" i="52"/>
  <c r="AV48" i="52"/>
  <c r="AV47" i="52"/>
  <c r="AV46" i="52"/>
  <c r="AV45" i="52"/>
  <c r="AV44" i="52"/>
  <c r="AV43" i="52"/>
  <c r="AV42" i="52"/>
  <c r="AV41" i="52"/>
  <c r="AV40" i="52"/>
  <c r="AV39" i="52"/>
  <c r="AV38" i="52"/>
  <c r="AV37" i="52"/>
  <c r="AV36" i="52"/>
  <c r="AV35" i="52"/>
  <c r="AV34" i="52"/>
  <c r="AV33" i="52"/>
  <c r="AV32" i="52"/>
  <c r="AV31" i="52"/>
  <c r="AV30" i="52"/>
  <c r="AV29" i="52"/>
  <c r="AV28" i="52"/>
  <c r="AV27" i="52"/>
  <c r="AV26" i="52"/>
  <c r="AV25" i="52"/>
  <c r="AV24" i="52"/>
  <c r="AV23" i="52"/>
  <c r="AV22" i="52"/>
  <c r="AV21" i="52"/>
  <c r="AV20" i="52"/>
  <c r="AV19" i="52"/>
  <c r="AV18" i="52"/>
  <c r="AV17" i="52"/>
  <c r="AV16" i="52"/>
  <c r="L16" i="52" a="1"/>
  <c r="L16" i="52" s="1"/>
  <c r="AV15" i="52"/>
  <c r="AV14" i="52"/>
  <c r="AV13" i="52"/>
  <c r="L13" i="52"/>
  <c r="AV12" i="52"/>
  <c r="L12" i="52"/>
  <c r="AV11" i="52"/>
  <c r="L11" i="52"/>
  <c r="AV10" i="52"/>
  <c r="L10" i="52"/>
  <c r="AV9" i="52"/>
  <c r="L9" i="52"/>
  <c r="AV8" i="52"/>
  <c r="L8" i="52"/>
  <c r="BC7" i="52"/>
  <c r="AV7" i="52"/>
  <c r="AF7" i="52"/>
  <c r="AF8" i="52" s="1"/>
  <c r="AF9" i="52" s="1"/>
  <c r="AF10" i="52" s="1"/>
  <c r="AF11" i="52" s="1"/>
  <c r="AF12" i="52" s="1"/>
  <c r="AF13" i="52" s="1"/>
  <c r="AF14" i="52" s="1"/>
  <c r="AF15" i="52" s="1"/>
  <c r="AF16" i="52" s="1"/>
  <c r="AF17" i="52" s="1"/>
  <c r="AF18" i="52" s="1"/>
  <c r="AF19" i="52" s="1"/>
  <c r="AF20" i="52" s="1"/>
  <c r="AF21" i="52" s="1"/>
  <c r="AF22" i="52" s="1"/>
  <c r="AF23" i="52" s="1"/>
  <c r="AF24" i="52" s="1"/>
  <c r="AF25" i="52" s="1"/>
  <c r="AF26" i="52" s="1"/>
  <c r="AF27" i="52" s="1"/>
  <c r="AF28" i="52" s="1"/>
  <c r="AF29" i="52" s="1"/>
  <c r="AF30" i="52" s="1"/>
  <c r="AF31" i="52" s="1"/>
  <c r="AF32" i="52" s="1"/>
  <c r="AF33" i="52" s="1"/>
  <c r="AF34" i="52" s="1"/>
  <c r="AF35" i="52" s="1"/>
  <c r="AF36" i="52" s="1"/>
  <c r="AF37" i="52" s="1"/>
  <c r="AF38" i="52" s="1"/>
  <c r="AF39" i="52" s="1"/>
  <c r="AF40" i="52" s="1"/>
  <c r="AF41" i="52" s="1"/>
  <c r="AF42" i="52" s="1"/>
  <c r="AF43" i="52" s="1"/>
  <c r="AF44" i="52" s="1"/>
  <c r="AF45" i="52" s="1"/>
  <c r="AF46" i="52" s="1"/>
  <c r="AF47" i="52" s="1"/>
  <c r="AF48" i="52" s="1"/>
  <c r="AF49" i="52" s="1"/>
  <c r="AF50" i="52" s="1"/>
  <c r="AF51" i="52" s="1"/>
  <c r="AF52" i="52" s="1"/>
  <c r="AF53" i="52" s="1"/>
  <c r="AF54" i="52" s="1"/>
  <c r="AF55" i="52" s="1"/>
  <c r="AF56" i="52" s="1"/>
  <c r="AF57" i="52" s="1"/>
  <c r="AF58" i="52" s="1"/>
  <c r="AL4" i="52"/>
  <c r="AL2" i="52" s="1"/>
  <c r="AK4" i="52"/>
  <c r="AK2" i="52" s="1"/>
  <c r="AJ4" i="52"/>
  <c r="AJ2" i="52" s="1"/>
  <c r="G3" i="52"/>
  <c r="E2" i="52"/>
  <c r="E3" i="52" s="1"/>
  <c r="A1" i="52"/>
  <c r="AK64" i="54"/>
  <c r="E10" i="54"/>
  <c r="AL42" i="55"/>
  <c r="AL57" i="55"/>
  <c r="E14" i="55"/>
  <c r="E53" i="54"/>
  <c r="AL40" i="55"/>
  <c r="AL56" i="55"/>
  <c r="E26" i="55"/>
  <c r="AK14" i="54"/>
  <c r="AK31" i="54"/>
  <c r="AL36" i="55"/>
  <c r="E30" i="55"/>
  <c r="E9" i="55"/>
  <c r="E45" i="55"/>
  <c r="AK58" i="55"/>
  <c r="AL61" i="55"/>
  <c r="E43" i="54"/>
  <c r="AK27" i="54"/>
  <c r="AL39" i="55"/>
  <c r="AK43" i="55"/>
  <c r="E41" i="54"/>
  <c r="E33" i="55"/>
  <c r="AK23" i="55"/>
  <c r="AL61" i="54"/>
  <c r="E24" i="55"/>
  <c r="AK29" i="54"/>
  <c r="E6" i="52"/>
  <c r="AL19" i="55"/>
  <c r="E61" i="54"/>
  <c r="E21" i="54"/>
  <c r="AL23" i="54"/>
  <c r="AK61" i="54"/>
  <c r="E46" i="55"/>
  <c r="AK20" i="54"/>
  <c r="AK50" i="55"/>
  <c r="AL50" i="54"/>
  <c r="AL13" i="54"/>
  <c r="E23" i="54"/>
  <c r="E29" i="55"/>
  <c r="E47" i="55"/>
  <c r="AL35" i="54"/>
  <c r="E29" i="54"/>
  <c r="E20" i="54"/>
  <c r="E36" i="54"/>
  <c r="AL48" i="54"/>
  <c r="AK42" i="55"/>
  <c r="AL25" i="55"/>
  <c r="AK57" i="55"/>
  <c r="AK38" i="55"/>
  <c r="E46" i="54"/>
  <c r="AL21" i="54"/>
  <c r="E28" i="54"/>
  <c r="E42" i="55"/>
  <c r="AL12" i="54"/>
  <c r="AK19" i="54"/>
  <c r="AL36" i="54"/>
  <c r="AL64" i="54"/>
  <c r="E57" i="54"/>
  <c r="AK42" i="54"/>
  <c r="E7" i="54"/>
  <c r="E32" i="55"/>
  <c r="E36" i="55"/>
  <c r="E55" i="54"/>
  <c r="E14" i="54"/>
  <c r="AK39" i="54"/>
  <c r="AJ9" i="52"/>
  <c r="E22" i="54"/>
  <c r="E45" i="54"/>
  <c r="AK7" i="54"/>
  <c r="AL29" i="54"/>
  <c r="AK20" i="55"/>
  <c r="E10" i="55"/>
  <c r="AK49" i="54"/>
  <c r="AL22" i="54"/>
  <c r="AL23" i="55"/>
  <c r="E56" i="55"/>
  <c r="AL49" i="55"/>
  <c r="E48" i="54"/>
  <c r="AK27" i="55"/>
  <c r="AK56" i="54"/>
  <c r="E12" i="55"/>
  <c r="E54" i="55"/>
  <c r="AL52" i="54"/>
  <c r="AK41" i="55"/>
  <c r="E54" i="54"/>
  <c r="E51" i="54"/>
  <c r="AL26" i="54"/>
  <c r="AL31" i="55"/>
  <c r="AL30" i="54"/>
  <c r="E15" i="54"/>
  <c r="E44" i="54"/>
  <c r="E19" i="54"/>
  <c r="E26" i="54"/>
  <c r="AL15" i="54"/>
  <c r="E55" i="55"/>
  <c r="AL11" i="54"/>
  <c r="E27" i="54"/>
  <c r="E25" i="55"/>
  <c r="E35" i="55"/>
  <c r="AL10" i="54"/>
  <c r="E8" i="54"/>
  <c r="AL48" i="55"/>
  <c r="E34" i="54"/>
  <c r="AK51" i="55"/>
  <c r="AL7" i="54"/>
  <c r="AL44" i="54"/>
  <c r="AL25" i="54"/>
  <c r="E27" i="55"/>
  <c r="E50" i="55"/>
  <c r="E34" i="55"/>
  <c r="AK32" i="54"/>
  <c r="AK15" i="54"/>
  <c r="E13" i="55"/>
  <c r="AK11" i="54"/>
  <c r="E64" i="54"/>
  <c r="AL43" i="54"/>
  <c r="AL34" i="54"/>
  <c r="E21" i="55"/>
  <c r="AL18" i="54"/>
  <c r="AL27" i="55"/>
  <c r="AK13" i="54"/>
  <c r="E42" i="54"/>
  <c r="E25" i="54"/>
  <c r="AK22" i="55"/>
  <c r="AK56" i="55"/>
  <c r="AK63" i="54"/>
  <c r="AK57" i="54"/>
  <c r="E52" i="54"/>
  <c r="AK47" i="54"/>
  <c r="AL46" i="55"/>
  <c r="AL19" i="54"/>
  <c r="E17" i="54"/>
  <c r="E37" i="54"/>
  <c r="AK35" i="54"/>
  <c r="E38" i="54"/>
  <c r="AL56" i="54"/>
  <c r="AL54" i="54"/>
  <c r="AK44" i="55"/>
  <c r="AK62" i="55"/>
  <c r="AL49" i="54"/>
  <c r="AL22" i="55"/>
  <c r="E33" i="54"/>
  <c r="AL33" i="54"/>
  <c r="E12" i="54"/>
  <c r="E24" i="54"/>
  <c r="AK29" i="55"/>
  <c r="AL46" i="54"/>
  <c r="AK48" i="55"/>
  <c r="AK55" i="55"/>
  <c r="AL47" i="55"/>
  <c r="AL8" i="54"/>
  <c r="AK34" i="54"/>
  <c r="AL42" i="54"/>
  <c r="AL57" i="54"/>
  <c r="E31" i="54"/>
  <c r="E28" i="55"/>
  <c r="E53" i="55"/>
  <c r="E8" i="55"/>
  <c r="AL53" i="55"/>
  <c r="AL53" i="54"/>
  <c r="AK22" i="54"/>
  <c r="E31" i="55"/>
  <c r="AK46" i="55"/>
  <c r="E35" i="54"/>
  <c r="AL43" i="55"/>
  <c r="AL50" i="55"/>
  <c r="AL24" i="54"/>
  <c r="AL20" i="55"/>
  <c r="AL41" i="54"/>
  <c r="AK41" i="54"/>
  <c r="AK52" i="54"/>
  <c r="AL55" i="54"/>
  <c r="AK51" i="54"/>
  <c r="E18" i="54"/>
  <c r="AK46" i="54"/>
  <c r="AK61" i="55"/>
  <c r="AK45" i="54"/>
  <c r="AL37" i="55"/>
  <c r="AL58" i="55"/>
  <c r="AK30" i="54"/>
  <c r="AJ57" i="52"/>
  <c r="AL14" i="54"/>
  <c r="AK25" i="55"/>
  <c r="AK36" i="55"/>
  <c r="AL63" i="54"/>
  <c r="E41" i="55"/>
  <c r="AK12" i="54"/>
  <c r="AK40" i="55"/>
  <c r="AK16" i="54"/>
  <c r="AK24" i="54"/>
  <c r="AK49" i="55"/>
  <c r="E13" i="54"/>
  <c r="AK43" i="54"/>
  <c r="E11" i="55"/>
  <c r="AK45" i="55"/>
  <c r="E30" i="54"/>
  <c r="AK50" i="54"/>
  <c r="E18" i="55"/>
  <c r="AK9" i="54"/>
  <c r="E49" i="54"/>
  <c r="AK54" i="54"/>
  <c r="E23" i="55"/>
  <c r="AL32" i="54"/>
  <c r="AK48" i="54"/>
  <c r="E57" i="55"/>
  <c r="AK10" i="54"/>
  <c r="AL44" i="55"/>
  <c r="G61" i="52"/>
  <c r="E32" i="54"/>
  <c r="E56" i="54"/>
  <c r="AL16" i="54"/>
  <c r="AL37" i="54"/>
  <c r="AK17" i="54"/>
  <c r="AL47" i="54"/>
  <c r="AL29" i="55"/>
  <c r="E43" i="55"/>
  <c r="AK18" i="54"/>
  <c r="AL62" i="55"/>
  <c r="AL51" i="55"/>
  <c r="AK36" i="54"/>
  <c r="E40" i="55"/>
  <c r="AK53" i="55"/>
  <c r="E40" i="54"/>
  <c r="AK39" i="55"/>
  <c r="AL9" i="54"/>
  <c r="AL17" i="55"/>
  <c r="AL39" i="54"/>
  <c r="AK21" i="54"/>
  <c r="AL41" i="55"/>
  <c r="AL27" i="54"/>
  <c r="AK37" i="55"/>
  <c r="E16" i="55"/>
  <c r="E39" i="55"/>
  <c r="AK23" i="54"/>
  <c r="AL38" i="54"/>
  <c r="AK38" i="54"/>
  <c r="AL51" i="54"/>
  <c r="AL28" i="54"/>
  <c r="AK28" i="54"/>
  <c r="E51" i="55"/>
  <c r="E63" i="54"/>
  <c r="E62" i="54"/>
  <c r="AK17" i="55"/>
  <c r="AK47" i="55"/>
  <c r="E61" i="55"/>
  <c r="AL40" i="54"/>
  <c r="AK53" i="54"/>
  <c r="AK44" i="54"/>
  <c r="E44" i="55"/>
  <c r="E50" i="54"/>
  <c r="AK62" i="54"/>
  <c r="AK37" i="54"/>
  <c r="AL62" i="54"/>
  <c r="AK26" i="54"/>
  <c r="AK55" i="54"/>
  <c r="AK31" i="55"/>
  <c r="AK8" i="54"/>
  <c r="AK25" i="54"/>
  <c r="AL54" i="55"/>
  <c r="AJ50" i="52"/>
  <c r="E47" i="54"/>
  <c r="AK54" i="55"/>
  <c r="E11" i="54"/>
  <c r="AK19" i="55"/>
  <c r="AK40" i="54"/>
  <c r="E49" i="55"/>
  <c r="AL31" i="54"/>
  <c r="AL45" i="55"/>
  <c r="AL20" i="54"/>
  <c r="AL38" i="55"/>
  <c r="AL55" i="55"/>
  <c r="AL52" i="55"/>
  <c r="AL45" i="54"/>
  <c r="E19" i="55"/>
  <c r="AK33" i="54"/>
  <c r="E37" i="55"/>
  <c r="E39" i="54"/>
  <c r="E38" i="55"/>
  <c r="AK52" i="55"/>
  <c r="E9" i="54"/>
  <c r="E16" i="54"/>
  <c r="AL17" i="54"/>
  <c r="AR7" i="7"/>
  <c r="AA11" i="56" l="1"/>
  <c r="AA9" i="56"/>
  <c r="AA12" i="56"/>
  <c r="AA10" i="56"/>
  <c r="AY58" i="5"/>
  <c r="AA8" i="56"/>
  <c r="U14" i="56"/>
  <c r="V10" i="56" s="1"/>
  <c r="O14" i="56"/>
  <c r="P9" i="56" s="1"/>
  <c r="AA13" i="56"/>
  <c r="R14" i="56"/>
  <c r="S14" i="56" s="1"/>
  <c r="AW8" i="52"/>
  <c r="AM28" i="54"/>
  <c r="AM22" i="54"/>
  <c r="AG26" i="54"/>
  <c r="AH26" i="54"/>
  <c r="AM22" i="55"/>
  <c r="AG45" i="55"/>
  <c r="AH45" i="55"/>
  <c r="AH56" i="54"/>
  <c r="AG56" i="54"/>
  <c r="AM64" i="54"/>
  <c r="AH41" i="54"/>
  <c r="AG41" i="54"/>
  <c r="AH47" i="54"/>
  <c r="AG47" i="54"/>
  <c r="AH46" i="54"/>
  <c r="AG46" i="54"/>
  <c r="AM40" i="55"/>
  <c r="AH42" i="55"/>
  <c r="AG42" i="55"/>
  <c r="AM57" i="55"/>
  <c r="AM10" i="54"/>
  <c r="AG18" i="54"/>
  <c r="AH18" i="54"/>
  <c r="AM55" i="55"/>
  <c r="AM27" i="55"/>
  <c r="AH33" i="54"/>
  <c r="AG33" i="54"/>
  <c r="AH55" i="54"/>
  <c r="AG55" i="54"/>
  <c r="AM38" i="54"/>
  <c r="AG38" i="54"/>
  <c r="AH38" i="54"/>
  <c r="AH7" i="54"/>
  <c r="AG7" i="54"/>
  <c r="AM43" i="55"/>
  <c r="AM17" i="55"/>
  <c r="AM42" i="55"/>
  <c r="AH22" i="55"/>
  <c r="AG22" i="55"/>
  <c r="AM44" i="54"/>
  <c r="AG34" i="54"/>
  <c r="AH34" i="54"/>
  <c r="AH37" i="54"/>
  <c r="AG37" i="54"/>
  <c r="AG50" i="55"/>
  <c r="AH50" i="55"/>
  <c r="AG52" i="55"/>
  <c r="AH52" i="55"/>
  <c r="AH52" i="54"/>
  <c r="AG52" i="54"/>
  <c r="AH15" i="54"/>
  <c r="AG15" i="54"/>
  <c r="AM35" i="54"/>
  <c r="AM56" i="55"/>
  <c r="AG20" i="54"/>
  <c r="AH20" i="54"/>
  <c r="AM11" i="54"/>
  <c r="AG37" i="55"/>
  <c r="AH37" i="55"/>
  <c r="AH43" i="54"/>
  <c r="AG43" i="54"/>
  <c r="AG47" i="55"/>
  <c r="AH47" i="55"/>
  <c r="AG48" i="54"/>
  <c r="AH48" i="54"/>
  <c r="AM50" i="54"/>
  <c r="AM57" i="54"/>
  <c r="AH54" i="55"/>
  <c r="AG54" i="55"/>
  <c r="AM23" i="54"/>
  <c r="AM54" i="55"/>
  <c r="AM62" i="54"/>
  <c r="AH40" i="55"/>
  <c r="AG40" i="55"/>
  <c r="R10" i="55"/>
  <c r="O9" i="55"/>
  <c r="O12" i="55"/>
  <c r="R9" i="55"/>
  <c r="U16" i="55" a="1"/>
  <c r="U16" i="55" s="1"/>
  <c r="R8" i="55"/>
  <c r="U13" i="55"/>
  <c r="V13" i="55" s="1"/>
  <c r="O10" i="55"/>
  <c r="R12" i="55"/>
  <c r="U11" i="55"/>
  <c r="V11" i="55" s="1"/>
  <c r="U9" i="55"/>
  <c r="V9" i="55" s="1"/>
  <c r="U12" i="55"/>
  <c r="R11" i="55"/>
  <c r="R13" i="55"/>
  <c r="S13" i="55" s="1"/>
  <c r="O8" i="55"/>
  <c r="O11" i="55"/>
  <c r="O13" i="55"/>
  <c r="U10" i="55"/>
  <c r="O16" i="55" a="1"/>
  <c r="O16" i="55" s="1"/>
  <c r="U8" i="55"/>
  <c r="V8" i="55" s="1"/>
  <c r="R16" i="55" a="1"/>
  <c r="R16" i="55" s="1"/>
  <c r="AM31" i="55"/>
  <c r="AM27" i="54"/>
  <c r="AM30" i="54"/>
  <c r="AM42" i="54"/>
  <c r="AG30" i="54"/>
  <c r="AH30" i="54"/>
  <c r="AH53" i="55"/>
  <c r="AG53" i="55"/>
  <c r="AM47" i="54"/>
  <c r="AG54" i="54"/>
  <c r="AH54" i="54"/>
  <c r="AG29" i="55"/>
  <c r="AH29" i="55"/>
  <c r="AH21" i="54"/>
  <c r="AG21" i="54"/>
  <c r="AM58" i="55"/>
  <c r="AG39" i="55"/>
  <c r="AH39" i="55"/>
  <c r="AG49" i="55"/>
  <c r="AH49" i="55"/>
  <c r="AM20" i="55"/>
  <c r="R9" i="54"/>
  <c r="U12" i="54"/>
  <c r="R10" i="54"/>
  <c r="U9" i="54"/>
  <c r="V9" i="54" s="1"/>
  <c r="O8" i="54"/>
  <c r="O12" i="54"/>
  <c r="R11" i="54"/>
  <c r="O9" i="54"/>
  <c r="R8" i="54"/>
  <c r="O10" i="54"/>
  <c r="U13" i="54"/>
  <c r="V13" i="54" s="1"/>
  <c r="O13" i="54"/>
  <c r="O16" i="54" a="1"/>
  <c r="O16" i="54" s="1"/>
  <c r="U8" i="54"/>
  <c r="V8" i="54" s="1"/>
  <c r="U10" i="54"/>
  <c r="U16" i="54" a="1"/>
  <c r="U16" i="54" s="1"/>
  <c r="R12" i="54"/>
  <c r="U11" i="54"/>
  <c r="V11" i="54" s="1"/>
  <c r="R13" i="54"/>
  <c r="S13" i="54" s="1"/>
  <c r="R16" i="54" a="1"/>
  <c r="R16" i="54" s="1"/>
  <c r="O11" i="54"/>
  <c r="AH56" i="55"/>
  <c r="AG56" i="55"/>
  <c r="AM26" i="54"/>
  <c r="AG19" i="55"/>
  <c r="AH19" i="55"/>
  <c r="AG17" i="54"/>
  <c r="AH17" i="54"/>
  <c r="AH31" i="55"/>
  <c r="AG31" i="55"/>
  <c r="AM13" i="54"/>
  <c r="AG48" i="55"/>
  <c r="AH48" i="55"/>
  <c r="AH9" i="54"/>
  <c r="AG9" i="54"/>
  <c r="AG23" i="55"/>
  <c r="AH23" i="55"/>
  <c r="AG19" i="54"/>
  <c r="AH19" i="54"/>
  <c r="AM29" i="54"/>
  <c r="AH24" i="54"/>
  <c r="AG24" i="54"/>
  <c r="AM53" i="54"/>
  <c r="AM49" i="55"/>
  <c r="AM44" i="55"/>
  <c r="AM7" i="54"/>
  <c r="AH57" i="54"/>
  <c r="AG57" i="54"/>
  <c r="AG22" i="54"/>
  <c r="AH22" i="54"/>
  <c r="AM36" i="55"/>
  <c r="AM45" i="54"/>
  <c r="AH42" i="54"/>
  <c r="AG42" i="54"/>
  <c r="AM20" i="54"/>
  <c r="AH61" i="54"/>
  <c r="AG61" i="54"/>
  <c r="AM40" i="54"/>
  <c r="AM8" i="54"/>
  <c r="AM62" i="55"/>
  <c r="AH46" i="55"/>
  <c r="AG46" i="55"/>
  <c r="AG25" i="54"/>
  <c r="AH25" i="54"/>
  <c r="AH51" i="55"/>
  <c r="AG51" i="55"/>
  <c r="AM56" i="54"/>
  <c r="AG17" i="55"/>
  <c r="AH17" i="55"/>
  <c r="AM50" i="55"/>
  <c r="AM17" i="54"/>
  <c r="AM25" i="54"/>
  <c r="AM48" i="54"/>
  <c r="AM33" i="54"/>
  <c r="AH40" i="54"/>
  <c r="AG40" i="54"/>
  <c r="AM39" i="54"/>
  <c r="AH43" i="55"/>
  <c r="AG43" i="55"/>
  <c r="AH20" i="55"/>
  <c r="AG20" i="55"/>
  <c r="AH50" i="54"/>
  <c r="AG50" i="54"/>
  <c r="AH58" i="55"/>
  <c r="AG58" i="55"/>
  <c r="AM43" i="54"/>
  <c r="AG8" i="54"/>
  <c r="AH8" i="54"/>
  <c r="AG39" i="54"/>
  <c r="AH39" i="54"/>
  <c r="AH31" i="54"/>
  <c r="AG31" i="54"/>
  <c r="AG32" i="54"/>
  <c r="AH32" i="54"/>
  <c r="AM19" i="54"/>
  <c r="AM37" i="55"/>
  <c r="AG27" i="55"/>
  <c r="AH27" i="55"/>
  <c r="AM48" i="55"/>
  <c r="AH44" i="55"/>
  <c r="AG44" i="55"/>
  <c r="AH41" i="55"/>
  <c r="AG41" i="55"/>
  <c r="AM15" i="54"/>
  <c r="AM54" i="54"/>
  <c r="AM16" i="54"/>
  <c r="AH53" i="54"/>
  <c r="AG53" i="54"/>
  <c r="AH36" i="55"/>
  <c r="AG36" i="55"/>
  <c r="AM61" i="55"/>
  <c r="AH62" i="54"/>
  <c r="AG62" i="54"/>
  <c r="AG55" i="55"/>
  <c r="AH55" i="55"/>
  <c r="AM31" i="54"/>
  <c r="AM36" i="54"/>
  <c r="AM21" i="54"/>
  <c r="AM52" i="54"/>
  <c r="AG45" i="54"/>
  <c r="AH45" i="54"/>
  <c r="AH61" i="55"/>
  <c r="AG61" i="55"/>
  <c r="AG35" i="54"/>
  <c r="AH35" i="54"/>
  <c r="AH12" i="54"/>
  <c r="AG12" i="54"/>
  <c r="AM41" i="55"/>
  <c r="AG14" i="54"/>
  <c r="AH14" i="54"/>
  <c r="AH38" i="55"/>
  <c r="AG38" i="55"/>
  <c r="AM51" i="54"/>
  <c r="AM24" i="54"/>
  <c r="AH11" i="54"/>
  <c r="AG11" i="54"/>
  <c r="AH25" i="55"/>
  <c r="AG25" i="55"/>
  <c r="AG49" i="54"/>
  <c r="AH49" i="54"/>
  <c r="AM46" i="55"/>
  <c r="AM32" i="54"/>
  <c r="AM37" i="54"/>
  <c r="AG27" i="54"/>
  <c r="AH27" i="54"/>
  <c r="AM29" i="55"/>
  <c r="AG10" i="54"/>
  <c r="AH10" i="54"/>
  <c r="AM19" i="55"/>
  <c r="AG51" i="54"/>
  <c r="AH51" i="54"/>
  <c r="AM63" i="54"/>
  <c r="AM41" i="54"/>
  <c r="AM14" i="54"/>
  <c r="AM23" i="55"/>
  <c r="AM47" i="55"/>
  <c r="AM34" i="54"/>
  <c r="AH57" i="55"/>
  <c r="AG57" i="55"/>
  <c r="AH13" i="54"/>
  <c r="AG13" i="54"/>
  <c r="AH23" i="54"/>
  <c r="AG23" i="54"/>
  <c r="AM53" i="55"/>
  <c r="AM38" i="55"/>
  <c r="AM52" i="55"/>
  <c r="AM55" i="54"/>
  <c r="AG44" i="54"/>
  <c r="AH44" i="54"/>
  <c r="AM25" i="55"/>
  <c r="AG28" i="54"/>
  <c r="AH28" i="54"/>
  <c r="AM18" i="54"/>
  <c r="AH36" i="54"/>
  <c r="AG36" i="54"/>
  <c r="AM49" i="54"/>
  <c r="AG29" i="54"/>
  <c r="AH29" i="54"/>
  <c r="AM51" i="55"/>
  <c r="AM39" i="55"/>
  <c r="AG16" i="54"/>
  <c r="AH16" i="54"/>
  <c r="AM9" i="54"/>
  <c r="AM45" i="55"/>
  <c r="AM46" i="54"/>
  <c r="AM12" i="54"/>
  <c r="AM61" i="54"/>
  <c r="P14" i="56"/>
  <c r="BF14" i="56"/>
  <c r="BI14" i="56"/>
  <c r="BH14" i="56"/>
  <c r="BG14" i="56"/>
  <c r="BC16" i="56"/>
  <c r="BD15" i="56"/>
  <c r="BC16" i="55"/>
  <c r="BD15" i="55"/>
  <c r="BF14" i="55"/>
  <c r="BI14" i="55"/>
  <c r="BH14" i="55"/>
  <c r="BG14" i="55"/>
  <c r="BF12" i="54"/>
  <c r="BI12" i="54"/>
  <c r="BG12" i="54"/>
  <c r="BH12" i="54"/>
  <c r="BD13" i="54"/>
  <c r="BC14" i="54"/>
  <c r="BA61" i="5"/>
  <c r="BA62" i="5"/>
  <c r="O12" i="10" s="1"/>
  <c r="BA53" i="5"/>
  <c r="AX58" i="5"/>
  <c r="AX8" i="52"/>
  <c r="AW9" i="52"/>
  <c r="L14" i="52"/>
  <c r="M8" i="52" s="1"/>
  <c r="AW12" i="52"/>
  <c r="AX12" i="52" s="1"/>
  <c r="AW15" i="52"/>
  <c r="AX15" i="52" s="1"/>
  <c r="AW16" i="52"/>
  <c r="AX16" i="52" s="1"/>
  <c r="M9" i="52"/>
  <c r="AX9" i="52"/>
  <c r="AW10" i="52"/>
  <c r="AX10" i="52" s="1"/>
  <c r="AW13" i="52"/>
  <c r="AX13" i="52" s="1"/>
  <c r="AW14" i="52"/>
  <c r="AX14" i="52" s="1"/>
  <c r="AW17" i="52"/>
  <c r="AX17" i="52" s="1"/>
  <c r="AW63" i="52"/>
  <c r="AX63" i="52" s="1"/>
  <c r="AW61" i="52"/>
  <c r="AX61" i="52" s="1"/>
  <c r="AW60" i="52"/>
  <c r="AX60" i="52" s="1"/>
  <c r="AW59" i="52"/>
  <c r="AX59" i="52" s="1"/>
  <c r="AW58" i="52"/>
  <c r="AX58" i="52" s="1"/>
  <c r="AW56" i="52"/>
  <c r="AX56" i="52" s="1"/>
  <c r="AW54" i="52"/>
  <c r="AX54" i="52" s="1"/>
  <c r="AW52" i="52"/>
  <c r="AX52" i="52" s="1"/>
  <c r="AW50" i="52"/>
  <c r="AX50" i="52" s="1"/>
  <c r="AW48" i="52"/>
  <c r="AX48" i="52" s="1"/>
  <c r="AW46" i="52"/>
  <c r="AX46" i="52" s="1"/>
  <c r="AW38" i="52"/>
  <c r="AX38" i="52" s="1"/>
  <c r="AW23" i="52"/>
  <c r="AX23" i="52" s="1"/>
  <c r="AW19" i="52"/>
  <c r="AX19" i="52" s="1"/>
  <c r="AW7" i="52"/>
  <c r="AX7" i="52" s="1"/>
  <c r="AW40" i="52"/>
  <c r="AX40" i="52" s="1"/>
  <c r="AW37" i="52"/>
  <c r="AX37" i="52" s="1"/>
  <c r="AW27" i="52"/>
  <c r="AX27" i="52" s="1"/>
  <c r="AW21" i="52"/>
  <c r="AX21" i="52" s="1"/>
  <c r="AW42" i="52"/>
  <c r="AX42" i="52" s="1"/>
  <c r="AW35" i="52"/>
  <c r="AX35" i="52" s="1"/>
  <c r="AW31" i="52"/>
  <c r="AX31" i="52" s="1"/>
  <c r="AW25" i="52"/>
  <c r="AX25" i="52" s="1"/>
  <c r="AW22" i="52"/>
  <c r="AX22" i="52" s="1"/>
  <c r="AW18" i="52"/>
  <c r="AX18" i="52" s="1"/>
  <c r="BC8" i="52"/>
  <c r="AW11" i="52"/>
  <c r="AX11" i="52" s="1"/>
  <c r="AW33" i="52"/>
  <c r="AX33" i="52" s="1"/>
  <c r="AW41" i="52"/>
  <c r="AX41" i="52"/>
  <c r="AW47" i="52"/>
  <c r="AX47" i="52" s="1"/>
  <c r="AW53" i="52"/>
  <c r="AX53" i="52" s="1"/>
  <c r="AW36" i="52"/>
  <c r="AX36" i="52" s="1"/>
  <c r="AW39" i="52"/>
  <c r="AX39" i="52" s="1"/>
  <c r="AW45" i="52"/>
  <c r="AX45" i="52" s="1"/>
  <c r="AW62" i="52"/>
  <c r="AX62" i="52" s="1"/>
  <c r="AW20" i="52"/>
  <c r="AX20" i="52" s="1"/>
  <c r="AW24" i="52"/>
  <c r="AX24" i="52" s="1"/>
  <c r="AW26" i="52"/>
  <c r="AX26" i="52" s="1"/>
  <c r="AW29" i="52"/>
  <c r="AX29" i="52" s="1"/>
  <c r="AW30" i="52"/>
  <c r="AX30" i="52" s="1"/>
  <c r="AW32" i="52"/>
  <c r="AX32" i="52" s="1"/>
  <c r="AW34" i="52"/>
  <c r="AX34" i="52" s="1"/>
  <c r="AW55" i="52"/>
  <c r="AX55" i="52" s="1"/>
  <c r="AW28" i="52"/>
  <c r="AX28" i="52" s="1"/>
  <c r="AW44" i="52"/>
  <c r="AX44" i="52" s="1"/>
  <c r="AW43" i="52"/>
  <c r="AX43" i="52" s="1"/>
  <c r="AW49" i="52"/>
  <c r="AX49" i="52" s="1"/>
  <c r="AW57" i="52"/>
  <c r="AX57" i="52" s="1"/>
  <c r="AW51" i="52"/>
  <c r="AX51" i="52" s="1"/>
  <c r="C68" i="51"/>
  <c r="AH67" i="51"/>
  <c r="AG67" i="51"/>
  <c r="AF67" i="51"/>
  <c r="AH66" i="51"/>
  <c r="AG66" i="51"/>
  <c r="AF66" i="51"/>
  <c r="AH65" i="51"/>
  <c r="AG65" i="51"/>
  <c r="AF65" i="51"/>
  <c r="AH64" i="51"/>
  <c r="AG64" i="51"/>
  <c r="AF64" i="51"/>
  <c r="AV63" i="51"/>
  <c r="AV62" i="51"/>
  <c r="AV61" i="51"/>
  <c r="AH61" i="51"/>
  <c r="AG61" i="51"/>
  <c r="AF61" i="51"/>
  <c r="AF62" i="51" s="1"/>
  <c r="AF63" i="51" s="1"/>
  <c r="G61" i="51"/>
  <c r="AV60" i="51"/>
  <c r="AH60" i="51"/>
  <c r="AG60" i="51"/>
  <c r="AF60" i="51"/>
  <c r="G60" i="51"/>
  <c r="AV59" i="51"/>
  <c r="AH59" i="51"/>
  <c r="AG59" i="51"/>
  <c r="AF59" i="51"/>
  <c r="G59" i="51"/>
  <c r="AV58" i="51"/>
  <c r="AV57" i="51"/>
  <c r="AV56" i="51"/>
  <c r="AV55" i="51"/>
  <c r="AV54" i="51"/>
  <c r="AV53" i="51"/>
  <c r="AV52" i="51"/>
  <c r="AV51" i="51"/>
  <c r="AV50" i="51"/>
  <c r="AV49" i="51"/>
  <c r="AV48" i="51"/>
  <c r="AV47" i="51"/>
  <c r="AV46" i="51"/>
  <c r="AV45" i="51"/>
  <c r="AV44" i="51"/>
  <c r="AV43" i="51"/>
  <c r="AV42" i="51"/>
  <c r="AV41" i="51"/>
  <c r="AV40" i="51"/>
  <c r="AV39" i="51"/>
  <c r="AV38" i="51"/>
  <c r="AV37" i="51"/>
  <c r="AV36" i="51"/>
  <c r="AV35" i="51"/>
  <c r="AV34" i="51"/>
  <c r="AV33" i="51"/>
  <c r="AV32" i="51"/>
  <c r="AV31" i="51"/>
  <c r="AV30" i="51"/>
  <c r="AV29" i="51"/>
  <c r="AV28" i="51"/>
  <c r="AV27" i="51"/>
  <c r="AV26" i="51"/>
  <c r="AV25" i="51"/>
  <c r="AV24" i="51"/>
  <c r="AV23" i="51"/>
  <c r="AV22" i="51"/>
  <c r="AV21" i="51"/>
  <c r="AV20" i="51"/>
  <c r="AV19" i="51"/>
  <c r="AV18" i="51"/>
  <c r="AV17" i="51"/>
  <c r="AV16" i="51"/>
  <c r="L16" i="51" a="1"/>
  <c r="L16" i="51" s="1"/>
  <c r="AV15" i="51"/>
  <c r="AV14" i="51"/>
  <c r="AV13" i="51"/>
  <c r="L13" i="51"/>
  <c r="AV12" i="51"/>
  <c r="L12" i="51"/>
  <c r="AV11" i="51"/>
  <c r="L11" i="51"/>
  <c r="AV10" i="51"/>
  <c r="L10" i="51"/>
  <c r="AV9" i="51"/>
  <c r="L9" i="51"/>
  <c r="AV8" i="51"/>
  <c r="L8" i="51"/>
  <c r="BC7" i="51"/>
  <c r="BC8" i="51" s="1"/>
  <c r="AV7" i="51"/>
  <c r="AF7" i="51"/>
  <c r="AF8" i="51" s="1"/>
  <c r="AF9" i="51" s="1"/>
  <c r="AF10" i="51" s="1"/>
  <c r="AF11" i="51" s="1"/>
  <c r="AF12" i="51" s="1"/>
  <c r="AF13" i="51" s="1"/>
  <c r="AF14" i="51" s="1"/>
  <c r="AF15" i="51" s="1"/>
  <c r="AF16" i="51" s="1"/>
  <c r="AF17" i="51" s="1"/>
  <c r="AF18" i="51" s="1"/>
  <c r="AF19" i="51" s="1"/>
  <c r="AF20" i="51" s="1"/>
  <c r="AF21" i="51" s="1"/>
  <c r="AF22" i="51" s="1"/>
  <c r="AF23" i="51" s="1"/>
  <c r="AF24" i="51" s="1"/>
  <c r="AF25" i="51" s="1"/>
  <c r="AF26" i="51" s="1"/>
  <c r="AF27" i="51" s="1"/>
  <c r="AF28" i="51" s="1"/>
  <c r="AF29" i="51" s="1"/>
  <c r="AF30" i="51" s="1"/>
  <c r="AF31" i="51" s="1"/>
  <c r="AF32" i="51" s="1"/>
  <c r="AF33" i="51" s="1"/>
  <c r="AF34" i="51" s="1"/>
  <c r="AF35" i="51" s="1"/>
  <c r="AF36" i="51" s="1"/>
  <c r="AF37" i="51" s="1"/>
  <c r="AF38" i="51" s="1"/>
  <c r="AF39" i="51" s="1"/>
  <c r="AF40" i="51" s="1"/>
  <c r="AF41" i="51" s="1"/>
  <c r="AF42" i="51" s="1"/>
  <c r="AF43" i="51" s="1"/>
  <c r="AF44" i="51" s="1"/>
  <c r="AF45" i="51" s="1"/>
  <c r="AF46" i="51" s="1"/>
  <c r="AF47" i="51" s="1"/>
  <c r="AF48" i="51" s="1"/>
  <c r="AF49" i="51" s="1"/>
  <c r="AF50" i="51" s="1"/>
  <c r="AF51" i="51" s="1"/>
  <c r="AF52" i="51" s="1"/>
  <c r="AF53" i="51" s="1"/>
  <c r="AF54" i="51" s="1"/>
  <c r="AF55" i="51" s="1"/>
  <c r="AF56" i="51" s="1"/>
  <c r="AF57" i="51" s="1"/>
  <c r="AF58" i="51" s="1"/>
  <c r="AL4" i="51"/>
  <c r="AL2" i="51" s="1"/>
  <c r="AK4" i="51"/>
  <c r="AK2" i="51" s="1"/>
  <c r="AJ4" i="51"/>
  <c r="AJ2" i="51" s="1"/>
  <c r="G3" i="51"/>
  <c r="E2" i="51"/>
  <c r="E3" i="51" s="1"/>
  <c r="A1" i="51"/>
  <c r="G58" i="52"/>
  <c r="AJ37" i="52"/>
  <c r="AJ8" i="52"/>
  <c r="G25" i="52"/>
  <c r="AJ14" i="52"/>
  <c r="G18" i="52"/>
  <c r="G44" i="52"/>
  <c r="G41" i="52"/>
  <c r="AJ30" i="52"/>
  <c r="E61" i="52"/>
  <c r="AJ43" i="52"/>
  <c r="AJ36" i="52"/>
  <c r="G31" i="52"/>
  <c r="AJ42" i="52"/>
  <c r="AJ31" i="52"/>
  <c r="AJ17" i="52"/>
  <c r="AJ61" i="52"/>
  <c r="AJ38" i="52"/>
  <c r="AJ40" i="52"/>
  <c r="AJ15" i="52"/>
  <c r="AJ22" i="52"/>
  <c r="AJ29" i="52"/>
  <c r="AJ25" i="52"/>
  <c r="G11" i="52"/>
  <c r="AJ7" i="52"/>
  <c r="G22" i="52"/>
  <c r="AJ51" i="52"/>
  <c r="AJ20" i="52"/>
  <c r="G55" i="52"/>
  <c r="G15" i="51"/>
  <c r="AJ19" i="52"/>
  <c r="G39" i="52"/>
  <c r="AJ27" i="52"/>
  <c r="AJ13" i="52"/>
  <c r="AJ46" i="52"/>
  <c r="G37" i="52"/>
  <c r="G57" i="52"/>
  <c r="AJ54" i="52"/>
  <c r="G13" i="52"/>
  <c r="G40" i="52"/>
  <c r="AJ48" i="52"/>
  <c r="G9" i="52"/>
  <c r="G23" i="52"/>
  <c r="G29" i="52"/>
  <c r="AJ18" i="52"/>
  <c r="AJ58" i="52"/>
  <c r="G16" i="52"/>
  <c r="G62" i="52"/>
  <c r="G53" i="52"/>
  <c r="AJ34" i="52"/>
  <c r="AJ60" i="52"/>
  <c r="G32" i="52"/>
  <c r="AJ49" i="52"/>
  <c r="AJ24" i="52"/>
  <c r="AJ53" i="52"/>
  <c r="G20" i="52"/>
  <c r="G17" i="52"/>
  <c r="AJ28" i="52"/>
  <c r="G8" i="52"/>
  <c r="G42" i="52"/>
  <c r="G49" i="52"/>
  <c r="G34" i="52"/>
  <c r="AJ39" i="52"/>
  <c r="G30" i="52"/>
  <c r="AJ10" i="52"/>
  <c r="AJ56" i="52"/>
  <c r="G47" i="52"/>
  <c r="AJ23" i="52"/>
  <c r="AJ11" i="52"/>
  <c r="AJ55" i="52"/>
  <c r="G7" i="52"/>
  <c r="AJ66" i="52"/>
  <c r="G63" i="52"/>
  <c r="G14" i="52"/>
  <c r="G48" i="52"/>
  <c r="G38" i="52"/>
  <c r="AJ41" i="52"/>
  <c r="G19" i="52"/>
  <c r="AJ32" i="52"/>
  <c r="G35" i="52"/>
  <c r="G12" i="52"/>
  <c r="G26" i="52"/>
  <c r="AJ45" i="52"/>
  <c r="AJ16" i="52"/>
  <c r="G54" i="52"/>
  <c r="G43" i="52"/>
  <c r="G50" i="52"/>
  <c r="G52" i="52"/>
  <c r="G33" i="52"/>
  <c r="G56" i="52"/>
  <c r="AJ63" i="52"/>
  <c r="AJ64" i="52"/>
  <c r="AJ59" i="52"/>
  <c r="G24" i="52"/>
  <c r="AJ12" i="52"/>
  <c r="G36" i="52"/>
  <c r="G12" i="51"/>
  <c r="G10" i="52"/>
  <c r="G46" i="52"/>
  <c r="G28" i="52"/>
  <c r="G15" i="52"/>
  <c r="AJ33" i="52"/>
  <c r="AJ47" i="52"/>
  <c r="AJ26" i="52"/>
  <c r="AJ35" i="52"/>
  <c r="AJ62" i="52"/>
  <c r="G51" i="52"/>
  <c r="AJ44" i="52"/>
  <c r="AJ65" i="52"/>
  <c r="G64" i="52"/>
  <c r="AJ21" i="52"/>
  <c r="G45" i="52"/>
  <c r="AJ52" i="52"/>
  <c r="AJ67" i="52"/>
  <c r="G21" i="52"/>
  <c r="G27" i="52"/>
  <c r="AO11" i="7"/>
  <c r="V12" i="56" l="1"/>
  <c r="P8" i="56"/>
  <c r="O5" i="56"/>
  <c r="P13" i="56"/>
  <c r="P11" i="56"/>
  <c r="P10" i="56"/>
  <c r="P12" i="56"/>
  <c r="AA14" i="56"/>
  <c r="S12" i="56"/>
  <c r="S10" i="56"/>
  <c r="R5" i="56"/>
  <c r="S11" i="56"/>
  <c r="S8" i="56"/>
  <c r="V14" i="56"/>
  <c r="U5" i="56"/>
  <c r="S9" i="56"/>
  <c r="AA9" i="54"/>
  <c r="AA12" i="54"/>
  <c r="AA9" i="55"/>
  <c r="AA13" i="55"/>
  <c r="R14" i="55"/>
  <c r="S9" i="55" s="1"/>
  <c r="AA10" i="55"/>
  <c r="O14" i="54"/>
  <c r="P9" i="54" s="1"/>
  <c r="AA8" i="55"/>
  <c r="U14" i="54"/>
  <c r="V10" i="54" s="1"/>
  <c r="AA11" i="55"/>
  <c r="AA13" i="54"/>
  <c r="AA11" i="54"/>
  <c r="AA10" i="54"/>
  <c r="R14" i="54"/>
  <c r="S8" i="54" s="1"/>
  <c r="AA8" i="54"/>
  <c r="O14" i="55"/>
  <c r="P9" i="55" s="1"/>
  <c r="AA12" i="55"/>
  <c r="U14" i="55"/>
  <c r="V10" i="55" s="1"/>
  <c r="BG15" i="56"/>
  <c r="BF15" i="56"/>
  <c r="BI15" i="56"/>
  <c r="BH15" i="56"/>
  <c r="BD16" i="56"/>
  <c r="BC17" i="56"/>
  <c r="BG15" i="55"/>
  <c r="BF15" i="55"/>
  <c r="BH15" i="55"/>
  <c r="BI15" i="55"/>
  <c r="BD16" i="55"/>
  <c r="BC17" i="55"/>
  <c r="BF13" i="54"/>
  <c r="BH13" i="54"/>
  <c r="BI13" i="54"/>
  <c r="BG13" i="54"/>
  <c r="BC15" i="54"/>
  <c r="BD14" i="54"/>
  <c r="BA63" i="5"/>
  <c r="O11" i="10"/>
  <c r="O14" i="10" s="1"/>
  <c r="O13" i="10" s="1"/>
  <c r="E58" i="52"/>
  <c r="AY24" i="52"/>
  <c r="AL60" i="52"/>
  <c r="AK60" i="52"/>
  <c r="AM60" i="52" s="1"/>
  <c r="AL59" i="52"/>
  <c r="AK59" i="52"/>
  <c r="AM59" i="52" s="1"/>
  <c r="AK67" i="52"/>
  <c r="AM67" i="52" s="1"/>
  <c r="AL67" i="52"/>
  <c r="AK66" i="52"/>
  <c r="AM66" i="52" s="1"/>
  <c r="AL66" i="52"/>
  <c r="AL65" i="52"/>
  <c r="AK65" i="52"/>
  <c r="AM65" i="52" s="1"/>
  <c r="AY10" i="52"/>
  <c r="AY30" i="52"/>
  <c r="AY20" i="52"/>
  <c r="AY39" i="52"/>
  <c r="AY33" i="52"/>
  <c r="AY16" i="52"/>
  <c r="AY51" i="52"/>
  <c r="AY62" i="52"/>
  <c r="AY36" i="52"/>
  <c r="AY21" i="52"/>
  <c r="AY44" i="52"/>
  <c r="AY34" i="52"/>
  <c r="AY48" i="52"/>
  <c r="AY56" i="52"/>
  <c r="AY25" i="52"/>
  <c r="AY11" i="52"/>
  <c r="BC9" i="52"/>
  <c r="AY7" i="52"/>
  <c r="AY26" i="52"/>
  <c r="AY57" i="52"/>
  <c r="AY55" i="52"/>
  <c r="AY53" i="52"/>
  <c r="M11" i="52"/>
  <c r="AY27" i="52"/>
  <c r="AY17" i="52"/>
  <c r="AY12" i="52"/>
  <c r="Y14" i="52"/>
  <c r="AY58" i="52"/>
  <c r="AY50" i="52"/>
  <c r="AY49" i="52"/>
  <c r="AY18" i="52"/>
  <c r="AY35" i="52"/>
  <c r="AY37" i="52"/>
  <c r="AY23" i="52"/>
  <c r="AY63" i="52"/>
  <c r="AY13" i="52"/>
  <c r="AY9" i="52"/>
  <c r="M13" i="52"/>
  <c r="AY15" i="52"/>
  <c r="M12" i="52"/>
  <c r="AY8" i="52"/>
  <c r="AY61" i="52"/>
  <c r="AY54" i="52"/>
  <c r="AY40" i="52"/>
  <c r="AY32" i="52"/>
  <c r="AY45" i="52"/>
  <c r="AY29" i="52"/>
  <c r="AY41" i="52"/>
  <c r="AY46" i="52"/>
  <c r="AY60" i="52"/>
  <c r="M14" i="52"/>
  <c r="L5" i="52"/>
  <c r="AY59" i="52"/>
  <c r="AY52" i="52"/>
  <c r="AY31" i="52"/>
  <c r="AY19" i="52"/>
  <c r="AY14" i="52"/>
  <c r="M10" i="52"/>
  <c r="AY43" i="52"/>
  <c r="AY28" i="52"/>
  <c r="AY47" i="52"/>
  <c r="AY22" i="52"/>
  <c r="AY42" i="52"/>
  <c r="AY38" i="52"/>
  <c r="C78" i="52"/>
  <c r="L14" i="51"/>
  <c r="M11" i="51" s="1"/>
  <c r="BC9" i="51"/>
  <c r="AW57" i="51"/>
  <c r="AX57" i="51" s="1"/>
  <c r="AW33" i="51"/>
  <c r="AX33" i="51" s="1"/>
  <c r="AW37" i="51"/>
  <c r="AX37" i="51" s="1"/>
  <c r="AW29" i="51"/>
  <c r="AX29" i="51" s="1"/>
  <c r="AW55" i="51"/>
  <c r="AX55" i="51" s="1"/>
  <c r="AW47" i="51"/>
  <c r="AX47" i="51" s="1"/>
  <c r="AW20" i="51"/>
  <c r="AX20" i="51" s="1"/>
  <c r="AW17" i="51"/>
  <c r="AX17" i="51" s="1"/>
  <c r="AW36" i="51"/>
  <c r="AX36" i="51" s="1"/>
  <c r="AW35" i="51"/>
  <c r="AX35" i="51" s="1"/>
  <c r="AW32" i="51"/>
  <c r="AX32" i="51" s="1"/>
  <c r="AW31" i="51"/>
  <c r="AX31" i="51" s="1"/>
  <c r="AW18" i="51"/>
  <c r="AX18" i="51" s="1"/>
  <c r="AW62" i="51"/>
  <c r="AX62" i="51" s="1"/>
  <c r="AW51" i="51"/>
  <c r="AX51" i="51" s="1"/>
  <c r="AW45" i="51"/>
  <c r="AX45" i="51" s="1"/>
  <c r="AW43" i="51"/>
  <c r="AW41" i="51"/>
  <c r="AX41" i="51" s="1"/>
  <c r="AW39" i="51"/>
  <c r="AX39" i="51" s="1"/>
  <c r="AW28" i="51"/>
  <c r="AX28" i="51" s="1"/>
  <c r="AW26" i="51"/>
  <c r="AX26" i="51" s="1"/>
  <c r="AW24" i="51"/>
  <c r="AX24" i="51" s="1"/>
  <c r="AW22" i="51"/>
  <c r="AX22" i="51" s="1"/>
  <c r="AW7" i="51"/>
  <c r="AX7" i="51" s="1"/>
  <c r="AW8" i="51"/>
  <c r="AX8" i="51" s="1"/>
  <c r="AW9" i="51"/>
  <c r="AX9" i="51" s="1"/>
  <c r="AW10" i="51"/>
  <c r="AX10" i="51" s="1"/>
  <c r="AW14" i="51"/>
  <c r="AX14" i="51" s="1"/>
  <c r="AW11" i="51"/>
  <c r="AX11" i="51" s="1"/>
  <c r="AW12" i="51"/>
  <c r="AX12" i="51" s="1"/>
  <c r="AW15" i="51"/>
  <c r="AX15" i="51" s="1"/>
  <c r="AW19" i="51"/>
  <c r="AX19" i="51" s="1"/>
  <c r="AW16" i="51"/>
  <c r="AX16" i="51" s="1"/>
  <c r="AW53" i="51"/>
  <c r="AX53" i="51" s="1"/>
  <c r="AW21" i="51"/>
  <c r="AX21" i="51" s="1"/>
  <c r="AW23" i="51"/>
  <c r="AX23" i="51" s="1"/>
  <c r="AW25" i="51"/>
  <c r="AX25" i="51" s="1"/>
  <c r="AW27" i="51"/>
  <c r="AX27" i="51" s="1"/>
  <c r="AW58" i="51"/>
  <c r="AX58" i="51" s="1"/>
  <c r="AW60" i="51"/>
  <c r="AX60" i="51" s="1"/>
  <c r="AW13" i="51"/>
  <c r="AX13" i="51" s="1"/>
  <c r="AW49" i="51"/>
  <c r="AX49" i="51" s="1"/>
  <c r="AW34" i="51"/>
  <c r="AX34" i="51" s="1"/>
  <c r="AW40" i="51"/>
  <c r="AX40" i="51" s="1"/>
  <c r="AW42" i="51"/>
  <c r="AX42" i="51" s="1"/>
  <c r="AW44" i="51"/>
  <c r="AX44" i="51" s="1"/>
  <c r="AW50" i="51"/>
  <c r="AX50" i="51" s="1"/>
  <c r="AW52" i="51"/>
  <c r="AX52" i="51" s="1"/>
  <c r="AW30" i="51"/>
  <c r="AX30" i="51" s="1"/>
  <c r="AW38" i="51"/>
  <c r="AX38" i="51" s="1"/>
  <c r="AX43" i="51"/>
  <c r="AW46" i="51"/>
  <c r="AX46" i="51" s="1"/>
  <c r="AW48" i="51"/>
  <c r="AX48" i="51" s="1"/>
  <c r="AW54" i="51"/>
  <c r="AX54" i="51" s="1"/>
  <c r="AW56" i="51"/>
  <c r="AX56" i="51" s="1"/>
  <c r="AW61" i="51"/>
  <c r="AX61" i="51" s="1"/>
  <c r="AW63" i="51"/>
  <c r="AX63" i="51" s="1"/>
  <c r="AW59" i="51"/>
  <c r="AX59" i="51" s="1"/>
  <c r="AL4" i="50"/>
  <c r="AK4" i="50"/>
  <c r="AJ4" i="50"/>
  <c r="AL58" i="52"/>
  <c r="AK58" i="52"/>
  <c r="E63" i="52"/>
  <c r="E62" i="52"/>
  <c r="AK11" i="52"/>
  <c r="G7" i="51"/>
  <c r="AL11" i="52"/>
  <c r="E10" i="52"/>
  <c r="C78" i="51" l="1"/>
  <c r="O5" i="54"/>
  <c r="AM11" i="52"/>
  <c r="AG11" i="52"/>
  <c r="AH11" i="52"/>
  <c r="L5" i="51"/>
  <c r="M8" i="51"/>
  <c r="M14" i="51"/>
  <c r="M12" i="51"/>
  <c r="M13" i="51"/>
  <c r="M10" i="51"/>
  <c r="M9" i="51"/>
  <c r="S14" i="55"/>
  <c r="P10" i="55"/>
  <c r="O5" i="55"/>
  <c r="P14" i="55"/>
  <c r="P8" i="55"/>
  <c r="P12" i="55"/>
  <c r="P14" i="54"/>
  <c r="S8" i="55"/>
  <c r="P10" i="54"/>
  <c r="P8" i="54"/>
  <c r="S12" i="55"/>
  <c r="S10" i="55"/>
  <c r="R5" i="55"/>
  <c r="S11" i="55"/>
  <c r="P11" i="55"/>
  <c r="P13" i="55"/>
  <c r="P11" i="54"/>
  <c r="P13" i="54"/>
  <c r="P12" i="54"/>
  <c r="V14" i="54"/>
  <c r="S14" i="54"/>
  <c r="R5" i="54"/>
  <c r="V12" i="54"/>
  <c r="S9" i="54"/>
  <c r="U5" i="54"/>
  <c r="S11" i="54"/>
  <c r="S10" i="54"/>
  <c r="S12" i="54"/>
  <c r="AA14" i="55"/>
  <c r="AA14" i="54"/>
  <c r="V12" i="55"/>
  <c r="V14" i="55"/>
  <c r="U5" i="55"/>
  <c r="BD17" i="56"/>
  <c r="BC18" i="56"/>
  <c r="BH16" i="56"/>
  <c r="BI16" i="56"/>
  <c r="BG16" i="56"/>
  <c r="BF16" i="56"/>
  <c r="BC18" i="55"/>
  <c r="BD17" i="55"/>
  <c r="BI16" i="55"/>
  <c r="BH16" i="55"/>
  <c r="BG16" i="55"/>
  <c r="BF16" i="55"/>
  <c r="BD15" i="54"/>
  <c r="BC16" i="54"/>
  <c r="BI14" i="54"/>
  <c r="BF14" i="54"/>
  <c r="BH14" i="54"/>
  <c r="BG14" i="54"/>
  <c r="BD8" i="52"/>
  <c r="BI8" i="52" s="1"/>
  <c r="AM58" i="52"/>
  <c r="AG58" i="52"/>
  <c r="AH58" i="52"/>
  <c r="AG63" i="52"/>
  <c r="AH63" i="52"/>
  <c r="BD9" i="52"/>
  <c r="BC10" i="52"/>
  <c r="BD7" i="52"/>
  <c r="Y14" i="51"/>
  <c r="AY56" i="51"/>
  <c r="AY52" i="51"/>
  <c r="AY10" i="51"/>
  <c r="AY57" i="51"/>
  <c r="AY16" i="51"/>
  <c r="AY9" i="51"/>
  <c r="AY48" i="51"/>
  <c r="AY60" i="51"/>
  <c r="AY8" i="51"/>
  <c r="AY39" i="51"/>
  <c r="AY20" i="51"/>
  <c r="AY24" i="51"/>
  <c r="AY59" i="51"/>
  <c r="AY46" i="51"/>
  <c r="AY49" i="51"/>
  <c r="AY58" i="51"/>
  <c r="AY53" i="51"/>
  <c r="AY28" i="51"/>
  <c r="AY11" i="51"/>
  <c r="AY41" i="51"/>
  <c r="AY47" i="51"/>
  <c r="AY33" i="51"/>
  <c r="AY63" i="51"/>
  <c r="AY54" i="51"/>
  <c r="AY43" i="51"/>
  <c r="AY30" i="51"/>
  <c r="AY50" i="51"/>
  <c r="AY34" i="51"/>
  <c r="AY13" i="51"/>
  <c r="AY21" i="51"/>
  <c r="AY32" i="51"/>
  <c r="AY7" i="51"/>
  <c r="AY26" i="51"/>
  <c r="AY18" i="51"/>
  <c r="AY36" i="51"/>
  <c r="AY55" i="51"/>
  <c r="AY61" i="51"/>
  <c r="AY44" i="51"/>
  <c r="AY31" i="51"/>
  <c r="AY27" i="51"/>
  <c r="AY19" i="51"/>
  <c r="AY12" i="51"/>
  <c r="AY45" i="51"/>
  <c r="AY17" i="51"/>
  <c r="AY29" i="51"/>
  <c r="AY35" i="51"/>
  <c r="AY40" i="51"/>
  <c r="AY23" i="51"/>
  <c r="AY15" i="51"/>
  <c r="AY62" i="51"/>
  <c r="AY38" i="51"/>
  <c r="AY42" i="51"/>
  <c r="AY25" i="51"/>
  <c r="AY14" i="51"/>
  <c r="AY22" i="51"/>
  <c r="AY51" i="51"/>
  <c r="AY37" i="51"/>
  <c r="BC10" i="51"/>
  <c r="BC19" i="56" l="1"/>
  <c r="BD18" i="56"/>
  <c r="BI17" i="56"/>
  <c r="BG17" i="56"/>
  <c r="BF17" i="56"/>
  <c r="BH17" i="56"/>
  <c r="BF17" i="55"/>
  <c r="BG17" i="55"/>
  <c r="BH17" i="55"/>
  <c r="BI17" i="55"/>
  <c r="BC19" i="55"/>
  <c r="BD18" i="55"/>
  <c r="BD16" i="54"/>
  <c r="BC17" i="54"/>
  <c r="BH15" i="54"/>
  <c r="BF15" i="54"/>
  <c r="BI15" i="54"/>
  <c r="BG15" i="54"/>
  <c r="BG8" i="52"/>
  <c r="BF8" i="52"/>
  <c r="BH8" i="52"/>
  <c r="BI7" i="52"/>
  <c r="BF7" i="52"/>
  <c r="BG7" i="52"/>
  <c r="BH7" i="52"/>
  <c r="BD10" i="52"/>
  <c r="BC11" i="52"/>
  <c r="BI9" i="52"/>
  <c r="BH9" i="52"/>
  <c r="BG9" i="52"/>
  <c r="BF9" i="52"/>
  <c r="BD9" i="51"/>
  <c r="BG9" i="51" s="1"/>
  <c r="BD8" i="51"/>
  <c r="BD7" i="51"/>
  <c r="BC11" i="51"/>
  <c r="BD10" i="51"/>
  <c r="C68" i="50"/>
  <c r="AH67" i="50"/>
  <c r="AG67" i="50"/>
  <c r="AF67" i="50"/>
  <c r="AH66" i="50"/>
  <c r="AG66" i="50"/>
  <c r="AF66" i="50"/>
  <c r="AH65" i="50"/>
  <c r="AG65" i="50"/>
  <c r="AF65" i="50"/>
  <c r="AH64" i="50"/>
  <c r="AG64" i="50"/>
  <c r="AF64" i="50"/>
  <c r="AV63" i="50"/>
  <c r="AV62" i="50"/>
  <c r="AV61" i="50"/>
  <c r="AH61" i="50"/>
  <c r="AG61" i="50"/>
  <c r="AF61" i="50"/>
  <c r="AF62" i="50" s="1"/>
  <c r="AF63" i="50" s="1"/>
  <c r="G61" i="50"/>
  <c r="AV60" i="50"/>
  <c r="AH60" i="50"/>
  <c r="AG60" i="50"/>
  <c r="AF60" i="50"/>
  <c r="G60" i="50"/>
  <c r="AV59" i="50"/>
  <c r="AV58" i="50"/>
  <c r="AV57" i="50"/>
  <c r="AV56" i="50"/>
  <c r="AV55" i="50"/>
  <c r="AV54" i="50"/>
  <c r="AV53" i="50"/>
  <c r="AV52" i="50"/>
  <c r="AV51" i="50"/>
  <c r="AV50" i="50"/>
  <c r="AV49" i="50"/>
  <c r="AV48" i="50"/>
  <c r="AV47" i="50"/>
  <c r="AV46" i="50"/>
  <c r="AV45" i="50"/>
  <c r="AV44" i="50"/>
  <c r="AV43" i="50"/>
  <c r="AV42" i="50"/>
  <c r="AV41" i="50"/>
  <c r="AV40" i="50"/>
  <c r="AV39" i="50"/>
  <c r="AV38" i="50"/>
  <c r="AV37" i="50"/>
  <c r="AV36" i="50"/>
  <c r="AV35" i="50"/>
  <c r="AV34" i="50"/>
  <c r="AV33" i="50"/>
  <c r="AV32" i="50"/>
  <c r="AV31" i="50"/>
  <c r="AV30" i="50"/>
  <c r="AV29" i="50"/>
  <c r="AV28" i="50"/>
  <c r="AV27" i="50"/>
  <c r="AV26" i="50"/>
  <c r="AV25" i="50"/>
  <c r="AV24" i="50"/>
  <c r="AV23" i="50"/>
  <c r="AV22" i="50"/>
  <c r="AV21" i="50"/>
  <c r="AV20" i="50"/>
  <c r="AV19" i="50"/>
  <c r="AV18" i="50"/>
  <c r="AV17" i="50"/>
  <c r="AV16" i="50"/>
  <c r="L16" i="50" a="1"/>
  <c r="L16" i="50" s="1"/>
  <c r="AV15" i="50"/>
  <c r="AV14" i="50"/>
  <c r="AV13" i="50"/>
  <c r="L13" i="50"/>
  <c r="AV12" i="50"/>
  <c r="L12" i="50"/>
  <c r="AV11" i="50"/>
  <c r="L11" i="50"/>
  <c r="AV10" i="50"/>
  <c r="L10" i="50"/>
  <c r="AV9" i="50"/>
  <c r="L9" i="50"/>
  <c r="AV8" i="50"/>
  <c r="L8" i="50"/>
  <c r="BC7" i="50"/>
  <c r="BC8" i="50" s="1"/>
  <c r="AV7" i="50"/>
  <c r="AF7" i="50"/>
  <c r="AF8" i="50" s="1"/>
  <c r="AF9" i="50" s="1"/>
  <c r="AF10" i="50" s="1"/>
  <c r="AF11" i="50" s="1"/>
  <c r="AF12" i="50" s="1"/>
  <c r="AF13" i="50" s="1"/>
  <c r="AF14" i="50" s="1"/>
  <c r="AF15" i="50" s="1"/>
  <c r="AF16" i="50" s="1"/>
  <c r="AF17" i="50" s="1"/>
  <c r="AF18" i="50" s="1"/>
  <c r="AF19" i="50" s="1"/>
  <c r="AF20" i="50" s="1"/>
  <c r="AF21" i="50" s="1"/>
  <c r="AF22" i="50" s="1"/>
  <c r="AF23" i="50" s="1"/>
  <c r="AF24" i="50" s="1"/>
  <c r="AF25" i="50" s="1"/>
  <c r="AF26" i="50" s="1"/>
  <c r="AF27" i="50" s="1"/>
  <c r="AF28" i="50" s="1"/>
  <c r="AF29" i="50" s="1"/>
  <c r="AF30" i="50" s="1"/>
  <c r="AF31" i="50" s="1"/>
  <c r="AF32" i="50" s="1"/>
  <c r="AF33" i="50" s="1"/>
  <c r="AF34" i="50" s="1"/>
  <c r="AF35" i="50" s="1"/>
  <c r="AF36" i="50" s="1"/>
  <c r="AF37" i="50" s="1"/>
  <c r="AF38" i="50" s="1"/>
  <c r="AF39" i="50" s="1"/>
  <c r="AF40" i="50" s="1"/>
  <c r="AF41" i="50" s="1"/>
  <c r="AF42" i="50" s="1"/>
  <c r="AF43" i="50" s="1"/>
  <c r="AF44" i="50" s="1"/>
  <c r="AF45" i="50" s="1"/>
  <c r="AF46" i="50" s="1"/>
  <c r="AF47" i="50" s="1"/>
  <c r="AF48" i="50" s="1"/>
  <c r="AF49" i="50" s="1"/>
  <c r="AF50" i="50" s="1"/>
  <c r="AF51" i="50" s="1"/>
  <c r="AF52" i="50" s="1"/>
  <c r="AF53" i="50" s="1"/>
  <c r="AF54" i="50" s="1"/>
  <c r="AF55" i="50" s="1"/>
  <c r="AF56" i="50" s="1"/>
  <c r="AF57" i="50" s="1"/>
  <c r="AF58" i="50" s="1"/>
  <c r="AF59" i="50" s="1"/>
  <c r="AL2" i="50"/>
  <c r="G3" i="50"/>
  <c r="AJ2" i="50"/>
  <c r="E2" i="50"/>
  <c r="E3" i="50" s="1"/>
  <c r="A1" i="50"/>
  <c r="BF18" i="56" l="1"/>
  <c r="BI18" i="56"/>
  <c r="BH18" i="56"/>
  <c r="BG18" i="56"/>
  <c r="BC20" i="56"/>
  <c r="BD19" i="56"/>
  <c r="BG18" i="55"/>
  <c r="BI18" i="55"/>
  <c r="BH18" i="55"/>
  <c r="BF18" i="55"/>
  <c r="BD19" i="55"/>
  <c r="BC20" i="55"/>
  <c r="BC18" i="54"/>
  <c r="BD17" i="54"/>
  <c r="BI16" i="54"/>
  <c r="BG16" i="54"/>
  <c r="BH16" i="54"/>
  <c r="BF16" i="54"/>
  <c r="BH9" i="51"/>
  <c r="BF9" i="51"/>
  <c r="BI9" i="51"/>
  <c r="BD11" i="52"/>
  <c r="BC12" i="52"/>
  <c r="BI10" i="52"/>
  <c r="BG10" i="52"/>
  <c r="BF10" i="52"/>
  <c r="BH10" i="52"/>
  <c r="BD11" i="51"/>
  <c r="BC12" i="51"/>
  <c r="BG10" i="51"/>
  <c r="BF10" i="51"/>
  <c r="BI10" i="51"/>
  <c r="BH10" i="51"/>
  <c r="BG7" i="51"/>
  <c r="BF7" i="51"/>
  <c r="BI7" i="51"/>
  <c r="BH7" i="51"/>
  <c r="BG8" i="51"/>
  <c r="BF8" i="51"/>
  <c r="BH8" i="51"/>
  <c r="BI8" i="51"/>
  <c r="AW8" i="50"/>
  <c r="AX8" i="50" s="1"/>
  <c r="AW9" i="50"/>
  <c r="AX9" i="50" s="1"/>
  <c r="AW7" i="50"/>
  <c r="AX7" i="50" s="1"/>
  <c r="AW13" i="50"/>
  <c r="AX13" i="50" s="1"/>
  <c r="AW21" i="50"/>
  <c r="AX21" i="50" s="1"/>
  <c r="AW29" i="50"/>
  <c r="AX29" i="50" s="1"/>
  <c r="AW37" i="50"/>
  <c r="AX37" i="50" s="1"/>
  <c r="AW45" i="50"/>
  <c r="AX45" i="50" s="1"/>
  <c r="AW53" i="50"/>
  <c r="AW62" i="50"/>
  <c r="AX62" i="50" s="1"/>
  <c r="AW60" i="50"/>
  <c r="AX60" i="50" s="1"/>
  <c r="AW63" i="50"/>
  <c r="AX63" i="50" s="1"/>
  <c r="AW11" i="50"/>
  <c r="AX11" i="50" s="1"/>
  <c r="AW17" i="50"/>
  <c r="AX17" i="50" s="1"/>
  <c r="AW25" i="50"/>
  <c r="AW33" i="50"/>
  <c r="AX33" i="50" s="1"/>
  <c r="AW41" i="50"/>
  <c r="AX41" i="50" s="1"/>
  <c r="AW49" i="50"/>
  <c r="AX49" i="50" s="1"/>
  <c r="AW57" i="50"/>
  <c r="AX57" i="50" s="1"/>
  <c r="AW10" i="50"/>
  <c r="AX10" i="50" s="1"/>
  <c r="AW12" i="50"/>
  <c r="AX12" i="50" s="1"/>
  <c r="AW16" i="50"/>
  <c r="AX16" i="50" s="1"/>
  <c r="AW20" i="50"/>
  <c r="AX20" i="50" s="1"/>
  <c r="AW24" i="50"/>
  <c r="AX24" i="50" s="1"/>
  <c r="AW28" i="50"/>
  <c r="AX28" i="50" s="1"/>
  <c r="AW32" i="50"/>
  <c r="AX32" i="50" s="1"/>
  <c r="AW36" i="50"/>
  <c r="AX36" i="50" s="1"/>
  <c r="AW40" i="50"/>
  <c r="AX40" i="50" s="1"/>
  <c r="AW44" i="50"/>
  <c r="AX44" i="50" s="1"/>
  <c r="AW48" i="50"/>
  <c r="AX48" i="50" s="1"/>
  <c r="AW52" i="50"/>
  <c r="AX52" i="50" s="1"/>
  <c r="AW56" i="50"/>
  <c r="AX56" i="50" s="1"/>
  <c r="BC9" i="50"/>
  <c r="AK2" i="50"/>
  <c r="AW15" i="50"/>
  <c r="AX15" i="50" s="1"/>
  <c r="AW23" i="50"/>
  <c r="AX23" i="50" s="1"/>
  <c r="AW43" i="50"/>
  <c r="AX43" i="50" s="1"/>
  <c r="L14" i="50"/>
  <c r="AX25" i="50"/>
  <c r="AX53" i="50"/>
  <c r="AW27" i="50"/>
  <c r="AX27" i="50" s="1"/>
  <c r="AW31" i="50"/>
  <c r="AX31" i="50" s="1"/>
  <c r="AW51" i="50"/>
  <c r="AX51" i="50" s="1"/>
  <c r="AW59" i="50"/>
  <c r="AX59" i="50" s="1"/>
  <c r="AW61" i="50"/>
  <c r="AX61" i="50" s="1"/>
  <c r="AW14" i="50"/>
  <c r="AX14" i="50" s="1"/>
  <c r="AW18" i="50"/>
  <c r="AX18" i="50" s="1"/>
  <c r="AW22" i="50"/>
  <c r="AX22" i="50" s="1"/>
  <c r="AW26" i="50"/>
  <c r="AX26" i="50" s="1"/>
  <c r="AW30" i="50"/>
  <c r="AX30" i="50" s="1"/>
  <c r="AW34" i="50"/>
  <c r="AX34" i="50" s="1"/>
  <c r="AW38" i="50"/>
  <c r="AX38" i="50" s="1"/>
  <c r="AW42" i="50"/>
  <c r="AX42" i="50" s="1"/>
  <c r="AW46" i="50"/>
  <c r="AX46" i="50" s="1"/>
  <c r="AW50" i="50"/>
  <c r="AX50" i="50" s="1"/>
  <c r="AW54" i="50"/>
  <c r="AX54" i="50" s="1"/>
  <c r="AW58" i="50"/>
  <c r="AX58" i="50" s="1"/>
  <c r="AW19" i="50"/>
  <c r="AX19" i="50" s="1"/>
  <c r="AW35" i="50"/>
  <c r="AX35" i="50" s="1"/>
  <c r="AW39" i="50"/>
  <c r="AX39" i="50" s="1"/>
  <c r="AW47" i="50"/>
  <c r="AX47" i="50" s="1"/>
  <c r="AW55" i="50"/>
  <c r="AX55" i="50" s="1"/>
  <c r="C68" i="49"/>
  <c r="AH67" i="49"/>
  <c r="AG67" i="49"/>
  <c r="AF67" i="49"/>
  <c r="AH66" i="49"/>
  <c r="AG66" i="49"/>
  <c r="AF66" i="49"/>
  <c r="AH65" i="49"/>
  <c r="AG65" i="49"/>
  <c r="AF65" i="49"/>
  <c r="AH64" i="49"/>
  <c r="AG64" i="49"/>
  <c r="AF64" i="49"/>
  <c r="AV63" i="49"/>
  <c r="AV62" i="49"/>
  <c r="AV61" i="49"/>
  <c r="AH61" i="49"/>
  <c r="AG61" i="49"/>
  <c r="AF61" i="49"/>
  <c r="AF62" i="49" s="1"/>
  <c r="AF63" i="49" s="1"/>
  <c r="G61" i="49"/>
  <c r="AV60" i="49"/>
  <c r="AH60" i="49"/>
  <c r="AG60" i="49"/>
  <c r="AF60" i="49"/>
  <c r="G60" i="49"/>
  <c r="AV59" i="49"/>
  <c r="AV58" i="49"/>
  <c r="AV57" i="49"/>
  <c r="AV56" i="49"/>
  <c r="AV55" i="49"/>
  <c r="AV54" i="49"/>
  <c r="AV53" i="49"/>
  <c r="AV52" i="49"/>
  <c r="AV51" i="49"/>
  <c r="AV50" i="49"/>
  <c r="AV49" i="49"/>
  <c r="AV48" i="49"/>
  <c r="AV47" i="49"/>
  <c r="AV46" i="49"/>
  <c r="AV45" i="49"/>
  <c r="AV44" i="49"/>
  <c r="AV43" i="49"/>
  <c r="AV42" i="49"/>
  <c r="AV41" i="49"/>
  <c r="AV40" i="49"/>
  <c r="AV39" i="49"/>
  <c r="AV38" i="49"/>
  <c r="AV37" i="49"/>
  <c r="AV36" i="49"/>
  <c r="AV35" i="49"/>
  <c r="AV34" i="49"/>
  <c r="AV33" i="49"/>
  <c r="AV32" i="49"/>
  <c r="AV31" i="49"/>
  <c r="AV30" i="49"/>
  <c r="AV29" i="49"/>
  <c r="AV28" i="49"/>
  <c r="AV27" i="49"/>
  <c r="AV26" i="49"/>
  <c r="AV25" i="49"/>
  <c r="AV24" i="49"/>
  <c r="AV23" i="49"/>
  <c r="AV22" i="49"/>
  <c r="AV21" i="49"/>
  <c r="AV20" i="49"/>
  <c r="AV19" i="49"/>
  <c r="AV18" i="49"/>
  <c r="AV17" i="49"/>
  <c r="AV16" i="49"/>
  <c r="L16" i="49" a="1"/>
  <c r="L16" i="49" s="1"/>
  <c r="AV15" i="49"/>
  <c r="AV14" i="49"/>
  <c r="AV13" i="49"/>
  <c r="L13" i="49"/>
  <c r="AV12" i="49"/>
  <c r="L12" i="49"/>
  <c r="AV11" i="49"/>
  <c r="L11" i="49"/>
  <c r="AV10" i="49"/>
  <c r="L10" i="49"/>
  <c r="AV9" i="49"/>
  <c r="L9" i="49"/>
  <c r="AV8" i="49"/>
  <c r="L8" i="49"/>
  <c r="BC7" i="49"/>
  <c r="BC8" i="49" s="1"/>
  <c r="BC9" i="49" s="1"/>
  <c r="BC10" i="49" s="1"/>
  <c r="BC11" i="49" s="1"/>
  <c r="BC12" i="49" s="1"/>
  <c r="AV7" i="49"/>
  <c r="AW7" i="49" s="1"/>
  <c r="AF7" i="49"/>
  <c r="AF8" i="49" s="1"/>
  <c r="AF9" i="49" s="1"/>
  <c r="AF10" i="49" s="1"/>
  <c r="AF11" i="49" s="1"/>
  <c r="AF12" i="49" s="1"/>
  <c r="AF13" i="49" s="1"/>
  <c r="AF14" i="49" s="1"/>
  <c r="AF15" i="49" s="1"/>
  <c r="AF16" i="49" s="1"/>
  <c r="AF17" i="49" s="1"/>
  <c r="AF18" i="49" s="1"/>
  <c r="AF19" i="49" s="1"/>
  <c r="AF20" i="49" s="1"/>
  <c r="AF21" i="49" s="1"/>
  <c r="AF22" i="49" s="1"/>
  <c r="AF23" i="49" s="1"/>
  <c r="AF24" i="49" s="1"/>
  <c r="AF25" i="49" s="1"/>
  <c r="AF26" i="49" s="1"/>
  <c r="AF27" i="49" s="1"/>
  <c r="AF28" i="49" s="1"/>
  <c r="AF29" i="49" s="1"/>
  <c r="AF30" i="49" s="1"/>
  <c r="AF31" i="49" s="1"/>
  <c r="AF32" i="49" s="1"/>
  <c r="AF33" i="49" s="1"/>
  <c r="AF34" i="49" s="1"/>
  <c r="AF35" i="49" s="1"/>
  <c r="AF36" i="49" s="1"/>
  <c r="AF37" i="49" s="1"/>
  <c r="AF38" i="49" s="1"/>
  <c r="AF39" i="49" s="1"/>
  <c r="AF40" i="49" s="1"/>
  <c r="AF41" i="49" s="1"/>
  <c r="AF42" i="49" s="1"/>
  <c r="AF43" i="49" s="1"/>
  <c r="AF44" i="49" s="1"/>
  <c r="AF45" i="49" s="1"/>
  <c r="AF46" i="49" s="1"/>
  <c r="AF47" i="49" s="1"/>
  <c r="AF48" i="49" s="1"/>
  <c r="AF49" i="49" s="1"/>
  <c r="AF50" i="49" s="1"/>
  <c r="AF51" i="49" s="1"/>
  <c r="AF52" i="49" s="1"/>
  <c r="AF53" i="49" s="1"/>
  <c r="AF54" i="49" s="1"/>
  <c r="AF55" i="49" s="1"/>
  <c r="AF56" i="49" s="1"/>
  <c r="AF57" i="49" s="1"/>
  <c r="AF58" i="49" s="1"/>
  <c r="AF59" i="49" s="1"/>
  <c r="AK4" i="49"/>
  <c r="AL4" i="49" s="1"/>
  <c r="AL2" i="49" s="1"/>
  <c r="G3" i="49"/>
  <c r="AJ2" i="49"/>
  <c r="E2" i="49"/>
  <c r="E3" i="49" s="1"/>
  <c r="A1" i="49"/>
  <c r="G59" i="50"/>
  <c r="BG19" i="56" l="1"/>
  <c r="BF19" i="56"/>
  <c r="BI19" i="56"/>
  <c r="BH19" i="56"/>
  <c r="BC21" i="56"/>
  <c r="BD20" i="56"/>
  <c r="BD20" i="55"/>
  <c r="BC21" i="55"/>
  <c r="BH19" i="55"/>
  <c r="BI19" i="55"/>
  <c r="BG19" i="55"/>
  <c r="BF19" i="55"/>
  <c r="BF17" i="54"/>
  <c r="BH17" i="54"/>
  <c r="BG17" i="54"/>
  <c r="BI17" i="54"/>
  <c r="BC19" i="54"/>
  <c r="BD18" i="54"/>
  <c r="BD12" i="52"/>
  <c r="BC13" i="52"/>
  <c r="BI11" i="52"/>
  <c r="BF11" i="52"/>
  <c r="BH11" i="52"/>
  <c r="BG11" i="52"/>
  <c r="BD12" i="51"/>
  <c r="BC13" i="51"/>
  <c r="BI11" i="51"/>
  <c r="BG11" i="51"/>
  <c r="BF11" i="51"/>
  <c r="BH11" i="51"/>
  <c r="AY54" i="50"/>
  <c r="AY22" i="50"/>
  <c r="AY58" i="50"/>
  <c r="AY42" i="50"/>
  <c r="AY26" i="50"/>
  <c r="AY8" i="50"/>
  <c r="AY50" i="50"/>
  <c r="AY34" i="50"/>
  <c r="AY18" i="50"/>
  <c r="AY38" i="50"/>
  <c r="AY61" i="50"/>
  <c r="AY46" i="50"/>
  <c r="AY30" i="50"/>
  <c r="AY14" i="50"/>
  <c r="AY16" i="50"/>
  <c r="AY32" i="50"/>
  <c r="AY62" i="50"/>
  <c r="AY48" i="50"/>
  <c r="AY9" i="50"/>
  <c r="AY39" i="50"/>
  <c r="AY27" i="50"/>
  <c r="AY49" i="50"/>
  <c r="AY33" i="50"/>
  <c r="L5" i="50"/>
  <c r="M9" i="50"/>
  <c r="M14" i="50"/>
  <c r="M13" i="50"/>
  <c r="M12" i="50"/>
  <c r="M11" i="50"/>
  <c r="M10" i="50"/>
  <c r="M8" i="50"/>
  <c r="AY59" i="50"/>
  <c r="AY47" i="50"/>
  <c r="AY31" i="50"/>
  <c r="AY45" i="50"/>
  <c r="AY29" i="50"/>
  <c r="Y14" i="50"/>
  <c r="AY15" i="50"/>
  <c r="AY52" i="50"/>
  <c r="AY36" i="50"/>
  <c r="AY20" i="50"/>
  <c r="AY10" i="50"/>
  <c r="BC10" i="50"/>
  <c r="AY35" i="50"/>
  <c r="AY7" i="50"/>
  <c r="AY53" i="50"/>
  <c r="AY37" i="50"/>
  <c r="AY21" i="50"/>
  <c r="AY43" i="50"/>
  <c r="AY60" i="50"/>
  <c r="AY44" i="50"/>
  <c r="AY28" i="50"/>
  <c r="AY13" i="50"/>
  <c r="C78" i="50"/>
  <c r="AY17" i="50"/>
  <c r="AY55" i="50"/>
  <c r="AY19" i="50"/>
  <c r="AY51" i="50"/>
  <c r="AY63" i="50"/>
  <c r="AY57" i="50"/>
  <c r="AY41" i="50"/>
  <c r="AY25" i="50"/>
  <c r="AY23" i="50"/>
  <c r="AY56" i="50"/>
  <c r="AY40" i="50"/>
  <c r="AY24" i="50"/>
  <c r="AY11" i="50"/>
  <c r="AY12" i="50"/>
  <c r="L14" i="49"/>
  <c r="M10" i="49" s="1"/>
  <c r="AW8" i="49"/>
  <c r="AX8" i="49" s="1"/>
  <c r="AW11" i="49"/>
  <c r="AX11" i="49" s="1"/>
  <c r="AW16" i="49"/>
  <c r="AX16" i="49" s="1"/>
  <c r="AW24" i="49"/>
  <c r="AX24" i="49" s="1"/>
  <c r="AW12" i="49"/>
  <c r="AX12" i="49" s="1"/>
  <c r="AW9" i="49"/>
  <c r="AX9" i="49" s="1"/>
  <c r="AW14" i="49"/>
  <c r="AX14" i="49" s="1"/>
  <c r="AW61" i="49"/>
  <c r="AX61" i="49" s="1"/>
  <c r="AW32" i="49"/>
  <c r="AX32" i="49" s="1"/>
  <c r="AW10" i="49"/>
  <c r="AX10" i="49" s="1"/>
  <c r="AW28" i="49"/>
  <c r="AX28" i="49" s="1"/>
  <c r="AW53" i="49"/>
  <c r="AX53" i="49" s="1"/>
  <c r="AW33" i="49"/>
  <c r="AX33" i="49" s="1"/>
  <c r="AW20" i="49"/>
  <c r="AX20" i="49" s="1"/>
  <c r="AW36" i="49"/>
  <c r="AX36" i="49" s="1"/>
  <c r="AW59" i="49"/>
  <c r="AX59" i="49" s="1"/>
  <c r="L5" i="49"/>
  <c r="AK2" i="49"/>
  <c r="BC13" i="49"/>
  <c r="AX7" i="49"/>
  <c r="AW13" i="49"/>
  <c r="AX13" i="49" s="1"/>
  <c r="AW15" i="49"/>
  <c r="AX15" i="49" s="1"/>
  <c r="AW17" i="49"/>
  <c r="AX17" i="49" s="1"/>
  <c r="AW19" i="49"/>
  <c r="AX19" i="49" s="1"/>
  <c r="AW21" i="49"/>
  <c r="AX21" i="49" s="1"/>
  <c r="AW23" i="49"/>
  <c r="AX23" i="49" s="1"/>
  <c r="AW25" i="49"/>
  <c r="AX25" i="49" s="1"/>
  <c r="AW27" i="49"/>
  <c r="AX27" i="49" s="1"/>
  <c r="AW29" i="49"/>
  <c r="AX29" i="49" s="1"/>
  <c r="AW31" i="49"/>
  <c r="AX31" i="49" s="1"/>
  <c r="AW35" i="49"/>
  <c r="AX35" i="49" s="1"/>
  <c r="AW51" i="49"/>
  <c r="AX51" i="49" s="1"/>
  <c r="AW63" i="49"/>
  <c r="AX63" i="49" s="1"/>
  <c r="AW60" i="49"/>
  <c r="AX60" i="49" s="1"/>
  <c r="AW56" i="49"/>
  <c r="AX56" i="49" s="1"/>
  <c r="AW52" i="49"/>
  <c r="AX52" i="49" s="1"/>
  <c r="AW48" i="49"/>
  <c r="AX48" i="49" s="1"/>
  <c r="AW62" i="49"/>
  <c r="AX62" i="49" s="1"/>
  <c r="AW55" i="49"/>
  <c r="AX55" i="49" s="1"/>
  <c r="AW47" i="49"/>
  <c r="AX47" i="49" s="1"/>
  <c r="AW43" i="49"/>
  <c r="AX43" i="49" s="1"/>
  <c r="AW38" i="49"/>
  <c r="AX38" i="49" s="1"/>
  <c r="AW34" i="49"/>
  <c r="AX34" i="49" s="1"/>
  <c r="AW30" i="49"/>
  <c r="AX30" i="49" s="1"/>
  <c r="AW26" i="49"/>
  <c r="AX26" i="49" s="1"/>
  <c r="AW22" i="49"/>
  <c r="AX22" i="49" s="1"/>
  <c r="AW18" i="49"/>
  <c r="AX18" i="49" s="1"/>
  <c r="AW44" i="49"/>
  <c r="AX44" i="49" s="1"/>
  <c r="C78" i="49"/>
  <c r="AW37" i="49"/>
  <c r="AX37" i="49" s="1"/>
  <c r="AW39" i="49"/>
  <c r="AX39" i="49" s="1"/>
  <c r="AW40" i="49"/>
  <c r="AX40" i="49" s="1"/>
  <c r="AW42" i="49"/>
  <c r="AX42" i="49" s="1"/>
  <c r="AW41" i="49"/>
  <c r="AX41" i="49" s="1"/>
  <c r="AW45" i="49"/>
  <c r="AX45" i="49" s="1"/>
  <c r="AW49" i="49"/>
  <c r="AX49" i="49" s="1"/>
  <c r="AW57" i="49"/>
  <c r="AX57" i="49" s="1"/>
  <c r="AW46" i="49"/>
  <c r="AX46" i="49" s="1"/>
  <c r="AW50" i="49"/>
  <c r="AX50" i="49" s="1"/>
  <c r="AW54" i="49"/>
  <c r="AX54" i="49" s="1"/>
  <c r="AW58" i="49"/>
  <c r="AX58" i="49" s="1"/>
  <c r="BU7" i="7"/>
  <c r="BS7" i="7"/>
  <c r="BR32" i="7"/>
  <c r="BU31" i="7"/>
  <c r="BS31" i="7"/>
  <c r="BQ21" i="7"/>
  <c r="BR22" i="7"/>
  <c r="BU21" i="7"/>
  <c r="BS21" i="7"/>
  <c r="BU11" i="7"/>
  <c r="BS11" i="7"/>
  <c r="BR12" i="7"/>
  <c r="B63" i="48"/>
  <c r="B64" i="48" s="1"/>
  <c r="B65" i="48" s="1"/>
  <c r="B66" i="48" s="1"/>
  <c r="B67" i="48" s="1"/>
  <c r="B68" i="48" s="1"/>
  <c r="B7" i="48"/>
  <c r="B8" i="48" s="1"/>
  <c r="B9" i="48" s="1"/>
  <c r="B10" i="48" s="1"/>
  <c r="B11" i="48" s="1"/>
  <c r="B12" i="48" s="1"/>
  <c r="B13" i="48" s="1"/>
  <c r="B14" i="48" s="1"/>
  <c r="B15" i="48" s="1"/>
  <c r="B16" i="48" s="1"/>
  <c r="B17" i="48" s="1"/>
  <c r="B18" i="48" s="1"/>
  <c r="B19" i="48" s="1"/>
  <c r="B20" i="48" s="1"/>
  <c r="B21" i="48" s="1"/>
  <c r="B22" i="48" s="1"/>
  <c r="B23" i="48" s="1"/>
  <c r="B24" i="48" s="1"/>
  <c r="B25" i="48" s="1"/>
  <c r="B26" i="48" s="1"/>
  <c r="B27" i="48" s="1"/>
  <c r="B28" i="48" s="1"/>
  <c r="B29" i="48" s="1"/>
  <c r="B30" i="48" s="1"/>
  <c r="B31" i="48" s="1"/>
  <c r="B32" i="48" s="1"/>
  <c r="B33" i="48" s="1"/>
  <c r="B34" i="48" s="1"/>
  <c r="B35" i="48" s="1"/>
  <c r="B36" i="48" s="1"/>
  <c r="B37" i="48" s="1"/>
  <c r="B38" i="48" s="1"/>
  <c r="B39" i="48" s="1"/>
  <c r="B40" i="48" s="1"/>
  <c r="B41" i="48" s="1"/>
  <c r="B42" i="48" s="1"/>
  <c r="B43" i="48" s="1"/>
  <c r="B44" i="48" s="1"/>
  <c r="B45" i="48" s="1"/>
  <c r="B46" i="48" s="1"/>
  <c r="B47" i="48" s="1"/>
  <c r="B48" i="48" s="1"/>
  <c r="B49" i="48" s="1"/>
  <c r="B50" i="48" s="1"/>
  <c r="B51" i="48" s="1"/>
  <c r="B52" i="48" s="1"/>
  <c r="B53" i="48" s="1"/>
  <c r="B54" i="48" s="1"/>
  <c r="B55" i="48" s="1"/>
  <c r="B56" i="48" s="1"/>
  <c r="B57" i="48" s="1"/>
  <c r="B58" i="48" s="1"/>
  <c r="B59" i="48" s="1"/>
  <c r="B60" i="48" s="1"/>
  <c r="B61" i="48" s="1"/>
  <c r="G62" i="47"/>
  <c r="AV63" i="43"/>
  <c r="AV62" i="43"/>
  <c r="AV61" i="43"/>
  <c r="AV60" i="43"/>
  <c r="AV59" i="43"/>
  <c r="AV58" i="43"/>
  <c r="AV57" i="43"/>
  <c r="AV56" i="43"/>
  <c r="AV55" i="43"/>
  <c r="AV54" i="43"/>
  <c r="AV53" i="43"/>
  <c r="AV52" i="43"/>
  <c r="AV51" i="43"/>
  <c r="AV50" i="43"/>
  <c r="AV49" i="43"/>
  <c r="AV48" i="43"/>
  <c r="AV47" i="43"/>
  <c r="AV46" i="43"/>
  <c r="AV45" i="43"/>
  <c r="AV44" i="43"/>
  <c r="AV43" i="43"/>
  <c r="AV42" i="43"/>
  <c r="AV41" i="43"/>
  <c r="AV40" i="43"/>
  <c r="AV39" i="43"/>
  <c r="AV38" i="43"/>
  <c r="AV37" i="43"/>
  <c r="AV36" i="43"/>
  <c r="AV35" i="43"/>
  <c r="AV34" i="43"/>
  <c r="AV33" i="43"/>
  <c r="AV32" i="43"/>
  <c r="AV31" i="43"/>
  <c r="AV30" i="43"/>
  <c r="AV29" i="43"/>
  <c r="AV28" i="43"/>
  <c r="AV27" i="43"/>
  <c r="AV26" i="43"/>
  <c r="AV25" i="43"/>
  <c r="AV24" i="43"/>
  <c r="AV23" i="43"/>
  <c r="AV22" i="43"/>
  <c r="AV21" i="43"/>
  <c r="AV20" i="43"/>
  <c r="AV19" i="43"/>
  <c r="AV18" i="43"/>
  <c r="AV17" i="43"/>
  <c r="AV16" i="43"/>
  <c r="AV15" i="43"/>
  <c r="AV14" i="43"/>
  <c r="AV13" i="43"/>
  <c r="AV12" i="43"/>
  <c r="AV11" i="43"/>
  <c r="AV10" i="43"/>
  <c r="AV9" i="43"/>
  <c r="AV8" i="43"/>
  <c r="BC7" i="43"/>
  <c r="BC8" i="43" s="1"/>
  <c r="AV7" i="43"/>
  <c r="AV63" i="40"/>
  <c r="AV62" i="40"/>
  <c r="AV61" i="40"/>
  <c r="AV60" i="40"/>
  <c r="AV59" i="40"/>
  <c r="AV58" i="40"/>
  <c r="AV57" i="40"/>
  <c r="AV56" i="40"/>
  <c r="AV55" i="40"/>
  <c r="AV54" i="40"/>
  <c r="AV53" i="40"/>
  <c r="AV52" i="40"/>
  <c r="AV51" i="40"/>
  <c r="AV50" i="40"/>
  <c r="AV49" i="40"/>
  <c r="AV48" i="40"/>
  <c r="AV47" i="40"/>
  <c r="AV46" i="40"/>
  <c r="AV45" i="40"/>
  <c r="AV44" i="40"/>
  <c r="AV43" i="40"/>
  <c r="AV42" i="40"/>
  <c r="AV41" i="40"/>
  <c r="AV40" i="40"/>
  <c r="AV39" i="40"/>
  <c r="AV38" i="40"/>
  <c r="AV37" i="40"/>
  <c r="AV36" i="40"/>
  <c r="AV35" i="40"/>
  <c r="AV34" i="40"/>
  <c r="AV33" i="40"/>
  <c r="AV32" i="40"/>
  <c r="AV31" i="40"/>
  <c r="AV30" i="40"/>
  <c r="AV29" i="40"/>
  <c r="AV28" i="40"/>
  <c r="AV27" i="40"/>
  <c r="AV26" i="40"/>
  <c r="AV25" i="40"/>
  <c r="AV24" i="40"/>
  <c r="AV23" i="40"/>
  <c r="AV22" i="40"/>
  <c r="AV21" i="40"/>
  <c r="AV20" i="40"/>
  <c r="AV19" i="40"/>
  <c r="AV18" i="40"/>
  <c r="AV17" i="40"/>
  <c r="AV16" i="40"/>
  <c r="AV15" i="40"/>
  <c r="AV14" i="40"/>
  <c r="AV13" i="40"/>
  <c r="AV12" i="40"/>
  <c r="AV11" i="40"/>
  <c r="AV10" i="40"/>
  <c r="AV9" i="40"/>
  <c r="AV8" i="40"/>
  <c r="BC7" i="40"/>
  <c r="BC8" i="40" s="1"/>
  <c r="AV7" i="40"/>
  <c r="AV63" i="34"/>
  <c r="AV62" i="34"/>
  <c r="AV61" i="34"/>
  <c r="AV60" i="34"/>
  <c r="AV59" i="34"/>
  <c r="AV58" i="34"/>
  <c r="AV57" i="34"/>
  <c r="AV56" i="34"/>
  <c r="AV55" i="34"/>
  <c r="AV54" i="34"/>
  <c r="AV53" i="34"/>
  <c r="AV52" i="34"/>
  <c r="AV51" i="34"/>
  <c r="AV50" i="34"/>
  <c r="AV49" i="34"/>
  <c r="AV48" i="34"/>
  <c r="AV47" i="34"/>
  <c r="AV46" i="34"/>
  <c r="AV45" i="34"/>
  <c r="AV44" i="34"/>
  <c r="AV43" i="34"/>
  <c r="AV42" i="34"/>
  <c r="AV41" i="34"/>
  <c r="AV40" i="34"/>
  <c r="AV39" i="34"/>
  <c r="AV38" i="34"/>
  <c r="AV37" i="34"/>
  <c r="AV36" i="34"/>
  <c r="AV35" i="34"/>
  <c r="AV34" i="34"/>
  <c r="AV33" i="34"/>
  <c r="AV32" i="34"/>
  <c r="AV31" i="34"/>
  <c r="AV30" i="34"/>
  <c r="AV29" i="34"/>
  <c r="AV28" i="34"/>
  <c r="AV27" i="34"/>
  <c r="AV26" i="34"/>
  <c r="AV25" i="34"/>
  <c r="AV24" i="34"/>
  <c r="AV23" i="34"/>
  <c r="AV22" i="34"/>
  <c r="AV21" i="34"/>
  <c r="AV20" i="34"/>
  <c r="AV19" i="34"/>
  <c r="AV18" i="34"/>
  <c r="AV17" i="34"/>
  <c r="AV16" i="34"/>
  <c r="AV15" i="34"/>
  <c r="AV14" i="34"/>
  <c r="AV13" i="34"/>
  <c r="AV12" i="34"/>
  <c r="AV11" i="34"/>
  <c r="AV10" i="34"/>
  <c r="AV9" i="34"/>
  <c r="AV8" i="34"/>
  <c r="BC7" i="34"/>
  <c r="AV7" i="34"/>
  <c r="AV63" i="45"/>
  <c r="AV62" i="45"/>
  <c r="AV61" i="45"/>
  <c r="AV60" i="45"/>
  <c r="AV59" i="45"/>
  <c r="AV58" i="45"/>
  <c r="AV57" i="45"/>
  <c r="AV56" i="45"/>
  <c r="AV55" i="45"/>
  <c r="AV54" i="45"/>
  <c r="AV53" i="45"/>
  <c r="AV52" i="45"/>
  <c r="AV51" i="45"/>
  <c r="AV50" i="45"/>
  <c r="AV49" i="45"/>
  <c r="AV48" i="45"/>
  <c r="AV47" i="45"/>
  <c r="AV46" i="45"/>
  <c r="AV45" i="45"/>
  <c r="AV44" i="45"/>
  <c r="AV43" i="45"/>
  <c r="AV42" i="45"/>
  <c r="AV41" i="45"/>
  <c r="AV40" i="45"/>
  <c r="AV39" i="45"/>
  <c r="AV38" i="45"/>
  <c r="AV37" i="45"/>
  <c r="AV36" i="45"/>
  <c r="AV35" i="45"/>
  <c r="AV34" i="45"/>
  <c r="AV33" i="45"/>
  <c r="AV32" i="45"/>
  <c r="AV31" i="45"/>
  <c r="AV30" i="45"/>
  <c r="AV29" i="45"/>
  <c r="AV28" i="45"/>
  <c r="AV27" i="45"/>
  <c r="AV26" i="45"/>
  <c r="AV25" i="45"/>
  <c r="AV24" i="45"/>
  <c r="AV23" i="45"/>
  <c r="AV22" i="45"/>
  <c r="AV21" i="45"/>
  <c r="AV20" i="45"/>
  <c r="AV19" i="45"/>
  <c r="AV18" i="45"/>
  <c r="AV17" i="45"/>
  <c r="AV16" i="45"/>
  <c r="AV15" i="45"/>
  <c r="AV14" i="45"/>
  <c r="AV13" i="45"/>
  <c r="AV12" i="45"/>
  <c r="AV11" i="45"/>
  <c r="AV10" i="45"/>
  <c r="AV9" i="45"/>
  <c r="AV8" i="45"/>
  <c r="BC7" i="45"/>
  <c r="BC8" i="45" s="1"/>
  <c r="AV7" i="45"/>
  <c r="AV63" i="46"/>
  <c r="AV62" i="46"/>
  <c r="AV61" i="46"/>
  <c r="AV60" i="46"/>
  <c r="AV59" i="46"/>
  <c r="AV58" i="46"/>
  <c r="AV57" i="46"/>
  <c r="AV56" i="46"/>
  <c r="AV55" i="46"/>
  <c r="AV54" i="46"/>
  <c r="AV53" i="46"/>
  <c r="AV52" i="46"/>
  <c r="AV51" i="46"/>
  <c r="AV50" i="46"/>
  <c r="AV49" i="46"/>
  <c r="AV48" i="46"/>
  <c r="AV47" i="46"/>
  <c r="AV46" i="46"/>
  <c r="AV45" i="46"/>
  <c r="AV44" i="46"/>
  <c r="AV43" i="46"/>
  <c r="AV42" i="46"/>
  <c r="AV41" i="46"/>
  <c r="AV40" i="46"/>
  <c r="AV39" i="46"/>
  <c r="AV38" i="46"/>
  <c r="AV37" i="46"/>
  <c r="AV36" i="46"/>
  <c r="AV35" i="46"/>
  <c r="AV34" i="46"/>
  <c r="AV33" i="46"/>
  <c r="AV32" i="46"/>
  <c r="AV31" i="46"/>
  <c r="AV30" i="46"/>
  <c r="AV29" i="46"/>
  <c r="AV28" i="46"/>
  <c r="AV27" i="46"/>
  <c r="AV26" i="46"/>
  <c r="AV25" i="46"/>
  <c r="AV24" i="46"/>
  <c r="AV23" i="46"/>
  <c r="AV22" i="46"/>
  <c r="AV21" i="46"/>
  <c r="AV20" i="46"/>
  <c r="AV19" i="46"/>
  <c r="AV18" i="46"/>
  <c r="AV17" i="46"/>
  <c r="AV16" i="46"/>
  <c r="AV15" i="46"/>
  <c r="AV14" i="46"/>
  <c r="AV13" i="46"/>
  <c r="AV12" i="46"/>
  <c r="AV11" i="46"/>
  <c r="AV10" i="46"/>
  <c r="AV9" i="46"/>
  <c r="AV8" i="46"/>
  <c r="BC7" i="46"/>
  <c r="BC8" i="46" s="1"/>
  <c r="AV7" i="46"/>
  <c r="AV63" i="47"/>
  <c r="AV62" i="47"/>
  <c r="AV61" i="47"/>
  <c r="AV60" i="47"/>
  <c r="AV59" i="47"/>
  <c r="AV58" i="47"/>
  <c r="AV57" i="47"/>
  <c r="AV56" i="47"/>
  <c r="AV55" i="47"/>
  <c r="AV54" i="47"/>
  <c r="AV53" i="47"/>
  <c r="AV52" i="47"/>
  <c r="AV51" i="47"/>
  <c r="AV50" i="47"/>
  <c r="AV49" i="47"/>
  <c r="AV48" i="47"/>
  <c r="AV47" i="47"/>
  <c r="AV46" i="47"/>
  <c r="AV45" i="47"/>
  <c r="AV44" i="47"/>
  <c r="AV43" i="47"/>
  <c r="AV42" i="47"/>
  <c r="AV41" i="47"/>
  <c r="AV40" i="47"/>
  <c r="AV39" i="47"/>
  <c r="AV38" i="47"/>
  <c r="AV37" i="47"/>
  <c r="AV36" i="47"/>
  <c r="AV35" i="47"/>
  <c r="AV34" i="47"/>
  <c r="AV33" i="47"/>
  <c r="AV32" i="47"/>
  <c r="AV31" i="47"/>
  <c r="AV30" i="47"/>
  <c r="AV29" i="47"/>
  <c r="AV28" i="47"/>
  <c r="AV27" i="47"/>
  <c r="AV26" i="47"/>
  <c r="AV25" i="47"/>
  <c r="AV24" i="47"/>
  <c r="AV23" i="47"/>
  <c r="AV22" i="47"/>
  <c r="AV21" i="47"/>
  <c r="AV20" i="47"/>
  <c r="AV19" i="47"/>
  <c r="AV18" i="47"/>
  <c r="AV17" i="47"/>
  <c r="AV16" i="47"/>
  <c r="AV15" i="47"/>
  <c r="AV14" i="47"/>
  <c r="AV13" i="47"/>
  <c r="AV12" i="47"/>
  <c r="AV11" i="47"/>
  <c r="AV10" i="47"/>
  <c r="AV9" i="47"/>
  <c r="AV8" i="47"/>
  <c r="AV7" i="47"/>
  <c r="C68" i="47"/>
  <c r="AH67" i="47"/>
  <c r="AG67" i="47"/>
  <c r="AF67" i="47"/>
  <c r="AH66" i="47"/>
  <c r="AG66" i="47"/>
  <c r="AF66" i="47"/>
  <c r="L16" i="47" a="1"/>
  <c r="L16" i="47" s="1"/>
  <c r="L13" i="47"/>
  <c r="L12" i="47"/>
  <c r="L11" i="47"/>
  <c r="L10" i="47"/>
  <c r="L9" i="47"/>
  <c r="L8" i="47"/>
  <c r="BC7" i="47"/>
  <c r="AF7" i="47"/>
  <c r="AF8" i="47" s="1"/>
  <c r="AF9" i="47" s="1"/>
  <c r="AF10" i="47" s="1"/>
  <c r="AF11" i="47" s="1"/>
  <c r="AF12" i="47" s="1"/>
  <c r="AF13" i="47" s="1"/>
  <c r="AF14" i="47" s="1"/>
  <c r="AF15" i="47" s="1"/>
  <c r="AF16" i="47" s="1"/>
  <c r="AF17" i="47" s="1"/>
  <c r="AF18" i="47" s="1"/>
  <c r="AF19" i="47" s="1"/>
  <c r="AF20" i="47" s="1"/>
  <c r="AF21" i="47" s="1"/>
  <c r="AF22" i="47" s="1"/>
  <c r="AF23" i="47" s="1"/>
  <c r="AF24" i="47" s="1"/>
  <c r="AF25" i="47" s="1"/>
  <c r="AF26" i="47" s="1"/>
  <c r="AF27" i="47" s="1"/>
  <c r="AF28" i="47" s="1"/>
  <c r="AF29" i="47" s="1"/>
  <c r="AF30" i="47" s="1"/>
  <c r="AF31" i="47" s="1"/>
  <c r="AF32" i="47" s="1"/>
  <c r="AF33" i="47" s="1"/>
  <c r="AF34" i="47" s="1"/>
  <c r="AF35" i="47" s="1"/>
  <c r="AF36" i="47" s="1"/>
  <c r="AF37" i="47" s="1"/>
  <c r="AF38" i="47" s="1"/>
  <c r="AF39" i="47" s="1"/>
  <c r="AF40" i="47" s="1"/>
  <c r="AF41" i="47" s="1"/>
  <c r="AF42" i="47" s="1"/>
  <c r="AF43" i="47" s="1"/>
  <c r="AF44" i="47" s="1"/>
  <c r="AF45" i="47" s="1"/>
  <c r="AF46" i="47" s="1"/>
  <c r="AF47" i="47" s="1"/>
  <c r="AF48" i="47" s="1"/>
  <c r="AF49" i="47" s="1"/>
  <c r="AF50" i="47" s="1"/>
  <c r="AF51" i="47" s="1"/>
  <c r="AF52" i="47" s="1"/>
  <c r="AF53" i="47" s="1"/>
  <c r="AF54" i="47" s="1"/>
  <c r="AF55" i="47" s="1"/>
  <c r="AF56" i="47" s="1"/>
  <c r="AF57" i="47" s="1"/>
  <c r="AF58" i="47" s="1"/>
  <c r="AF59" i="47" s="1"/>
  <c r="AF60" i="47" s="1"/>
  <c r="AF61" i="47" s="1"/>
  <c r="AF62" i="47" s="1"/>
  <c r="AF63" i="47" s="1"/>
  <c r="AF64" i="47" s="1"/>
  <c r="AF65" i="47" s="1"/>
  <c r="AK4" i="47"/>
  <c r="AL4" i="47" s="1"/>
  <c r="AL2" i="47" s="1"/>
  <c r="G3" i="47"/>
  <c r="AJ2" i="47"/>
  <c r="E2" i="47"/>
  <c r="E3" i="47" s="1"/>
  <c r="A1" i="47"/>
  <c r="C68" i="46"/>
  <c r="AH67" i="46"/>
  <c r="AG67" i="46"/>
  <c r="AF67" i="46"/>
  <c r="AH66" i="46"/>
  <c r="AG66" i="46"/>
  <c r="AF66" i="46"/>
  <c r="AH65" i="46"/>
  <c r="AG65" i="46"/>
  <c r="AF65" i="46"/>
  <c r="AH61" i="46"/>
  <c r="AG61" i="46"/>
  <c r="AF61" i="46"/>
  <c r="AF62" i="46" s="1"/>
  <c r="AF63" i="46" s="1"/>
  <c r="AF64" i="46" s="1"/>
  <c r="G61" i="46"/>
  <c r="L16" i="46" a="1"/>
  <c r="L16" i="46" s="1"/>
  <c r="L13" i="46"/>
  <c r="L12" i="46"/>
  <c r="L11" i="46"/>
  <c r="L10" i="46"/>
  <c r="L9" i="46"/>
  <c r="L8" i="46"/>
  <c r="AF7" i="46"/>
  <c r="AF8" i="46" s="1"/>
  <c r="AF9" i="46" s="1"/>
  <c r="AF10" i="46" s="1"/>
  <c r="AF11" i="46" s="1"/>
  <c r="AF12" i="46" s="1"/>
  <c r="AF13" i="46" s="1"/>
  <c r="AF14" i="46" s="1"/>
  <c r="AF15" i="46" s="1"/>
  <c r="AF16" i="46" s="1"/>
  <c r="AF17" i="46" s="1"/>
  <c r="AF18" i="46" s="1"/>
  <c r="AF19" i="46" s="1"/>
  <c r="AF20" i="46" s="1"/>
  <c r="AF21" i="46" s="1"/>
  <c r="AF22" i="46" s="1"/>
  <c r="AF23" i="46" s="1"/>
  <c r="AF24" i="46" s="1"/>
  <c r="AF25" i="46" s="1"/>
  <c r="AF26" i="46" s="1"/>
  <c r="AF27" i="46" s="1"/>
  <c r="AF28" i="46" s="1"/>
  <c r="AF29" i="46" s="1"/>
  <c r="AF30" i="46" s="1"/>
  <c r="AF31" i="46" s="1"/>
  <c r="AF32" i="46" s="1"/>
  <c r="AF33" i="46" s="1"/>
  <c r="AF34" i="46" s="1"/>
  <c r="AF35" i="46" s="1"/>
  <c r="AF36" i="46" s="1"/>
  <c r="AF37" i="46" s="1"/>
  <c r="AF38" i="46" s="1"/>
  <c r="AF39" i="46" s="1"/>
  <c r="AF40" i="46" s="1"/>
  <c r="AF41" i="46" s="1"/>
  <c r="AF42" i="46" s="1"/>
  <c r="AF43" i="46" s="1"/>
  <c r="AF44" i="46" s="1"/>
  <c r="AF45" i="46" s="1"/>
  <c r="AF46" i="46" s="1"/>
  <c r="AF47" i="46" s="1"/>
  <c r="AF48" i="46" s="1"/>
  <c r="AF49" i="46" s="1"/>
  <c r="AF50" i="46" s="1"/>
  <c r="AF51" i="46" s="1"/>
  <c r="AF52" i="46" s="1"/>
  <c r="AF53" i="46" s="1"/>
  <c r="AF54" i="46" s="1"/>
  <c r="AF55" i="46" s="1"/>
  <c r="AF56" i="46" s="1"/>
  <c r="AF57" i="46" s="1"/>
  <c r="AF58" i="46" s="1"/>
  <c r="AF59" i="46" s="1"/>
  <c r="AF60" i="46" s="1"/>
  <c r="AK4" i="46"/>
  <c r="AL4" i="46" s="1"/>
  <c r="AL2" i="46" s="1"/>
  <c r="G3" i="46"/>
  <c r="AJ2" i="46"/>
  <c r="E2" i="46"/>
  <c r="E3" i="46" s="1"/>
  <c r="A1" i="46"/>
  <c r="C68" i="45"/>
  <c r="AH67" i="45"/>
  <c r="AG67" i="45"/>
  <c r="AF67" i="45"/>
  <c r="AH66" i="45"/>
  <c r="AG66" i="45"/>
  <c r="AF66" i="45"/>
  <c r="AH65" i="45"/>
  <c r="AG65" i="45"/>
  <c r="AF65" i="45"/>
  <c r="AH61" i="45"/>
  <c r="AG61" i="45"/>
  <c r="AF61" i="45"/>
  <c r="AF62" i="45" s="1"/>
  <c r="AF63" i="45" s="1"/>
  <c r="AF64" i="45" s="1"/>
  <c r="G61" i="45"/>
  <c r="AH60" i="45"/>
  <c r="AG60" i="45"/>
  <c r="AF60" i="45"/>
  <c r="G60" i="45"/>
  <c r="L16" i="45" a="1"/>
  <c r="L16" i="45" s="1"/>
  <c r="L13" i="45"/>
  <c r="L12" i="45"/>
  <c r="L11" i="45"/>
  <c r="L10" i="45"/>
  <c r="L9" i="45"/>
  <c r="L8" i="45"/>
  <c r="AF7" i="45"/>
  <c r="AF8" i="45" s="1"/>
  <c r="AF9" i="45" s="1"/>
  <c r="AF10" i="45" s="1"/>
  <c r="AF11" i="45" s="1"/>
  <c r="AF12" i="45" s="1"/>
  <c r="AF13" i="45" s="1"/>
  <c r="AF14" i="45" s="1"/>
  <c r="AF15" i="45" s="1"/>
  <c r="AF16" i="45" s="1"/>
  <c r="AF17" i="45" s="1"/>
  <c r="AF18" i="45" s="1"/>
  <c r="AF19" i="45" s="1"/>
  <c r="AF20" i="45" s="1"/>
  <c r="AF21" i="45" s="1"/>
  <c r="AF22" i="45" s="1"/>
  <c r="AF23" i="45" s="1"/>
  <c r="AF24" i="45" s="1"/>
  <c r="AF25" i="45" s="1"/>
  <c r="AF26" i="45" s="1"/>
  <c r="AF27" i="45" s="1"/>
  <c r="AF28" i="45" s="1"/>
  <c r="AF29" i="45" s="1"/>
  <c r="AF30" i="45" s="1"/>
  <c r="AF31" i="45" s="1"/>
  <c r="AF32" i="45" s="1"/>
  <c r="AF33" i="45" s="1"/>
  <c r="AF34" i="45" s="1"/>
  <c r="AF35" i="45" s="1"/>
  <c r="AF36" i="45" s="1"/>
  <c r="AF37" i="45" s="1"/>
  <c r="AF38" i="45" s="1"/>
  <c r="AF39" i="45" s="1"/>
  <c r="AF40" i="45" s="1"/>
  <c r="AF41" i="45" s="1"/>
  <c r="AF42" i="45" s="1"/>
  <c r="AF43" i="45" s="1"/>
  <c r="AF44" i="45" s="1"/>
  <c r="AF45" i="45" s="1"/>
  <c r="AF46" i="45" s="1"/>
  <c r="AF47" i="45" s="1"/>
  <c r="AF48" i="45" s="1"/>
  <c r="AF49" i="45" s="1"/>
  <c r="AF50" i="45" s="1"/>
  <c r="AF51" i="45" s="1"/>
  <c r="AF52" i="45" s="1"/>
  <c r="AF53" i="45" s="1"/>
  <c r="AF54" i="45" s="1"/>
  <c r="AF55" i="45" s="1"/>
  <c r="AF56" i="45" s="1"/>
  <c r="AF57" i="45" s="1"/>
  <c r="AF58" i="45" s="1"/>
  <c r="AF59" i="45" s="1"/>
  <c r="AK4" i="45"/>
  <c r="AL4" i="45" s="1"/>
  <c r="AL2" i="45" s="1"/>
  <c r="G3" i="45"/>
  <c r="AJ2" i="45"/>
  <c r="E2" i="45"/>
  <c r="E3" i="45" s="1"/>
  <c r="A1" i="45"/>
  <c r="C68" i="34"/>
  <c r="C68" i="40"/>
  <c r="C68" i="43"/>
  <c r="B65" i="44"/>
  <c r="BJ21" i="7"/>
  <c r="BG21" i="7"/>
  <c r="BM21" i="7"/>
  <c r="AU21" i="7"/>
  <c r="BA21" i="7"/>
  <c r="CI12" i="7" l="1"/>
  <c r="CM12" i="7"/>
  <c r="CI22" i="7"/>
  <c r="CM22" i="7"/>
  <c r="CI32" i="7"/>
  <c r="CM32" i="7"/>
  <c r="CG12" i="7"/>
  <c r="CK12" i="7"/>
  <c r="CG22" i="7"/>
  <c r="CK22" i="7"/>
  <c r="CG32" i="7"/>
  <c r="CK32" i="7"/>
  <c r="AW8" i="34"/>
  <c r="AX8" i="34" s="1"/>
  <c r="CA12" i="7"/>
  <c r="CE12" i="7"/>
  <c r="CA22" i="7"/>
  <c r="CE22" i="7"/>
  <c r="CA32" i="7"/>
  <c r="CE32" i="7"/>
  <c r="AW12" i="34"/>
  <c r="AX12" i="34" s="1"/>
  <c r="AW16" i="34"/>
  <c r="AX16" i="34" s="1"/>
  <c r="AW54" i="34"/>
  <c r="AX54" i="34" s="1"/>
  <c r="AW10" i="34"/>
  <c r="AX10" i="34" s="1"/>
  <c r="AW7" i="46"/>
  <c r="AX7" i="46" s="1"/>
  <c r="AW17" i="46"/>
  <c r="AW11" i="34"/>
  <c r="AW24" i="34"/>
  <c r="AW36" i="34"/>
  <c r="AW10" i="46"/>
  <c r="AW8" i="45"/>
  <c r="AX8" i="45" s="1"/>
  <c r="AW9" i="34"/>
  <c r="AW14" i="34"/>
  <c r="AX14" i="34" s="1"/>
  <c r="AW13" i="46"/>
  <c r="AX13" i="46" s="1"/>
  <c r="AW15" i="34"/>
  <c r="AW22" i="34"/>
  <c r="AX22" i="34" s="1"/>
  <c r="AW30" i="34"/>
  <c r="AX30" i="34" s="1"/>
  <c r="AW38" i="34"/>
  <c r="AW12" i="46"/>
  <c r="AW13" i="34"/>
  <c r="CC12" i="7"/>
  <c r="BW12" i="7"/>
  <c r="CC22" i="7"/>
  <c r="BW22" i="7"/>
  <c r="CC32" i="7"/>
  <c r="BW32" i="7"/>
  <c r="BD21" i="56"/>
  <c r="BC22" i="56"/>
  <c r="BH20" i="56"/>
  <c r="BG20" i="56"/>
  <c r="BF20" i="56"/>
  <c r="BI20" i="56"/>
  <c r="BC22" i="55"/>
  <c r="BD21" i="55"/>
  <c r="BI20" i="55"/>
  <c r="BG20" i="55"/>
  <c r="BF20" i="55"/>
  <c r="BH20" i="55"/>
  <c r="BG18" i="54"/>
  <c r="BI18" i="54"/>
  <c r="BH18" i="54"/>
  <c r="BF18" i="54"/>
  <c r="BC20" i="54"/>
  <c r="BD19" i="54"/>
  <c r="BQ31" i="7"/>
  <c r="BS12" i="7"/>
  <c r="BY12" i="7"/>
  <c r="BU22" i="7"/>
  <c r="BY22" i="7"/>
  <c r="BU32" i="7"/>
  <c r="BY32" i="7"/>
  <c r="BC14" i="52"/>
  <c r="BD13" i="52"/>
  <c r="BI12" i="52"/>
  <c r="BH12" i="52"/>
  <c r="BG12" i="52"/>
  <c r="BF12" i="52"/>
  <c r="BC14" i="51"/>
  <c r="BD13" i="51"/>
  <c r="BI12" i="51"/>
  <c r="BF12" i="51"/>
  <c r="BH12" i="51"/>
  <c r="BG12" i="51"/>
  <c r="BD9" i="50"/>
  <c r="BI9" i="50" s="1"/>
  <c r="AH59" i="50"/>
  <c r="AG59" i="50"/>
  <c r="BC11" i="50"/>
  <c r="BD10" i="50"/>
  <c r="BD7" i="50"/>
  <c r="BD8" i="50"/>
  <c r="M13" i="49"/>
  <c r="M12" i="49"/>
  <c r="M11" i="49"/>
  <c r="Y14" i="49"/>
  <c r="M8" i="49"/>
  <c r="M9" i="49"/>
  <c r="M14" i="49"/>
  <c r="AY58" i="49"/>
  <c r="AY51" i="49"/>
  <c r="AY13" i="49"/>
  <c r="AY53" i="49"/>
  <c r="AY10" i="49"/>
  <c r="AY33" i="49"/>
  <c r="AY11" i="49"/>
  <c r="AY8" i="49"/>
  <c r="AY9" i="49"/>
  <c r="AY12" i="49"/>
  <c r="AY45" i="49"/>
  <c r="AY55" i="49"/>
  <c r="AY27" i="49"/>
  <c r="AY19" i="49"/>
  <c r="AY35" i="49"/>
  <c r="AY42" i="49"/>
  <c r="AY50" i="49"/>
  <c r="AY31" i="49"/>
  <c r="AY23" i="49"/>
  <c r="AY39" i="49"/>
  <c r="AY29" i="49"/>
  <c r="AY25" i="49"/>
  <c r="AY21" i="49"/>
  <c r="AY17" i="49"/>
  <c r="BC14" i="49"/>
  <c r="AY57" i="49"/>
  <c r="AY59" i="49"/>
  <c r="AY40" i="49"/>
  <c r="AY36" i="49"/>
  <c r="AY28" i="49"/>
  <c r="AY20" i="49"/>
  <c r="AY22" i="49"/>
  <c r="AY60" i="49"/>
  <c r="AY26" i="49"/>
  <c r="AY48" i="49"/>
  <c r="AY15" i="49"/>
  <c r="AY7" i="49"/>
  <c r="AY61" i="49"/>
  <c r="AY54" i="49"/>
  <c r="AY46" i="49"/>
  <c r="AY47" i="49"/>
  <c r="AY38" i="49"/>
  <c r="AY37" i="49"/>
  <c r="AY18" i="49"/>
  <c r="AY34" i="49"/>
  <c r="AY56" i="49"/>
  <c r="AY62" i="49"/>
  <c r="AY43" i="49"/>
  <c r="AY63" i="49"/>
  <c r="AY49" i="49"/>
  <c r="AY41" i="49"/>
  <c r="AY32" i="49"/>
  <c r="AY24" i="49"/>
  <c r="AY16" i="49"/>
  <c r="AY44" i="49"/>
  <c r="AY30" i="49"/>
  <c r="AY52" i="49"/>
  <c r="AY14" i="49"/>
  <c r="BR13" i="7"/>
  <c r="BU12" i="7"/>
  <c r="BR33" i="7"/>
  <c r="BS32" i="7"/>
  <c r="BR23" i="7"/>
  <c r="BS22" i="7"/>
  <c r="AK2" i="47"/>
  <c r="AW9" i="45"/>
  <c r="AX9" i="45" s="1"/>
  <c r="AW13" i="45"/>
  <c r="AW19" i="45"/>
  <c r="AW27" i="45"/>
  <c r="AX27" i="45" s="1"/>
  <c r="AW42" i="45"/>
  <c r="AW9" i="40"/>
  <c r="AX9" i="40" s="1"/>
  <c r="AW58" i="43"/>
  <c r="AX58" i="43" s="1"/>
  <c r="AW9" i="43"/>
  <c r="AX9" i="43" s="1"/>
  <c r="AW17" i="43"/>
  <c r="AX17" i="43" s="1"/>
  <c r="AW16" i="43"/>
  <c r="AX16" i="43" s="1"/>
  <c r="AW13" i="43"/>
  <c r="AX13" i="43" s="1"/>
  <c r="AW18" i="43"/>
  <c r="AX18" i="43" s="1"/>
  <c r="AW11" i="43"/>
  <c r="AX11" i="43" s="1"/>
  <c r="AW15" i="43"/>
  <c r="AX15" i="43" s="1"/>
  <c r="AW19" i="43"/>
  <c r="AX19" i="43" s="1"/>
  <c r="AW23" i="43"/>
  <c r="AX23" i="43" s="1"/>
  <c r="AW21" i="43"/>
  <c r="AX21" i="43" s="1"/>
  <c r="AW29" i="43"/>
  <c r="AX29" i="43" s="1"/>
  <c r="AW33" i="43"/>
  <c r="AX33" i="43" s="1"/>
  <c r="AW44" i="43"/>
  <c r="AX44" i="43" s="1"/>
  <c r="AW8" i="43"/>
  <c r="AX8" i="43" s="1"/>
  <c r="AW10" i="43"/>
  <c r="AX10" i="43" s="1"/>
  <c r="AW12" i="43"/>
  <c r="AX12" i="43" s="1"/>
  <c r="AW14" i="43"/>
  <c r="AX14" i="43" s="1"/>
  <c r="AW27" i="43"/>
  <c r="AX27" i="43" s="1"/>
  <c r="AW30" i="43"/>
  <c r="AX30" i="43" s="1"/>
  <c r="AW34" i="43"/>
  <c r="AX34" i="43" s="1"/>
  <c r="AW46" i="43"/>
  <c r="AX46" i="43" s="1"/>
  <c r="AW50" i="43"/>
  <c r="AX50" i="43" s="1"/>
  <c r="AW63" i="43"/>
  <c r="AX63" i="43" s="1"/>
  <c r="BC9" i="43"/>
  <c r="AW24" i="43"/>
  <c r="AX24" i="43" s="1"/>
  <c r="AW25" i="43"/>
  <c r="AX25" i="43" s="1"/>
  <c r="AW28" i="43"/>
  <c r="AX28" i="43" s="1"/>
  <c r="AW36" i="43"/>
  <c r="AX36" i="43" s="1"/>
  <c r="AW41" i="43"/>
  <c r="AX41" i="43" s="1"/>
  <c r="AW52" i="43"/>
  <c r="AX52" i="43" s="1"/>
  <c r="AW57" i="43"/>
  <c r="AX57" i="43" s="1"/>
  <c r="AW20" i="43"/>
  <c r="AX20" i="43" s="1"/>
  <c r="AW49" i="43"/>
  <c r="AX49" i="43" s="1"/>
  <c r="AW60" i="43"/>
  <c r="AX60" i="43" s="1"/>
  <c r="AW26" i="43"/>
  <c r="AX26" i="43" s="1"/>
  <c r="AW31" i="43"/>
  <c r="AX31" i="43" s="1"/>
  <c r="AW32" i="43"/>
  <c r="AX32" i="43" s="1"/>
  <c r="AW47" i="43"/>
  <c r="AX47" i="43" s="1"/>
  <c r="AW48" i="43"/>
  <c r="AX48" i="43" s="1"/>
  <c r="AW62" i="43"/>
  <c r="AX62" i="43" s="1"/>
  <c r="AW7" i="43"/>
  <c r="AX7" i="43" s="1"/>
  <c r="AW22" i="43"/>
  <c r="AX22" i="43" s="1"/>
  <c r="AW38" i="43"/>
  <c r="AX38" i="43" s="1"/>
  <c r="AW39" i="43"/>
  <c r="AX39" i="43" s="1"/>
  <c r="AW40" i="43"/>
  <c r="AX40" i="43" s="1"/>
  <c r="AW42" i="43"/>
  <c r="AX42" i="43" s="1"/>
  <c r="AW54" i="43"/>
  <c r="AX54" i="43" s="1"/>
  <c r="AW55" i="43"/>
  <c r="AX55" i="43" s="1"/>
  <c r="AW56" i="43"/>
  <c r="AX56" i="43" s="1"/>
  <c r="AW37" i="43"/>
  <c r="AX37" i="43" s="1"/>
  <c r="AW45" i="43"/>
  <c r="AX45" i="43" s="1"/>
  <c r="AW53" i="43"/>
  <c r="AX53" i="43" s="1"/>
  <c r="AW61" i="43"/>
  <c r="AX61" i="43" s="1"/>
  <c r="AW35" i="43"/>
  <c r="AX35" i="43" s="1"/>
  <c r="AW43" i="43"/>
  <c r="AX43" i="43" s="1"/>
  <c r="AW51" i="43"/>
  <c r="AX51" i="43" s="1"/>
  <c r="AW59" i="43"/>
  <c r="AX59" i="43" s="1"/>
  <c r="AW14" i="40"/>
  <c r="AX14" i="40" s="1"/>
  <c r="AW23" i="40"/>
  <c r="AX23" i="40" s="1"/>
  <c r="AW32" i="40"/>
  <c r="AX32" i="40" s="1"/>
  <c r="AW13" i="40"/>
  <c r="AX13" i="40" s="1"/>
  <c r="AW17" i="40"/>
  <c r="AX17" i="40" s="1"/>
  <c r="AW8" i="40"/>
  <c r="AX8" i="40" s="1"/>
  <c r="AW29" i="40"/>
  <c r="AX29" i="40" s="1"/>
  <c r="AW44" i="40"/>
  <c r="AX44" i="40" s="1"/>
  <c r="AW48" i="40"/>
  <c r="AX48" i="40" s="1"/>
  <c r="AW12" i="40"/>
  <c r="AX12" i="40" s="1"/>
  <c r="AW16" i="40"/>
  <c r="AX16" i="40" s="1"/>
  <c r="AW19" i="40"/>
  <c r="AX19" i="40" s="1"/>
  <c r="AW34" i="40"/>
  <c r="AX34" i="40" s="1"/>
  <c r="AW54" i="40"/>
  <c r="AW62" i="40"/>
  <c r="AX62" i="40" s="1"/>
  <c r="AW10" i="40"/>
  <c r="AX10" i="40" s="1"/>
  <c r="AW20" i="40"/>
  <c r="AX20" i="40" s="1"/>
  <c r="AW28" i="40"/>
  <c r="BC9" i="40"/>
  <c r="AW11" i="40"/>
  <c r="AX11" i="40" s="1"/>
  <c r="AW15" i="40"/>
  <c r="AX15" i="40" s="1"/>
  <c r="AW21" i="40"/>
  <c r="AX21" i="40" s="1"/>
  <c r="AW27" i="40"/>
  <c r="AX27" i="40" s="1"/>
  <c r="AW33" i="40"/>
  <c r="AX33" i="40" s="1"/>
  <c r="AW49" i="40"/>
  <c r="AX49" i="40" s="1"/>
  <c r="AW52" i="40"/>
  <c r="AX52" i="40" s="1"/>
  <c r="AW58" i="40"/>
  <c r="AX58" i="40" s="1"/>
  <c r="AW31" i="40"/>
  <c r="AX31" i="40" s="1"/>
  <c r="AW42" i="40"/>
  <c r="AX42" i="40" s="1"/>
  <c r="AW63" i="40"/>
  <c r="AX63" i="40" s="1"/>
  <c r="AW61" i="40"/>
  <c r="AX61" i="40" s="1"/>
  <c r="AW59" i="40"/>
  <c r="AX59" i="40" s="1"/>
  <c r="AW57" i="40"/>
  <c r="AX57" i="40" s="1"/>
  <c r="AW25" i="40"/>
  <c r="AX25" i="40" s="1"/>
  <c r="AW7" i="40"/>
  <c r="AX7" i="40" s="1"/>
  <c r="AW22" i="40"/>
  <c r="AX22" i="40" s="1"/>
  <c r="AW30" i="40"/>
  <c r="AX30" i="40" s="1"/>
  <c r="AW35" i="40"/>
  <c r="AX35" i="40" s="1"/>
  <c r="AW41" i="40"/>
  <c r="AX41" i="40" s="1"/>
  <c r="AW47" i="40"/>
  <c r="AX47" i="40" s="1"/>
  <c r="AW39" i="40"/>
  <c r="AX39" i="40" s="1"/>
  <c r="AW50" i="40"/>
  <c r="AX50" i="40" s="1"/>
  <c r="AW51" i="40"/>
  <c r="AX51" i="40" s="1"/>
  <c r="AW18" i="40"/>
  <c r="AX18" i="40" s="1"/>
  <c r="AW26" i="40"/>
  <c r="AX26" i="40" s="1"/>
  <c r="AX28" i="40"/>
  <c r="AW46" i="40"/>
  <c r="AX46" i="40" s="1"/>
  <c r="AW24" i="40"/>
  <c r="AX24" i="40" s="1"/>
  <c r="AW36" i="40"/>
  <c r="AX36" i="40" s="1"/>
  <c r="AW38" i="40"/>
  <c r="AX38" i="40" s="1"/>
  <c r="AW40" i="40"/>
  <c r="AX40" i="40" s="1"/>
  <c r="AW43" i="40"/>
  <c r="AX43" i="40" s="1"/>
  <c r="AX54" i="40"/>
  <c r="AW56" i="40"/>
  <c r="AX56" i="40" s="1"/>
  <c r="AW60" i="40"/>
  <c r="AX60" i="40" s="1"/>
  <c r="AW37" i="40"/>
  <c r="AX37" i="40" s="1"/>
  <c r="AW45" i="40"/>
  <c r="AX45" i="40" s="1"/>
  <c r="AW53" i="40"/>
  <c r="AX53" i="40" s="1"/>
  <c r="AW55" i="40"/>
  <c r="AX55" i="40" s="1"/>
  <c r="AW19" i="34"/>
  <c r="AX19" i="34" s="1"/>
  <c r="AW28" i="34"/>
  <c r="AX28" i="34" s="1"/>
  <c r="AW31" i="34"/>
  <c r="AX31" i="34" s="1"/>
  <c r="AW18" i="34"/>
  <c r="AX18" i="34" s="1"/>
  <c r="AW26" i="34"/>
  <c r="AX26" i="34" s="1"/>
  <c r="AW35" i="34"/>
  <c r="AX35" i="34" s="1"/>
  <c r="AW46" i="34"/>
  <c r="AX46" i="34" s="1"/>
  <c r="AW48" i="34"/>
  <c r="AX48" i="34" s="1"/>
  <c r="AW57" i="34"/>
  <c r="AX57" i="34" s="1"/>
  <c r="BC8" i="34"/>
  <c r="AX9" i="34"/>
  <c r="AX11" i="34"/>
  <c r="AX13" i="34"/>
  <c r="AX15" i="34"/>
  <c r="AW21" i="34"/>
  <c r="AX21" i="34" s="1"/>
  <c r="AX24" i="34"/>
  <c r="AW29" i="34"/>
  <c r="AX29" i="34" s="1"/>
  <c r="AW32" i="34"/>
  <c r="AX32" i="34" s="1"/>
  <c r="AW34" i="34"/>
  <c r="AX34" i="34" s="1"/>
  <c r="AX38" i="34"/>
  <c r="AW39" i="34"/>
  <c r="AX39" i="34" s="1"/>
  <c r="AW45" i="34"/>
  <c r="AX45" i="34" s="1"/>
  <c r="AW51" i="34"/>
  <c r="AX51" i="34" s="1"/>
  <c r="AW59" i="34"/>
  <c r="AX59" i="34" s="1"/>
  <c r="AW20" i="34"/>
  <c r="AX20" i="34" s="1"/>
  <c r="AW27" i="34"/>
  <c r="AX27" i="34" s="1"/>
  <c r="AW37" i="34"/>
  <c r="AX37" i="34" s="1"/>
  <c r="AW43" i="34"/>
  <c r="AX43" i="34" s="1"/>
  <c r="AW60" i="34"/>
  <c r="AX60" i="34" s="1"/>
  <c r="AW52" i="34"/>
  <c r="AX52" i="34" s="1"/>
  <c r="AW58" i="34"/>
  <c r="AX58" i="34" s="1"/>
  <c r="AW17" i="34"/>
  <c r="AX17" i="34" s="1"/>
  <c r="AW25" i="34"/>
  <c r="AX25" i="34" s="1"/>
  <c r="AW50" i="34"/>
  <c r="AX50" i="34" s="1"/>
  <c r="AW62" i="34"/>
  <c r="AX62" i="34" s="1"/>
  <c r="AW7" i="34"/>
  <c r="AX7" i="34" s="1"/>
  <c r="AW23" i="34"/>
  <c r="AX23" i="34" s="1"/>
  <c r="AX36" i="34"/>
  <c r="AW40" i="34"/>
  <c r="AX40" i="34" s="1"/>
  <c r="AW42" i="34"/>
  <c r="AX42" i="34" s="1"/>
  <c r="AW44" i="34"/>
  <c r="AX44" i="34" s="1"/>
  <c r="AW47" i="34"/>
  <c r="AX47" i="34" s="1"/>
  <c r="AW56" i="34"/>
  <c r="AX56" i="34" s="1"/>
  <c r="AW33" i="34"/>
  <c r="AX33" i="34" s="1"/>
  <c r="AW41" i="34"/>
  <c r="AX41" i="34" s="1"/>
  <c r="AW49" i="34"/>
  <c r="AX49" i="34" s="1"/>
  <c r="AW53" i="34"/>
  <c r="AX53" i="34" s="1"/>
  <c r="AW61" i="34"/>
  <c r="AX61" i="34" s="1"/>
  <c r="AW55" i="34"/>
  <c r="AX55" i="34" s="1"/>
  <c r="AW63" i="34"/>
  <c r="AX63" i="34" s="1"/>
  <c r="AW16" i="45"/>
  <c r="AX16" i="45" s="1"/>
  <c r="AW20" i="45"/>
  <c r="AW34" i="45"/>
  <c r="AX34" i="45" s="1"/>
  <c r="AW57" i="45"/>
  <c r="AX57" i="45" s="1"/>
  <c r="AW62" i="45"/>
  <c r="AX62" i="45" s="1"/>
  <c r="AX20" i="45"/>
  <c r="AW33" i="45"/>
  <c r="AX33" i="45" s="1"/>
  <c r="AW46" i="45"/>
  <c r="AX46" i="45" s="1"/>
  <c r="AW54" i="45"/>
  <c r="AX54" i="45" s="1"/>
  <c r="AW52" i="45"/>
  <c r="AX52" i="45" s="1"/>
  <c r="AW18" i="45"/>
  <c r="AX18" i="45" s="1"/>
  <c r="AW36" i="45"/>
  <c r="AX36" i="45" s="1"/>
  <c r="AW17" i="45"/>
  <c r="AX17" i="45" s="1"/>
  <c r="AW28" i="45"/>
  <c r="AX28" i="45" s="1"/>
  <c r="AW44" i="45"/>
  <c r="AX44" i="45" s="1"/>
  <c r="AW7" i="45"/>
  <c r="AX7" i="45" s="1"/>
  <c r="BC9" i="45"/>
  <c r="AW10" i="45"/>
  <c r="AX10" i="45" s="1"/>
  <c r="AX13" i="45"/>
  <c r="AW15" i="45"/>
  <c r="AX15" i="45" s="1"/>
  <c r="AW25" i="45"/>
  <c r="AX25" i="45" s="1"/>
  <c r="AW26" i="45"/>
  <c r="AX26" i="45" s="1"/>
  <c r="AW29" i="45"/>
  <c r="AX29" i="45" s="1"/>
  <c r="AW31" i="45"/>
  <c r="AX31" i="45" s="1"/>
  <c r="AW59" i="45"/>
  <c r="AX59" i="45" s="1"/>
  <c r="AX19" i="45"/>
  <c r="AW40" i="45"/>
  <c r="AX40" i="45" s="1"/>
  <c r="AW11" i="45"/>
  <c r="AX11" i="45" s="1"/>
  <c r="AW14" i="45"/>
  <c r="AX14" i="45" s="1"/>
  <c r="AW21" i="45"/>
  <c r="AX21" i="45" s="1"/>
  <c r="AW39" i="45"/>
  <c r="AX39" i="45" s="1"/>
  <c r="AW12" i="45"/>
  <c r="AX12" i="45" s="1"/>
  <c r="AW23" i="45"/>
  <c r="AX23" i="45" s="1"/>
  <c r="AX42" i="45"/>
  <c r="AW56" i="45"/>
  <c r="AX56" i="45" s="1"/>
  <c r="AW58" i="45"/>
  <c r="AX58" i="45" s="1"/>
  <c r="AW24" i="45"/>
  <c r="AX24" i="45" s="1"/>
  <c r="AW38" i="45"/>
  <c r="AX38" i="45" s="1"/>
  <c r="AW43" i="45"/>
  <c r="AX43" i="45" s="1"/>
  <c r="AW51" i="45"/>
  <c r="AX51" i="45" s="1"/>
  <c r="AW22" i="45"/>
  <c r="AX22" i="45" s="1"/>
  <c r="AW30" i="45"/>
  <c r="AX30" i="45" s="1"/>
  <c r="AW32" i="45"/>
  <c r="AX32" i="45" s="1"/>
  <c r="AW35" i="45"/>
  <c r="AX35" i="45" s="1"/>
  <c r="AW41" i="45"/>
  <c r="AX41" i="45" s="1"/>
  <c r="AW48" i="45"/>
  <c r="AX48" i="45" s="1"/>
  <c r="AW49" i="45"/>
  <c r="AX49" i="45" s="1"/>
  <c r="AW50" i="45"/>
  <c r="AX50" i="45" s="1"/>
  <c r="AW60" i="45"/>
  <c r="AX60" i="45" s="1"/>
  <c r="AW37" i="45"/>
  <c r="AX37" i="45" s="1"/>
  <c r="AW45" i="45"/>
  <c r="AX45" i="45" s="1"/>
  <c r="AW53" i="45"/>
  <c r="AX53" i="45" s="1"/>
  <c r="AW61" i="45"/>
  <c r="AX61" i="45" s="1"/>
  <c r="AW47" i="45"/>
  <c r="AX47" i="45" s="1"/>
  <c r="AW55" i="45"/>
  <c r="AX55" i="45" s="1"/>
  <c r="AW63" i="45"/>
  <c r="AX63" i="45" s="1"/>
  <c r="BC9" i="46"/>
  <c r="AW18" i="46"/>
  <c r="AX18" i="46" s="1"/>
  <c r="AW32" i="46"/>
  <c r="AX32" i="46" s="1"/>
  <c r="AW50" i="46"/>
  <c r="AX50" i="46" s="1"/>
  <c r="AW11" i="46"/>
  <c r="AX12" i="46"/>
  <c r="AW31" i="46"/>
  <c r="AX31" i="46" s="1"/>
  <c r="AW58" i="46"/>
  <c r="AX58" i="46" s="1"/>
  <c r="AW60" i="46"/>
  <c r="AX60" i="46" s="1"/>
  <c r="AW52" i="46"/>
  <c r="AX52" i="46" s="1"/>
  <c r="AW62" i="46"/>
  <c r="AX62" i="46" s="1"/>
  <c r="AW54" i="46"/>
  <c r="AX54" i="46" s="1"/>
  <c r="AW56" i="46"/>
  <c r="AX56" i="46" s="1"/>
  <c r="AW42" i="46"/>
  <c r="AX42" i="46" s="1"/>
  <c r="AW29" i="46"/>
  <c r="AX29" i="46" s="1"/>
  <c r="AW8" i="46"/>
  <c r="AX8" i="46" s="1"/>
  <c r="AW9" i="46"/>
  <c r="AX9" i="46" s="1"/>
  <c r="AX10" i="46"/>
  <c r="AX11" i="46"/>
  <c r="AW15" i="46"/>
  <c r="AX15" i="46" s="1"/>
  <c r="AW21" i="46"/>
  <c r="AX21" i="46" s="1"/>
  <c r="AW27" i="46"/>
  <c r="AX27" i="46" s="1"/>
  <c r="AW34" i="46"/>
  <c r="AX34" i="46" s="1"/>
  <c r="AW40" i="46"/>
  <c r="AX40" i="46" s="1"/>
  <c r="AW48" i="46"/>
  <c r="AX48" i="46" s="1"/>
  <c r="AW53" i="46"/>
  <c r="AX53" i="46" s="1"/>
  <c r="AW59" i="46"/>
  <c r="AX59" i="46" s="1"/>
  <c r="AX17" i="46"/>
  <c r="AW41" i="46"/>
  <c r="AX41" i="46" s="1"/>
  <c r="AW19" i="46"/>
  <c r="AX19" i="46" s="1"/>
  <c r="AW28" i="46"/>
  <c r="AX28" i="46" s="1"/>
  <c r="AW46" i="46"/>
  <c r="AX46" i="46" s="1"/>
  <c r="AW14" i="46"/>
  <c r="AX14" i="46" s="1"/>
  <c r="AW16" i="46"/>
  <c r="AX16" i="46" s="1"/>
  <c r="AW23" i="46"/>
  <c r="AX23" i="46" s="1"/>
  <c r="AW24" i="46"/>
  <c r="AX24" i="46" s="1"/>
  <c r="AW25" i="46"/>
  <c r="AX25" i="46" s="1"/>
  <c r="AW30" i="46"/>
  <c r="AX30" i="46" s="1"/>
  <c r="AW36" i="46"/>
  <c r="AX36" i="46" s="1"/>
  <c r="AW47" i="46"/>
  <c r="AX47" i="46" s="1"/>
  <c r="AW20" i="46"/>
  <c r="AX20" i="46" s="1"/>
  <c r="AW33" i="46"/>
  <c r="AX33" i="46" s="1"/>
  <c r="AW44" i="46"/>
  <c r="AX44" i="46" s="1"/>
  <c r="AW49" i="46"/>
  <c r="AX49" i="46" s="1"/>
  <c r="AW22" i="46"/>
  <c r="AX22" i="46" s="1"/>
  <c r="AW26" i="46"/>
  <c r="AX26" i="46" s="1"/>
  <c r="AW38" i="46"/>
  <c r="AX38" i="46" s="1"/>
  <c r="AW39" i="46"/>
  <c r="AX39" i="46" s="1"/>
  <c r="AW61" i="46"/>
  <c r="AX61" i="46" s="1"/>
  <c r="AW37" i="46"/>
  <c r="AX37" i="46" s="1"/>
  <c r="AW45" i="46"/>
  <c r="AX45" i="46" s="1"/>
  <c r="AW57" i="46"/>
  <c r="AX57" i="46" s="1"/>
  <c r="AW35" i="46"/>
  <c r="AX35" i="46" s="1"/>
  <c r="AW43" i="46"/>
  <c r="AX43" i="46" s="1"/>
  <c r="AW51" i="46"/>
  <c r="AX51" i="46" s="1"/>
  <c r="AW55" i="46"/>
  <c r="AX55" i="46" s="1"/>
  <c r="AW63" i="46"/>
  <c r="AX63" i="46" s="1"/>
  <c r="AW10" i="47"/>
  <c r="AW14" i="47"/>
  <c r="AX14" i="47" s="1"/>
  <c r="AW18" i="47"/>
  <c r="AX18" i="47" s="1"/>
  <c r="AW22" i="47"/>
  <c r="AX22" i="47" s="1"/>
  <c r="AW26" i="47"/>
  <c r="AW30" i="47"/>
  <c r="AX30" i="47" s="1"/>
  <c r="AW34" i="47"/>
  <c r="AX34" i="47" s="1"/>
  <c r="AW38" i="47"/>
  <c r="AX38" i="47" s="1"/>
  <c r="AW42" i="47"/>
  <c r="AW46" i="47"/>
  <c r="AX46" i="47" s="1"/>
  <c r="AW50" i="47"/>
  <c r="AX50" i="47" s="1"/>
  <c r="AW54" i="47"/>
  <c r="AX54" i="47" s="1"/>
  <c r="AW58" i="47"/>
  <c r="AW62" i="47"/>
  <c r="AX62" i="47" s="1"/>
  <c r="AW11" i="47"/>
  <c r="AX11" i="47" s="1"/>
  <c r="AW15" i="47"/>
  <c r="AX15" i="47" s="1"/>
  <c r="AW23" i="47"/>
  <c r="AW27" i="47"/>
  <c r="AX27" i="47" s="1"/>
  <c r="AW39" i="47"/>
  <c r="AX39" i="47" s="1"/>
  <c r="AW47" i="47"/>
  <c r="AX47" i="47" s="1"/>
  <c r="AW55" i="47"/>
  <c r="AW63" i="47"/>
  <c r="AX63" i="47" s="1"/>
  <c r="AW8" i="47"/>
  <c r="AX8" i="47" s="1"/>
  <c r="AW12" i="47"/>
  <c r="AX12" i="47" s="1"/>
  <c r="AW16" i="47"/>
  <c r="AX16" i="47" s="1"/>
  <c r="AW20" i="47"/>
  <c r="AX20" i="47" s="1"/>
  <c r="AW24" i="47"/>
  <c r="AX24" i="47" s="1"/>
  <c r="AW28" i="47"/>
  <c r="AX28" i="47" s="1"/>
  <c r="AW32" i="47"/>
  <c r="AX32" i="47" s="1"/>
  <c r="AW36" i="47"/>
  <c r="AX36" i="47" s="1"/>
  <c r="AW40" i="47"/>
  <c r="AX40" i="47" s="1"/>
  <c r="AW44" i="47"/>
  <c r="AX44" i="47" s="1"/>
  <c r="AW48" i="47"/>
  <c r="AW52" i="47"/>
  <c r="AX52" i="47" s="1"/>
  <c r="AW56" i="47"/>
  <c r="AX56" i="47" s="1"/>
  <c r="AW60" i="47"/>
  <c r="AX60" i="47" s="1"/>
  <c r="AW19" i="47"/>
  <c r="AX19" i="47" s="1"/>
  <c r="AW31" i="47"/>
  <c r="AX31" i="47" s="1"/>
  <c r="AW35" i="47"/>
  <c r="AX35" i="47" s="1"/>
  <c r="AW43" i="47"/>
  <c r="AX43" i="47" s="1"/>
  <c r="AW51" i="47"/>
  <c r="AX51" i="47" s="1"/>
  <c r="AW59" i="47"/>
  <c r="AX59" i="47" s="1"/>
  <c r="AW9" i="47"/>
  <c r="AX9" i="47" s="1"/>
  <c r="AW13" i="47"/>
  <c r="AX13" i="47" s="1"/>
  <c r="AW17" i="47"/>
  <c r="AW21" i="47"/>
  <c r="AW25" i="47"/>
  <c r="AX25" i="47" s="1"/>
  <c r="AW29" i="47"/>
  <c r="AX29" i="47" s="1"/>
  <c r="AW33" i="47"/>
  <c r="AW37" i="47"/>
  <c r="AX37" i="47" s="1"/>
  <c r="AW41" i="47"/>
  <c r="AX41" i="47" s="1"/>
  <c r="AW45" i="47"/>
  <c r="AX45" i="47" s="1"/>
  <c r="AW49" i="47"/>
  <c r="AX49" i="47" s="1"/>
  <c r="AW53" i="47"/>
  <c r="AX53" i="47" s="1"/>
  <c r="AW57" i="47"/>
  <c r="AX57" i="47" s="1"/>
  <c r="AW61" i="47"/>
  <c r="AX61" i="47" s="1"/>
  <c r="L14" i="47"/>
  <c r="M9" i="47" s="1"/>
  <c r="AX21" i="47"/>
  <c r="AX10" i="47"/>
  <c r="AX23" i="47"/>
  <c r="M11" i="47"/>
  <c r="AX55" i="47"/>
  <c r="AX58" i="47"/>
  <c r="BC8" i="47"/>
  <c r="C79" i="47"/>
  <c r="AW7" i="47"/>
  <c r="AX7" i="47" s="1"/>
  <c r="AX17" i="47"/>
  <c r="AX26" i="47"/>
  <c r="AX33" i="47"/>
  <c r="AX42" i="47"/>
  <c r="AX48" i="47"/>
  <c r="AK2" i="46"/>
  <c r="L14" i="46"/>
  <c r="M10" i="46" s="1"/>
  <c r="AK2" i="45"/>
  <c r="L14" i="45"/>
  <c r="M11" i="45" s="1"/>
  <c r="B58" i="44"/>
  <c r="B59" i="44" s="1"/>
  <c r="B60" i="44" s="1"/>
  <c r="B61" i="44" s="1"/>
  <c r="B62" i="44" s="1"/>
  <c r="B63" i="44" s="1"/>
  <c r="B7" i="44"/>
  <c r="B8" i="44" s="1"/>
  <c r="B9" i="44" s="1"/>
  <c r="B10" i="44" s="1"/>
  <c r="B11" i="44" s="1"/>
  <c r="B12" i="44" s="1"/>
  <c r="B13" i="44" s="1"/>
  <c r="B14" i="44" s="1"/>
  <c r="B15" i="44" s="1"/>
  <c r="B16" i="44" s="1"/>
  <c r="B17" i="44" s="1"/>
  <c r="B18" i="44" s="1"/>
  <c r="B19" i="44" s="1"/>
  <c r="B20" i="44" s="1"/>
  <c r="B21" i="44" s="1"/>
  <c r="B22" i="44" s="1"/>
  <c r="B23" i="44" s="1"/>
  <c r="B24" i="44" s="1"/>
  <c r="B25" i="44" s="1"/>
  <c r="B26" i="44" s="1"/>
  <c r="B27" i="44" s="1"/>
  <c r="B28" i="44" s="1"/>
  <c r="B29" i="44" s="1"/>
  <c r="B30" i="44" s="1"/>
  <c r="B31" i="44" s="1"/>
  <c r="B32" i="44" s="1"/>
  <c r="B33" i="44" s="1"/>
  <c r="B34" i="44" s="1"/>
  <c r="B35" i="44" s="1"/>
  <c r="B36" i="44" s="1"/>
  <c r="B37" i="44" s="1"/>
  <c r="B38" i="44" s="1"/>
  <c r="B39" i="44" s="1"/>
  <c r="B40" i="44" s="1"/>
  <c r="B41" i="44" s="1"/>
  <c r="B42" i="44" s="1"/>
  <c r="B43" i="44" s="1"/>
  <c r="B44" i="44" s="1"/>
  <c r="B45" i="44" s="1"/>
  <c r="B46" i="44" s="1"/>
  <c r="B47" i="44" s="1"/>
  <c r="B48" i="44" s="1"/>
  <c r="B49" i="44" s="1"/>
  <c r="B50" i="44" s="1"/>
  <c r="B51" i="44" s="1"/>
  <c r="B52" i="44" s="1"/>
  <c r="B53" i="44" s="1"/>
  <c r="B54" i="44" s="1"/>
  <c r="B55" i="44" s="1"/>
  <c r="B56" i="44" s="1"/>
  <c r="AX21" i="7"/>
  <c r="BD21" i="7"/>
  <c r="AU31" i="7"/>
  <c r="CI33" i="7" l="1"/>
  <c r="CM33" i="7"/>
  <c r="CI23" i="7"/>
  <c r="CM23" i="7"/>
  <c r="CI13" i="7"/>
  <c r="CM13" i="7"/>
  <c r="CG33" i="7"/>
  <c r="CK33" i="7"/>
  <c r="CK23" i="7"/>
  <c r="CG23" i="7"/>
  <c r="CK13" i="7"/>
  <c r="CG13" i="7"/>
  <c r="Y14" i="46"/>
  <c r="CA23" i="7"/>
  <c r="CE23" i="7"/>
  <c r="CA33" i="7"/>
  <c r="CE33" i="7"/>
  <c r="CA13" i="7"/>
  <c r="CE13" i="7"/>
  <c r="C79" i="46"/>
  <c r="M8" i="46"/>
  <c r="AY15" i="46"/>
  <c r="AY55" i="34"/>
  <c r="AY25" i="34"/>
  <c r="AY37" i="46"/>
  <c r="CC23" i="7"/>
  <c r="BW23" i="7"/>
  <c r="CC13" i="7"/>
  <c r="BW13" i="7"/>
  <c r="CC33" i="7"/>
  <c r="BW33" i="7"/>
  <c r="BC23" i="56"/>
  <c r="BD22" i="56"/>
  <c r="BI21" i="56"/>
  <c r="BH21" i="56"/>
  <c r="BG21" i="56"/>
  <c r="BF21" i="56"/>
  <c r="BF21" i="55"/>
  <c r="BI21" i="55"/>
  <c r="BH21" i="55"/>
  <c r="BG21" i="55"/>
  <c r="BC23" i="55"/>
  <c r="BD22" i="55"/>
  <c r="BH19" i="54"/>
  <c r="BF19" i="54"/>
  <c r="BG19" i="54"/>
  <c r="BI19" i="54"/>
  <c r="BD20" i="54"/>
  <c r="BC21" i="54"/>
  <c r="BH9" i="50"/>
  <c r="BY13" i="7"/>
  <c r="BY33" i="7"/>
  <c r="BY23" i="7"/>
  <c r="BR14" i="7"/>
  <c r="BI13" i="52"/>
  <c r="BH13" i="52"/>
  <c r="BG13" i="52"/>
  <c r="BF13" i="52"/>
  <c r="BC15" i="52"/>
  <c r="BD14" i="52"/>
  <c r="BF9" i="50"/>
  <c r="BG9" i="50"/>
  <c r="BC15" i="51"/>
  <c r="BD14" i="51"/>
  <c r="BI13" i="51"/>
  <c r="BF13" i="51"/>
  <c r="BH13" i="51"/>
  <c r="BG13" i="51"/>
  <c r="BG7" i="50"/>
  <c r="BF7" i="50"/>
  <c r="BI7" i="50"/>
  <c r="BH7" i="50"/>
  <c r="BG10" i="50"/>
  <c r="BF10" i="50"/>
  <c r="BH10" i="50"/>
  <c r="BI10" i="50"/>
  <c r="BC12" i="50"/>
  <c r="BD11" i="50"/>
  <c r="BG8" i="50"/>
  <c r="BF8" i="50"/>
  <c r="BI8" i="50"/>
  <c r="BH8" i="50"/>
  <c r="BD9" i="49"/>
  <c r="BD7" i="49"/>
  <c r="BD8" i="49"/>
  <c r="BD11" i="49"/>
  <c r="BD10" i="49"/>
  <c r="BD12" i="49"/>
  <c r="BD13" i="49"/>
  <c r="BD14" i="49"/>
  <c r="BC15" i="49"/>
  <c r="BU13" i="7"/>
  <c r="BS13" i="7"/>
  <c r="BU33" i="7"/>
  <c r="BS33" i="7"/>
  <c r="BR34" i="7"/>
  <c r="BU23" i="7"/>
  <c r="BS23" i="7"/>
  <c r="BR24" i="7"/>
  <c r="AY50" i="45"/>
  <c r="AY43" i="40"/>
  <c r="AY38" i="43"/>
  <c r="AY61" i="43"/>
  <c r="AY49" i="43"/>
  <c r="AY10" i="43"/>
  <c r="AY25" i="43"/>
  <c r="AY46" i="43"/>
  <c r="AY8" i="43"/>
  <c r="AY54" i="43"/>
  <c r="AY58" i="43"/>
  <c r="AY26" i="43"/>
  <c r="AY57" i="43"/>
  <c r="AY24" i="43"/>
  <c r="AY48" i="43"/>
  <c r="AY28" i="43"/>
  <c r="AY55" i="43"/>
  <c r="AY37" i="43"/>
  <c r="AY62" i="43"/>
  <c r="AY32" i="43"/>
  <c r="AY12" i="43"/>
  <c r="AY33" i="43"/>
  <c r="AY35" i="43"/>
  <c r="AY41" i="43"/>
  <c r="AY60" i="43"/>
  <c r="AY40" i="43"/>
  <c r="BC10" i="43"/>
  <c r="AY14" i="43"/>
  <c r="AY43" i="43"/>
  <c r="AY53" i="43"/>
  <c r="AY39" i="43"/>
  <c r="AY52" i="43"/>
  <c r="AY18" i="43"/>
  <c r="AY34" i="43"/>
  <c r="AY21" i="43"/>
  <c r="AY11" i="43"/>
  <c r="AY51" i="43"/>
  <c r="AY7" i="43"/>
  <c r="AY30" i="43"/>
  <c r="AY19" i="43"/>
  <c r="AY13" i="43"/>
  <c r="AY17" i="43"/>
  <c r="AY45" i="43"/>
  <c r="AY47" i="43"/>
  <c r="AY31" i="43"/>
  <c r="AY56" i="43"/>
  <c r="AY36" i="43"/>
  <c r="AY63" i="43"/>
  <c r="AY27" i="43"/>
  <c r="AY29" i="43"/>
  <c r="AY15" i="43"/>
  <c r="AY20" i="43"/>
  <c r="AY9" i="43"/>
  <c r="AY59" i="43"/>
  <c r="AY42" i="43"/>
  <c r="AY22" i="43"/>
  <c r="AY16" i="43"/>
  <c r="AY50" i="43"/>
  <c r="AY44" i="43"/>
  <c r="AY23" i="43"/>
  <c r="AY24" i="40"/>
  <c r="AY18" i="40"/>
  <c r="AY58" i="40"/>
  <c r="AY34" i="40"/>
  <c r="AY16" i="40"/>
  <c r="AY60" i="40"/>
  <c r="AY40" i="40"/>
  <c r="AY46" i="40"/>
  <c r="AY52" i="40"/>
  <c r="AY10" i="40"/>
  <c r="AY56" i="40"/>
  <c r="AY38" i="40"/>
  <c r="AY42" i="40"/>
  <c r="AY62" i="40"/>
  <c r="AY31" i="40"/>
  <c r="AY33" i="40"/>
  <c r="AY48" i="40"/>
  <c r="AY32" i="40"/>
  <c r="AY55" i="40"/>
  <c r="AY41" i="40"/>
  <c r="AY57" i="40"/>
  <c r="AY39" i="40"/>
  <c r="AY59" i="40"/>
  <c r="AY25" i="40"/>
  <c r="AY23" i="40"/>
  <c r="AY47" i="40"/>
  <c r="AY30" i="40"/>
  <c r="AY63" i="40"/>
  <c r="AY15" i="40"/>
  <c r="AY13" i="40"/>
  <c r="AY45" i="40"/>
  <c r="AY50" i="40"/>
  <c r="AY22" i="40"/>
  <c r="AY49" i="40"/>
  <c r="AY27" i="40"/>
  <c r="AY11" i="40"/>
  <c r="AY20" i="40"/>
  <c r="AY8" i="40"/>
  <c r="AY14" i="40"/>
  <c r="AY37" i="40"/>
  <c r="AY54" i="40"/>
  <c r="AY35" i="40"/>
  <c r="AY17" i="40"/>
  <c r="AY44" i="40"/>
  <c r="AY26" i="40"/>
  <c r="AY53" i="40"/>
  <c r="AY36" i="40"/>
  <c r="AY28" i="40"/>
  <c r="AY51" i="40"/>
  <c r="AY7" i="40"/>
  <c r="AY61" i="40"/>
  <c r="AY21" i="40"/>
  <c r="BC10" i="40"/>
  <c r="AY19" i="40"/>
  <c r="AY12" i="40"/>
  <c r="AY29" i="40"/>
  <c r="AY9" i="40"/>
  <c r="AY59" i="34"/>
  <c r="AY12" i="34"/>
  <c r="AY46" i="34"/>
  <c r="AY26" i="34"/>
  <c r="AY19" i="34"/>
  <c r="AY27" i="34"/>
  <c r="AY47" i="34"/>
  <c r="AY53" i="34"/>
  <c r="AY42" i="34"/>
  <c r="AY37" i="34"/>
  <c r="AY18" i="34"/>
  <c r="AY49" i="34"/>
  <c r="AY50" i="34"/>
  <c r="AY52" i="34"/>
  <c r="AY29" i="34"/>
  <c r="AY14" i="34"/>
  <c r="AY60" i="34"/>
  <c r="AY51" i="34"/>
  <c r="AY24" i="34"/>
  <c r="AY57" i="34"/>
  <c r="AY54" i="34"/>
  <c r="AY16" i="34"/>
  <c r="AY56" i="34"/>
  <c r="AY58" i="34"/>
  <c r="AY45" i="34"/>
  <c r="AY32" i="34"/>
  <c r="AY15" i="34"/>
  <c r="BC9" i="34"/>
  <c r="AY48" i="34"/>
  <c r="AY63" i="34"/>
  <c r="AY61" i="34"/>
  <c r="AY40" i="34"/>
  <c r="AY17" i="34"/>
  <c r="AY31" i="34"/>
  <c r="AY39" i="34"/>
  <c r="AY13" i="34"/>
  <c r="AY7" i="34"/>
  <c r="AY28" i="34"/>
  <c r="AY23" i="34"/>
  <c r="AY30" i="34"/>
  <c r="AY41" i="34"/>
  <c r="AY36" i="34"/>
  <c r="AY38" i="34"/>
  <c r="AY11" i="34"/>
  <c r="AY44" i="34"/>
  <c r="AY10" i="34"/>
  <c r="AY33" i="34"/>
  <c r="AY62" i="34"/>
  <c r="AY43" i="34"/>
  <c r="AY20" i="34"/>
  <c r="AY34" i="34"/>
  <c r="AY21" i="34"/>
  <c r="AY9" i="34"/>
  <c r="AY35" i="34"/>
  <c r="AY22" i="34"/>
  <c r="AY8" i="34"/>
  <c r="AY15" i="45"/>
  <c r="AY46" i="45"/>
  <c r="AY57" i="45"/>
  <c r="AY55" i="45"/>
  <c r="AY40" i="45"/>
  <c r="AY34" i="45"/>
  <c r="AY47" i="45"/>
  <c r="AY43" i="45"/>
  <c r="AY7" i="45"/>
  <c r="AY8" i="45"/>
  <c r="AY60" i="45"/>
  <c r="AY48" i="45"/>
  <c r="AY32" i="45"/>
  <c r="AY51" i="45"/>
  <c r="AY58" i="45"/>
  <c r="AY11" i="45"/>
  <c r="AY17" i="45"/>
  <c r="AY62" i="45"/>
  <c r="AY38" i="45"/>
  <c r="AY33" i="45"/>
  <c r="AY28" i="45"/>
  <c r="BC10" i="45"/>
  <c r="AY16" i="45"/>
  <c r="AY49" i="45"/>
  <c r="AY22" i="45"/>
  <c r="AY56" i="45"/>
  <c r="AY39" i="45"/>
  <c r="AY26" i="45"/>
  <c r="AY53" i="45"/>
  <c r="AY23" i="45"/>
  <c r="AY45" i="45"/>
  <c r="AY41" i="45"/>
  <c r="AY30" i="45"/>
  <c r="AY42" i="45"/>
  <c r="AY12" i="45"/>
  <c r="AY21" i="45"/>
  <c r="AY29" i="45"/>
  <c r="AY10" i="45"/>
  <c r="AY36" i="45"/>
  <c r="AY37" i="45"/>
  <c r="AY24" i="45"/>
  <c r="AY14" i="45"/>
  <c r="AY59" i="45"/>
  <c r="AY25" i="45"/>
  <c r="AY18" i="45"/>
  <c r="AY61" i="45"/>
  <c r="AY35" i="45"/>
  <c r="AY27" i="45"/>
  <c r="AY31" i="45"/>
  <c r="AY52" i="45"/>
  <c r="AY63" i="45"/>
  <c r="AY9" i="45"/>
  <c r="AY19" i="45"/>
  <c r="AY13" i="45"/>
  <c r="AY44" i="45"/>
  <c r="AY54" i="45"/>
  <c r="AY20" i="45"/>
  <c r="AY38" i="46"/>
  <c r="AY46" i="46"/>
  <c r="AY32" i="46"/>
  <c r="AY39" i="46"/>
  <c r="AY22" i="46"/>
  <c r="AY48" i="46"/>
  <c r="AY63" i="46"/>
  <c r="AY35" i="46"/>
  <c r="AY26" i="46"/>
  <c r="AY47" i="46"/>
  <c r="AY30" i="46"/>
  <c r="AY23" i="46"/>
  <c r="AY28" i="46"/>
  <c r="AY53" i="46"/>
  <c r="AY40" i="46"/>
  <c r="AY8" i="46"/>
  <c r="AY50" i="46"/>
  <c r="AY45" i="46"/>
  <c r="AY33" i="46"/>
  <c r="AY25" i="46"/>
  <c r="AY19" i="46"/>
  <c r="AY11" i="46"/>
  <c r="AY58" i="46"/>
  <c r="AY43" i="46"/>
  <c r="AY36" i="46"/>
  <c r="AY59" i="46"/>
  <c r="AY20" i="46"/>
  <c r="AY16" i="46"/>
  <c r="AY21" i="46"/>
  <c r="AY42" i="46"/>
  <c r="AY52" i="46"/>
  <c r="AY13" i="46"/>
  <c r="AY51" i="46"/>
  <c r="AY44" i="46"/>
  <c r="AY14" i="46"/>
  <c r="AY17" i="46"/>
  <c r="AY56" i="46"/>
  <c r="AY60" i="46"/>
  <c r="AY18" i="46"/>
  <c r="BC10" i="46"/>
  <c r="AY57" i="46"/>
  <c r="AY61" i="46"/>
  <c r="AY7" i="46"/>
  <c r="AY34" i="46"/>
  <c r="AY54" i="46"/>
  <c r="AY55" i="46"/>
  <c r="AY49" i="46"/>
  <c r="AY24" i="46"/>
  <c r="AY41" i="46"/>
  <c r="AY27" i="46"/>
  <c r="AY10" i="46"/>
  <c r="AY29" i="46"/>
  <c r="AY62" i="46"/>
  <c r="AY31" i="46"/>
  <c r="AY12" i="46"/>
  <c r="AY9" i="46"/>
  <c r="AY47" i="47"/>
  <c r="AY57" i="47"/>
  <c r="AY41" i="47"/>
  <c r="AY25" i="47"/>
  <c r="AY35" i="47"/>
  <c r="AY40" i="47"/>
  <c r="AY24" i="47"/>
  <c r="AY8" i="47"/>
  <c r="AY39" i="47"/>
  <c r="AY53" i="47"/>
  <c r="AY37" i="47"/>
  <c r="AY31" i="47"/>
  <c r="AY63" i="47"/>
  <c r="AY56" i="47"/>
  <c r="AY62" i="47"/>
  <c r="AY26" i="47"/>
  <c r="AY20" i="47"/>
  <c r="AY11" i="47"/>
  <c r="AY58" i="47"/>
  <c r="AY16" i="47"/>
  <c r="AY29" i="47"/>
  <c r="AY9" i="47"/>
  <c r="AY60" i="47"/>
  <c r="AY22" i="47"/>
  <c r="AY17" i="47"/>
  <c r="AY61" i="47"/>
  <c r="AY59" i="47"/>
  <c r="AY15" i="47"/>
  <c r="AY21" i="47"/>
  <c r="AY42" i="47"/>
  <c r="AY13" i="47"/>
  <c r="AY18" i="47"/>
  <c r="AY28" i="47"/>
  <c r="AY7" i="47"/>
  <c r="AY19" i="47"/>
  <c r="AY14" i="47"/>
  <c r="AY44" i="47"/>
  <c r="AY43" i="47"/>
  <c r="AY49" i="47"/>
  <c r="AY33" i="47"/>
  <c r="AY52" i="47"/>
  <c r="AY34" i="47"/>
  <c r="AY36" i="47"/>
  <c r="AY55" i="47"/>
  <c r="AY23" i="47"/>
  <c r="AY46" i="47"/>
  <c r="AY45" i="47"/>
  <c r="AY27" i="47"/>
  <c r="AY48" i="47"/>
  <c r="AY38" i="47"/>
  <c r="AY30" i="47"/>
  <c r="AY54" i="47"/>
  <c r="AY12" i="47"/>
  <c r="AY32" i="47"/>
  <c r="AY50" i="47"/>
  <c r="AY51" i="47"/>
  <c r="AY10" i="47"/>
  <c r="BC9" i="47"/>
  <c r="M8" i="47"/>
  <c r="M13" i="47"/>
  <c r="M12" i="47"/>
  <c r="M14" i="47"/>
  <c r="Y14" i="47"/>
  <c r="L5" i="47"/>
  <c r="M10" i="47"/>
  <c r="M9" i="46"/>
  <c r="M13" i="46"/>
  <c r="M12" i="46"/>
  <c r="M11" i="46"/>
  <c r="M14" i="46"/>
  <c r="L5" i="46"/>
  <c r="M10" i="45"/>
  <c r="M9" i="45"/>
  <c r="M8" i="45"/>
  <c r="M12" i="45"/>
  <c r="M14" i="45"/>
  <c r="L5" i="45"/>
  <c r="Y14" i="45"/>
  <c r="C79" i="45"/>
  <c r="M13" i="45"/>
  <c r="A1" i="34"/>
  <c r="A1" i="40"/>
  <c r="A1" i="43"/>
  <c r="AH67" i="43"/>
  <c r="AG67" i="43"/>
  <c r="AF67" i="43"/>
  <c r="AH66" i="43"/>
  <c r="AG66" i="43"/>
  <c r="AF66" i="43"/>
  <c r="AH65" i="43"/>
  <c r="AG65" i="43"/>
  <c r="AF65" i="43"/>
  <c r="AH61" i="43"/>
  <c r="AG61" i="43"/>
  <c r="AF61" i="43"/>
  <c r="AF62" i="43" s="1"/>
  <c r="AF63" i="43" s="1"/>
  <c r="AF64" i="43" s="1"/>
  <c r="G61" i="43"/>
  <c r="AH60" i="43"/>
  <c r="AG60" i="43"/>
  <c r="AF60" i="43"/>
  <c r="G60" i="43"/>
  <c r="L16" i="43" a="1"/>
  <c r="L16" i="43" s="1"/>
  <c r="L13" i="43"/>
  <c r="L12" i="43"/>
  <c r="L11" i="43"/>
  <c r="L10" i="43"/>
  <c r="L9" i="43"/>
  <c r="L8" i="43"/>
  <c r="AF7" i="43"/>
  <c r="AF8" i="43" s="1"/>
  <c r="AF9" i="43" s="1"/>
  <c r="AF10" i="43" s="1"/>
  <c r="AF11" i="43" s="1"/>
  <c r="AF12" i="43" s="1"/>
  <c r="AF13" i="43" s="1"/>
  <c r="AF14" i="43" s="1"/>
  <c r="AF15" i="43" s="1"/>
  <c r="AF16" i="43" s="1"/>
  <c r="AF17" i="43" s="1"/>
  <c r="AF18" i="43" s="1"/>
  <c r="AF19" i="43" s="1"/>
  <c r="AF20" i="43" s="1"/>
  <c r="AF21" i="43" s="1"/>
  <c r="AF22" i="43" s="1"/>
  <c r="AF23" i="43" s="1"/>
  <c r="AF24" i="43" s="1"/>
  <c r="AF25" i="43" s="1"/>
  <c r="AF26" i="43" s="1"/>
  <c r="AF27" i="43" s="1"/>
  <c r="AF28" i="43" s="1"/>
  <c r="AF29" i="43" s="1"/>
  <c r="AF30" i="43" s="1"/>
  <c r="AF31" i="43" s="1"/>
  <c r="AF32" i="43" s="1"/>
  <c r="AF33" i="43" s="1"/>
  <c r="AF34" i="43" s="1"/>
  <c r="AF35" i="43" s="1"/>
  <c r="AF36" i="43" s="1"/>
  <c r="AF37" i="43" s="1"/>
  <c r="AF38" i="43" s="1"/>
  <c r="AF39" i="43" s="1"/>
  <c r="AF40" i="43" s="1"/>
  <c r="AF41" i="43" s="1"/>
  <c r="AF42" i="43" s="1"/>
  <c r="AF43" i="43" s="1"/>
  <c r="AF44" i="43" s="1"/>
  <c r="AF45" i="43" s="1"/>
  <c r="AF46" i="43" s="1"/>
  <c r="AF47" i="43" s="1"/>
  <c r="AF48" i="43" s="1"/>
  <c r="AF49" i="43" s="1"/>
  <c r="AF50" i="43" s="1"/>
  <c r="AF51" i="43" s="1"/>
  <c r="AF52" i="43" s="1"/>
  <c r="AF53" i="43" s="1"/>
  <c r="AF54" i="43" s="1"/>
  <c r="AF55" i="43" s="1"/>
  <c r="AF56" i="43" s="1"/>
  <c r="AF57" i="43" s="1"/>
  <c r="AF58" i="43" s="1"/>
  <c r="AF59" i="43" s="1"/>
  <c r="AK4" i="43"/>
  <c r="AL4" i="43" s="1"/>
  <c r="AL2" i="43" s="1"/>
  <c r="G3" i="43"/>
  <c r="AJ2" i="43"/>
  <c r="E2" i="43"/>
  <c r="E3" i="43" s="1"/>
  <c r="AH67" i="34"/>
  <c r="AG67" i="34"/>
  <c r="AH66" i="34"/>
  <c r="AG66" i="34"/>
  <c r="AH65" i="34"/>
  <c r="AG65" i="34"/>
  <c r="AH61" i="34"/>
  <c r="AG61" i="34"/>
  <c r="AH60" i="34"/>
  <c r="AG60" i="34"/>
  <c r="CI14" i="7" l="1"/>
  <c r="CM14" i="7"/>
  <c r="CI34" i="7"/>
  <c r="CM34" i="7"/>
  <c r="CI24" i="7"/>
  <c r="CM24" i="7"/>
  <c r="CG14" i="7"/>
  <c r="CK14" i="7"/>
  <c r="CG34" i="7"/>
  <c r="CK34" i="7"/>
  <c r="CG24" i="7"/>
  <c r="CK24" i="7"/>
  <c r="CE14" i="7"/>
  <c r="CA34" i="7"/>
  <c r="CE34" i="7"/>
  <c r="CA24" i="7"/>
  <c r="CE24" i="7"/>
  <c r="BW14" i="7"/>
  <c r="CA14" i="7"/>
  <c r="CC34" i="7"/>
  <c r="BW34" i="7"/>
  <c r="CC24" i="7"/>
  <c r="BW24" i="7"/>
  <c r="BU14" i="7"/>
  <c r="CC14" i="7"/>
  <c r="BS14" i="7"/>
  <c r="BR15" i="7"/>
  <c r="BC24" i="56"/>
  <c r="BD23" i="56"/>
  <c r="BF22" i="56"/>
  <c r="BG22" i="56"/>
  <c r="BI22" i="56"/>
  <c r="BH22" i="56"/>
  <c r="BG22" i="55"/>
  <c r="BF22" i="55"/>
  <c r="BI22" i="55"/>
  <c r="BH22" i="55"/>
  <c r="BC24" i="55"/>
  <c r="BD23" i="55"/>
  <c r="BC22" i="54"/>
  <c r="BD21" i="54"/>
  <c r="BI20" i="54"/>
  <c r="BG20" i="54"/>
  <c r="BH20" i="54"/>
  <c r="BF20" i="54"/>
  <c r="BY14" i="7"/>
  <c r="BY34" i="7"/>
  <c r="BY24" i="7"/>
  <c r="BH14" i="52"/>
  <c r="BG14" i="52"/>
  <c r="BI14" i="52"/>
  <c r="BF14" i="52"/>
  <c r="BD15" i="52"/>
  <c r="BC16" i="52"/>
  <c r="BH14" i="51"/>
  <c r="BG14" i="51"/>
  <c r="BI14" i="51"/>
  <c r="BF14" i="51"/>
  <c r="BD15" i="51"/>
  <c r="BC16" i="51"/>
  <c r="BG11" i="50"/>
  <c r="BI11" i="50"/>
  <c r="BF11" i="50"/>
  <c r="BH11" i="50"/>
  <c r="BC13" i="50"/>
  <c r="BD12" i="50"/>
  <c r="BI13" i="49"/>
  <c r="BH13" i="49"/>
  <c r="BG13" i="49"/>
  <c r="BF13" i="49"/>
  <c r="BH8" i="49"/>
  <c r="BG8" i="49"/>
  <c r="BF8" i="49"/>
  <c r="BI8" i="49"/>
  <c r="BI12" i="49"/>
  <c r="BF12" i="49"/>
  <c r="BH12" i="49"/>
  <c r="BG12" i="49"/>
  <c r="BH7" i="49"/>
  <c r="BG7" i="49"/>
  <c r="BF7" i="49"/>
  <c r="BI7" i="49"/>
  <c r="BD15" i="49"/>
  <c r="BC16" i="49"/>
  <c r="BH10" i="49"/>
  <c r="BG10" i="49"/>
  <c r="BF10" i="49"/>
  <c r="BI10" i="49"/>
  <c r="BH9" i="49"/>
  <c r="BG9" i="49"/>
  <c r="BF9" i="49"/>
  <c r="BI9" i="49"/>
  <c r="BH14" i="49"/>
  <c r="BF14" i="49"/>
  <c r="BI14" i="49"/>
  <c r="BG14" i="49"/>
  <c r="BH11" i="49"/>
  <c r="BI11" i="49"/>
  <c r="BG11" i="49"/>
  <c r="BF11" i="49"/>
  <c r="BU34" i="7"/>
  <c r="BR35" i="7"/>
  <c r="BS34" i="7"/>
  <c r="BU24" i="7"/>
  <c r="BR25" i="7"/>
  <c r="BS24" i="7"/>
  <c r="BD9" i="45"/>
  <c r="BI9" i="45" s="1"/>
  <c r="BD9" i="40"/>
  <c r="BG9" i="40" s="1"/>
  <c r="BD10" i="43"/>
  <c r="BC11" i="43"/>
  <c r="BD7" i="43"/>
  <c r="BD8" i="43"/>
  <c r="BD9" i="43"/>
  <c r="BD10" i="40"/>
  <c r="BC11" i="40"/>
  <c r="BD7" i="40"/>
  <c r="BD8" i="40"/>
  <c r="BD7" i="34"/>
  <c r="BD9" i="34"/>
  <c r="BC10" i="34"/>
  <c r="BD8" i="34"/>
  <c r="BD10" i="45"/>
  <c r="BC11" i="45"/>
  <c r="BD8" i="45"/>
  <c r="BD7" i="45"/>
  <c r="BD7" i="46"/>
  <c r="BD8" i="46"/>
  <c r="BD9" i="46"/>
  <c r="BD10" i="46"/>
  <c r="BC11" i="46"/>
  <c r="BD8" i="47"/>
  <c r="BG8" i="47" s="1"/>
  <c r="BD9" i="47"/>
  <c r="BD7" i="47"/>
  <c r="AH62" i="47"/>
  <c r="AG62" i="47"/>
  <c r="BC10" i="47"/>
  <c r="BD10" i="47" s="1"/>
  <c r="L14" i="43"/>
  <c r="M10" i="43" s="1"/>
  <c r="AK2" i="43"/>
  <c r="CI25" i="7" l="1"/>
  <c r="CM25" i="7"/>
  <c r="CI35" i="7"/>
  <c r="CM35" i="7"/>
  <c r="CI15" i="7"/>
  <c r="CM15" i="7"/>
  <c r="CK35" i="7"/>
  <c r="CG35" i="7"/>
  <c r="CK25" i="7"/>
  <c r="CG25" i="7"/>
  <c r="CK15" i="7"/>
  <c r="CG15" i="7"/>
  <c r="CE15" i="7"/>
  <c r="CA25" i="7"/>
  <c r="CE25" i="7"/>
  <c r="CA35" i="7"/>
  <c r="CE35" i="7"/>
  <c r="BS15" i="7"/>
  <c r="CA15" i="7"/>
  <c r="BU15" i="7"/>
  <c r="CC15" i="7"/>
  <c r="BW15" i="7"/>
  <c r="CC35" i="7"/>
  <c r="BW35" i="7"/>
  <c r="BR16" i="7"/>
  <c r="CC25" i="7"/>
  <c r="BW25" i="7"/>
  <c r="BY15" i="7"/>
  <c r="BG23" i="56"/>
  <c r="BI23" i="56"/>
  <c r="BH23" i="56"/>
  <c r="BF23" i="56"/>
  <c r="BD24" i="56"/>
  <c r="BC25" i="56"/>
  <c r="BH23" i="55"/>
  <c r="BG23" i="55"/>
  <c r="BF23" i="55"/>
  <c r="BI23" i="55"/>
  <c r="BC25" i="55"/>
  <c r="BD24" i="55"/>
  <c r="BF21" i="54"/>
  <c r="BH21" i="54"/>
  <c r="BG21" i="54"/>
  <c r="BI21" i="54"/>
  <c r="BC23" i="54"/>
  <c r="BD22" i="54"/>
  <c r="BY35" i="7"/>
  <c r="BY25" i="7"/>
  <c r="BC17" i="51"/>
  <c r="BD16" i="51"/>
  <c r="BI15" i="51"/>
  <c r="BF15" i="51"/>
  <c r="BG15" i="51"/>
  <c r="BH15" i="51"/>
  <c r="BG12" i="50"/>
  <c r="BF12" i="50"/>
  <c r="BH12" i="50"/>
  <c r="BI12" i="50"/>
  <c r="BC14" i="50"/>
  <c r="BD13" i="50"/>
  <c r="BC17" i="49"/>
  <c r="BD16" i="49"/>
  <c r="BI15" i="49"/>
  <c r="BG15" i="49"/>
  <c r="BH15" i="49"/>
  <c r="BF15" i="49"/>
  <c r="BU35" i="7"/>
  <c r="BS35" i="7"/>
  <c r="BR36" i="7"/>
  <c r="BU25" i="7"/>
  <c r="BS25" i="7"/>
  <c r="BR26" i="7"/>
  <c r="BG9" i="45"/>
  <c r="BF9" i="40"/>
  <c r="BH9" i="45"/>
  <c r="BF9" i="45"/>
  <c r="BH9" i="40"/>
  <c r="BI9" i="40"/>
  <c r="BG8" i="43"/>
  <c r="BF8" i="43"/>
  <c r="BI8" i="43"/>
  <c r="BH8" i="43"/>
  <c r="BI7" i="43"/>
  <c r="BG7" i="43"/>
  <c r="BH7" i="43"/>
  <c r="BF7" i="43"/>
  <c r="BD11" i="43"/>
  <c r="BC12" i="43"/>
  <c r="BI9" i="43"/>
  <c r="BG9" i="43"/>
  <c r="BH9" i="43"/>
  <c r="BF9" i="43"/>
  <c r="BG10" i="43"/>
  <c r="BH10" i="43"/>
  <c r="BF10" i="43"/>
  <c r="BI10" i="43"/>
  <c r="BF8" i="40"/>
  <c r="BI8" i="40"/>
  <c r="BG8" i="40"/>
  <c r="BH8" i="40"/>
  <c r="BI7" i="40"/>
  <c r="BH7" i="40"/>
  <c r="BG7" i="40"/>
  <c r="BF7" i="40"/>
  <c r="BD11" i="40"/>
  <c r="BC12" i="40"/>
  <c r="BF10" i="40"/>
  <c r="BG10" i="40"/>
  <c r="BI10" i="40"/>
  <c r="BH10" i="40"/>
  <c r="BG8" i="34"/>
  <c r="BF8" i="34"/>
  <c r="BI8" i="34"/>
  <c r="BH8" i="34"/>
  <c r="BD10" i="34"/>
  <c r="BC11" i="34"/>
  <c r="BI9" i="34"/>
  <c r="BH9" i="34"/>
  <c r="BG9" i="34"/>
  <c r="BF9" i="34"/>
  <c r="BI7" i="34"/>
  <c r="BH7" i="34"/>
  <c r="BF7" i="34"/>
  <c r="BG7" i="34"/>
  <c r="BG7" i="45"/>
  <c r="BF7" i="45"/>
  <c r="BH7" i="45"/>
  <c r="BI7" i="45"/>
  <c r="BI8" i="45"/>
  <c r="BH8" i="45"/>
  <c r="BF8" i="45"/>
  <c r="BG8" i="45"/>
  <c r="BC12" i="45"/>
  <c r="BD11" i="45"/>
  <c r="BI10" i="45"/>
  <c r="BH10" i="45"/>
  <c r="BG10" i="45"/>
  <c r="BF10" i="45"/>
  <c r="BG9" i="46"/>
  <c r="BH9" i="46"/>
  <c r="BI9" i="46"/>
  <c r="BF9" i="46"/>
  <c r="BI8" i="46"/>
  <c r="BG8" i="46"/>
  <c r="BH8" i="46"/>
  <c r="BF8" i="46"/>
  <c r="BI10" i="46"/>
  <c r="BH10" i="46"/>
  <c r="BF10" i="46"/>
  <c r="BG10" i="46"/>
  <c r="BC12" i="46"/>
  <c r="BD11" i="46"/>
  <c r="BG7" i="46"/>
  <c r="BF7" i="46"/>
  <c r="BI7" i="46"/>
  <c r="BH7" i="46"/>
  <c r="BH8" i="47"/>
  <c r="BI8" i="47"/>
  <c r="BF8" i="47"/>
  <c r="BI7" i="47"/>
  <c r="BH7" i="47"/>
  <c r="BG7" i="47"/>
  <c r="BF7" i="47"/>
  <c r="BF9" i="47"/>
  <c r="BI9" i="47"/>
  <c r="BH9" i="47"/>
  <c r="BG9" i="47"/>
  <c r="BC11" i="47"/>
  <c r="BD11" i="47" s="1"/>
  <c r="M11" i="43"/>
  <c r="M8" i="43"/>
  <c r="M12" i="43"/>
  <c r="C78" i="43"/>
  <c r="M9" i="43"/>
  <c r="L5" i="43"/>
  <c r="M14" i="43"/>
  <c r="M13" i="43"/>
  <c r="Y14" i="43"/>
  <c r="CI36" i="7" l="1"/>
  <c r="CM36" i="7"/>
  <c r="CI16" i="7"/>
  <c r="CM16" i="7"/>
  <c r="CI26" i="7"/>
  <c r="CM26" i="7"/>
  <c r="CG36" i="7"/>
  <c r="CK36" i="7"/>
  <c r="CG16" i="7"/>
  <c r="CK16" i="7"/>
  <c r="CG26" i="7"/>
  <c r="CK26" i="7"/>
  <c r="CE16" i="7"/>
  <c r="CA36" i="7"/>
  <c r="CE36" i="7"/>
  <c r="CA26" i="7"/>
  <c r="CE26" i="7"/>
  <c r="BU16" i="7"/>
  <c r="CA16" i="7"/>
  <c r="BS16" i="7"/>
  <c r="BY16" i="7"/>
  <c r="CC36" i="7"/>
  <c r="BW36" i="7"/>
  <c r="CC26" i="7"/>
  <c r="BW26" i="7"/>
  <c r="CC16" i="7"/>
  <c r="BW16" i="7"/>
  <c r="BD25" i="56"/>
  <c r="BC26" i="56"/>
  <c r="BH24" i="56"/>
  <c r="BI24" i="56"/>
  <c r="BG24" i="56"/>
  <c r="BF24" i="56"/>
  <c r="BG24" i="55"/>
  <c r="BI24" i="55"/>
  <c r="BH24" i="55"/>
  <c r="BF24" i="55"/>
  <c r="BD25" i="55"/>
  <c r="BC26" i="55"/>
  <c r="BG22" i="54"/>
  <c r="BI22" i="54"/>
  <c r="BH22" i="54"/>
  <c r="BF22" i="54"/>
  <c r="BC24" i="54"/>
  <c r="BD23" i="54"/>
  <c r="BY26" i="7"/>
  <c r="BY36" i="7"/>
  <c r="BI15" i="52"/>
  <c r="BH15" i="52"/>
  <c r="BF15" i="52"/>
  <c r="BG15" i="52"/>
  <c r="BD16" i="52"/>
  <c r="BC17" i="52"/>
  <c r="BF16" i="51"/>
  <c r="BI16" i="51"/>
  <c r="BH16" i="51"/>
  <c r="BG16" i="51"/>
  <c r="BC18" i="51"/>
  <c r="BD17" i="51"/>
  <c r="BG13" i="50"/>
  <c r="BI13" i="50"/>
  <c r="BF13" i="50"/>
  <c r="BH13" i="50"/>
  <c r="BD14" i="50"/>
  <c r="BC15" i="50"/>
  <c r="BG16" i="49"/>
  <c r="BF16" i="49"/>
  <c r="BH16" i="49"/>
  <c r="BI16" i="49"/>
  <c r="BC18" i="49"/>
  <c r="BD17" i="49"/>
  <c r="BU36" i="7"/>
  <c r="BS36" i="7"/>
  <c r="BU26" i="7"/>
  <c r="BS26" i="7"/>
  <c r="BD12" i="43"/>
  <c r="BC13" i="43"/>
  <c r="BI11" i="43"/>
  <c r="BG11" i="43"/>
  <c r="BF11" i="43"/>
  <c r="BH11" i="43"/>
  <c r="BC13" i="40"/>
  <c r="BD12" i="40"/>
  <c r="BI11" i="40"/>
  <c r="BH11" i="40"/>
  <c r="BG11" i="40"/>
  <c r="BF11" i="40"/>
  <c r="BD11" i="34"/>
  <c r="BC12" i="34"/>
  <c r="BG10" i="34"/>
  <c r="BF10" i="34"/>
  <c r="BH10" i="34"/>
  <c r="BI10" i="34"/>
  <c r="BG11" i="45"/>
  <c r="BF11" i="45"/>
  <c r="BH11" i="45"/>
  <c r="BI11" i="45"/>
  <c r="BD12" i="45"/>
  <c r="BC13" i="45"/>
  <c r="BG11" i="46"/>
  <c r="BI11" i="46"/>
  <c r="BF11" i="46"/>
  <c r="BH11" i="46"/>
  <c r="BD12" i="46"/>
  <c r="BC13" i="46"/>
  <c r="BC12" i="47"/>
  <c r="BD12" i="47" s="1"/>
  <c r="BF10" i="47"/>
  <c r="BI10" i="47"/>
  <c r="BH10" i="47"/>
  <c r="BG10" i="47"/>
  <c r="AH64" i="43"/>
  <c r="AG64" i="43"/>
  <c r="BC27" i="56" l="1"/>
  <c r="BD26" i="56"/>
  <c r="BI25" i="56"/>
  <c r="BG25" i="56"/>
  <c r="BF25" i="56"/>
  <c r="BH25" i="56"/>
  <c r="BD26" i="55"/>
  <c r="BC27" i="55"/>
  <c r="BH25" i="55"/>
  <c r="BF25" i="55"/>
  <c r="BG25" i="55"/>
  <c r="BI25" i="55"/>
  <c r="BH23" i="54"/>
  <c r="BF23" i="54"/>
  <c r="BI23" i="54"/>
  <c r="BG23" i="54"/>
  <c r="BD24" i="54"/>
  <c r="BC25" i="54"/>
  <c r="BC18" i="52"/>
  <c r="BD17" i="52"/>
  <c r="BF16" i="52"/>
  <c r="BI16" i="52"/>
  <c r="BG16" i="52"/>
  <c r="BH16" i="52"/>
  <c r="BG17" i="51"/>
  <c r="BF17" i="51"/>
  <c r="BI17" i="51"/>
  <c r="BH17" i="51"/>
  <c r="BC19" i="51"/>
  <c r="BD18" i="51"/>
  <c r="BC16" i="50"/>
  <c r="BD15" i="50"/>
  <c r="BF14" i="50"/>
  <c r="BI14" i="50"/>
  <c r="BH14" i="50"/>
  <c r="BG14" i="50"/>
  <c r="BH17" i="49"/>
  <c r="BG17" i="49"/>
  <c r="BI17" i="49"/>
  <c r="BF17" i="49"/>
  <c r="BD18" i="49"/>
  <c r="BC19" i="49"/>
  <c r="BD13" i="43"/>
  <c r="BC14" i="43"/>
  <c r="BG12" i="43"/>
  <c r="BF12" i="43"/>
  <c r="BI12" i="43"/>
  <c r="BH12" i="43"/>
  <c r="BI12" i="40"/>
  <c r="BG12" i="40"/>
  <c r="BF12" i="40"/>
  <c r="BH12" i="40"/>
  <c r="BD13" i="40"/>
  <c r="BC14" i="40"/>
  <c r="BC13" i="34"/>
  <c r="BD12" i="34"/>
  <c r="BI11" i="34"/>
  <c r="BG11" i="34"/>
  <c r="BF11" i="34"/>
  <c r="BH11" i="34"/>
  <c r="BC14" i="45"/>
  <c r="BD13" i="45"/>
  <c r="BI12" i="45"/>
  <c r="BH12" i="45"/>
  <c r="BG12" i="45"/>
  <c r="BF12" i="45"/>
  <c r="BD13" i="46"/>
  <c r="BC14" i="46"/>
  <c r="BI12" i="46"/>
  <c r="BG12" i="46"/>
  <c r="BF12" i="46"/>
  <c r="BH12" i="46"/>
  <c r="BI11" i="47"/>
  <c r="BH11" i="47"/>
  <c r="BG11" i="47"/>
  <c r="BF11" i="47"/>
  <c r="BC13" i="47"/>
  <c r="BD13" i="47" s="1"/>
  <c r="BF26" i="56" l="1"/>
  <c r="BI26" i="56"/>
  <c r="BH26" i="56"/>
  <c r="BG26" i="56"/>
  <c r="BC28" i="56"/>
  <c r="BD27" i="56"/>
  <c r="BD27" i="55"/>
  <c r="BC28" i="55"/>
  <c r="BI26" i="55"/>
  <c r="BG26" i="55"/>
  <c r="BH26" i="55"/>
  <c r="BF26" i="55"/>
  <c r="BC26" i="54"/>
  <c r="BD25" i="54"/>
  <c r="BI24" i="54"/>
  <c r="BG24" i="54"/>
  <c r="BH24" i="54"/>
  <c r="BF24" i="54"/>
  <c r="BG17" i="52"/>
  <c r="BF17" i="52"/>
  <c r="BH17" i="52"/>
  <c r="BI17" i="52"/>
  <c r="BC19" i="52"/>
  <c r="BD18" i="52"/>
  <c r="BH18" i="51"/>
  <c r="BG18" i="51"/>
  <c r="BF18" i="51"/>
  <c r="BI18" i="51"/>
  <c r="BD19" i="51"/>
  <c r="BC20" i="51"/>
  <c r="BG15" i="50"/>
  <c r="BF15" i="50"/>
  <c r="BH15" i="50"/>
  <c r="BI15" i="50"/>
  <c r="BC17" i="50"/>
  <c r="BD16" i="50"/>
  <c r="BD19" i="49"/>
  <c r="BC20" i="49"/>
  <c r="BI18" i="49"/>
  <c r="BH18" i="49"/>
  <c r="BF18" i="49"/>
  <c r="BG18" i="49"/>
  <c r="BD14" i="43"/>
  <c r="BC15" i="43"/>
  <c r="BI13" i="43"/>
  <c r="BG13" i="43"/>
  <c r="BH13" i="43"/>
  <c r="BF13" i="43"/>
  <c r="BC15" i="40"/>
  <c r="BD14" i="40"/>
  <c r="BH13" i="40"/>
  <c r="BG13" i="40"/>
  <c r="BI13" i="40"/>
  <c r="BF13" i="40"/>
  <c r="BG12" i="34"/>
  <c r="BH12" i="34"/>
  <c r="BF12" i="34"/>
  <c r="BI12" i="34"/>
  <c r="BD13" i="34"/>
  <c r="BC14" i="34"/>
  <c r="BG13" i="45"/>
  <c r="BF13" i="45"/>
  <c r="BH13" i="45"/>
  <c r="BI13" i="45"/>
  <c r="BD14" i="45"/>
  <c r="BC15" i="45"/>
  <c r="BD14" i="46"/>
  <c r="BC15" i="46"/>
  <c r="BG13" i="46"/>
  <c r="BH13" i="46"/>
  <c r="BI13" i="46"/>
  <c r="BF13" i="46"/>
  <c r="BC14" i="47"/>
  <c r="BD14" i="47" s="1"/>
  <c r="BI12" i="47"/>
  <c r="BG12" i="47"/>
  <c r="BH12" i="47"/>
  <c r="BF12" i="47"/>
  <c r="BC29" i="55" l="1"/>
  <c r="BD28" i="55"/>
  <c r="BF27" i="55"/>
  <c r="BH27" i="55"/>
  <c r="BI27" i="55"/>
  <c r="BG27" i="55"/>
  <c r="BF25" i="54"/>
  <c r="BH25" i="54"/>
  <c r="BI25" i="54"/>
  <c r="BG25" i="54"/>
  <c r="BC27" i="54"/>
  <c r="BD26" i="54"/>
  <c r="BH18" i="52"/>
  <c r="BG18" i="52"/>
  <c r="BI18" i="52"/>
  <c r="BF18" i="52"/>
  <c r="BD19" i="52"/>
  <c r="BC20" i="52"/>
  <c r="BD20" i="51"/>
  <c r="BC21" i="51"/>
  <c r="BI19" i="51"/>
  <c r="BH19" i="51"/>
  <c r="BG19" i="51"/>
  <c r="BF19" i="51"/>
  <c r="BH16" i="50"/>
  <c r="BG16" i="50"/>
  <c r="BF16" i="50"/>
  <c r="BI16" i="50"/>
  <c r="BD17" i="50"/>
  <c r="BC18" i="50"/>
  <c r="BF19" i="49"/>
  <c r="BI19" i="49"/>
  <c r="BH19" i="49"/>
  <c r="BG19" i="49"/>
  <c r="BC21" i="49"/>
  <c r="BD20" i="49"/>
  <c r="BD15" i="43"/>
  <c r="BC16" i="43"/>
  <c r="BG14" i="43"/>
  <c r="BH14" i="43"/>
  <c r="BF14" i="43"/>
  <c r="BI14" i="43"/>
  <c r="BF14" i="40"/>
  <c r="BG14" i="40"/>
  <c r="BI14" i="40"/>
  <c r="BH14" i="40"/>
  <c r="BD15" i="40"/>
  <c r="BC16" i="40"/>
  <c r="BD14" i="34"/>
  <c r="BC15" i="34"/>
  <c r="BI13" i="34"/>
  <c r="BH13" i="34"/>
  <c r="BF13" i="34"/>
  <c r="BG13" i="34"/>
  <c r="BC16" i="45"/>
  <c r="BD15" i="45"/>
  <c r="BI14" i="45"/>
  <c r="BH14" i="45"/>
  <c r="BG14" i="45"/>
  <c r="BF14" i="45"/>
  <c r="BC16" i="46"/>
  <c r="BD15" i="46"/>
  <c r="BI14" i="46"/>
  <c r="BH14" i="46"/>
  <c r="BF14" i="46"/>
  <c r="BG14" i="46"/>
  <c r="BI13" i="47"/>
  <c r="BF13" i="47"/>
  <c r="BH13" i="47"/>
  <c r="BG13" i="47"/>
  <c r="BC15" i="47"/>
  <c r="BD15" i="47" s="1"/>
  <c r="BG27" i="56" l="1"/>
  <c r="BF27" i="56"/>
  <c r="BI27" i="56"/>
  <c r="BH27" i="56"/>
  <c r="BC29" i="56"/>
  <c r="BD28" i="56"/>
  <c r="BG28" i="55"/>
  <c r="BI28" i="55"/>
  <c r="BH28" i="55"/>
  <c r="BF28" i="55"/>
  <c r="BD29" i="55"/>
  <c r="BC30" i="55"/>
  <c r="BG26" i="54"/>
  <c r="BI26" i="54"/>
  <c r="BH26" i="54"/>
  <c r="BF26" i="54"/>
  <c r="BC28" i="54"/>
  <c r="BD27" i="54"/>
  <c r="BD20" i="52"/>
  <c r="BC21" i="52"/>
  <c r="BI19" i="52"/>
  <c r="BH19" i="52"/>
  <c r="BG19" i="52"/>
  <c r="BF19" i="52"/>
  <c r="BD21" i="51"/>
  <c r="BC22" i="51"/>
  <c r="BF20" i="51"/>
  <c r="BG20" i="51"/>
  <c r="BI20" i="51"/>
  <c r="BH20" i="51"/>
  <c r="BD18" i="50"/>
  <c r="BC19" i="50"/>
  <c r="BI17" i="50"/>
  <c r="BH17" i="50"/>
  <c r="BG17" i="50"/>
  <c r="BF17" i="50"/>
  <c r="BG20" i="49"/>
  <c r="BF20" i="49"/>
  <c r="BH20" i="49"/>
  <c r="BI20" i="49"/>
  <c r="BC22" i="49"/>
  <c r="BD21" i="49"/>
  <c r="BC17" i="43"/>
  <c r="BD16" i="43"/>
  <c r="BI15" i="43"/>
  <c r="BF15" i="43"/>
  <c r="BH15" i="43"/>
  <c r="BG15" i="43"/>
  <c r="BD16" i="40"/>
  <c r="BC17" i="40"/>
  <c r="BG15" i="40"/>
  <c r="BI15" i="40"/>
  <c r="BH15" i="40"/>
  <c r="BF15" i="40"/>
  <c r="BD15" i="34"/>
  <c r="BC16" i="34"/>
  <c r="BG14" i="34"/>
  <c r="BF14" i="34"/>
  <c r="BI14" i="34"/>
  <c r="BH14" i="34"/>
  <c r="BG15" i="45"/>
  <c r="BF15" i="45"/>
  <c r="BI15" i="45"/>
  <c r="BH15" i="45"/>
  <c r="BD16" i="45"/>
  <c r="BC17" i="45"/>
  <c r="BG15" i="46"/>
  <c r="BF15" i="46"/>
  <c r="BI15" i="46"/>
  <c r="BH15" i="46"/>
  <c r="BC17" i="46"/>
  <c r="BD16" i="46"/>
  <c r="BH14" i="47"/>
  <c r="BG14" i="47"/>
  <c r="BF14" i="47"/>
  <c r="BI14" i="47"/>
  <c r="BC16" i="47"/>
  <c r="BD16" i="47" s="1"/>
  <c r="G43" i="49"/>
  <c r="G56" i="49"/>
  <c r="AL12" i="52"/>
  <c r="G33" i="51"/>
  <c r="G39" i="50"/>
  <c r="AJ66" i="51"/>
  <c r="AL28" i="52"/>
  <c r="G7" i="45"/>
  <c r="AJ66" i="49"/>
  <c r="G23" i="51"/>
  <c r="E22" i="52"/>
  <c r="G53" i="50"/>
  <c r="E23" i="52"/>
  <c r="AJ39" i="45"/>
  <c r="AJ46" i="47"/>
  <c r="G13" i="51"/>
  <c r="AK7" i="52"/>
  <c r="G11" i="50"/>
  <c r="AJ35" i="50"/>
  <c r="AJ30" i="51"/>
  <c r="AK19" i="52"/>
  <c r="AJ58" i="50"/>
  <c r="AJ56" i="50"/>
  <c r="AJ14" i="51"/>
  <c r="AJ64" i="51"/>
  <c r="AJ49" i="49"/>
  <c r="AL49" i="52"/>
  <c r="AJ55" i="49"/>
  <c r="G20" i="51"/>
  <c r="G41" i="50"/>
  <c r="G66" i="47"/>
  <c r="AL15" i="52"/>
  <c r="AK48" i="52"/>
  <c r="G34" i="50"/>
  <c r="G52" i="50"/>
  <c r="G18" i="49"/>
  <c r="AJ65" i="49"/>
  <c r="AJ25" i="50"/>
  <c r="G28" i="50"/>
  <c r="AL14" i="52"/>
  <c r="AJ20" i="49"/>
  <c r="AJ12" i="50"/>
  <c r="AJ32" i="50"/>
  <c r="G19" i="49"/>
  <c r="G20" i="49"/>
  <c r="AJ26" i="49"/>
  <c r="AL23" i="52"/>
  <c r="AJ22" i="49"/>
  <c r="AJ11" i="51"/>
  <c r="E20" i="52"/>
  <c r="G12" i="49"/>
  <c r="E7" i="51"/>
  <c r="G53" i="49"/>
  <c r="G30" i="49"/>
  <c r="E36" i="52"/>
  <c r="E46" i="52"/>
  <c r="G51" i="51"/>
  <c r="G31" i="49"/>
  <c r="G62" i="51"/>
  <c r="AJ57" i="51"/>
  <c r="E49" i="52"/>
  <c r="G26" i="51"/>
  <c r="AJ13" i="51"/>
  <c r="AJ12" i="51"/>
  <c r="G11" i="51"/>
  <c r="AJ56" i="49"/>
  <c r="G12" i="47"/>
  <c r="G11" i="49"/>
  <c r="G9" i="45"/>
  <c r="G49" i="50"/>
  <c r="AK21" i="52"/>
  <c r="AJ27" i="49"/>
  <c r="AJ19" i="50"/>
  <c r="AL16" i="52"/>
  <c r="AJ48" i="49"/>
  <c r="AL39" i="52"/>
  <c r="AJ44" i="50"/>
  <c r="AJ53" i="51"/>
  <c r="AJ51" i="50"/>
  <c r="AJ11" i="47"/>
  <c r="AK49" i="52"/>
  <c r="AJ39" i="51"/>
  <c r="E27" i="52"/>
  <c r="AJ11" i="49"/>
  <c r="AJ19" i="49"/>
  <c r="AJ48" i="50"/>
  <c r="G42" i="50"/>
  <c r="AL46" i="52"/>
  <c r="G35" i="50"/>
  <c r="G36" i="50"/>
  <c r="AK12" i="52"/>
  <c r="G44" i="46"/>
  <c r="AJ9" i="49"/>
  <c r="AL27" i="52"/>
  <c r="AJ61" i="51"/>
  <c r="AJ27" i="50"/>
  <c r="G59" i="49"/>
  <c r="AJ47" i="51"/>
  <c r="AL7" i="52"/>
  <c r="AK22" i="52"/>
  <c r="AJ59" i="51"/>
  <c r="E44" i="52"/>
  <c r="G8" i="49"/>
  <c r="AL37" i="52"/>
  <c r="AK51" i="52"/>
  <c r="AJ33" i="50"/>
  <c r="AJ46" i="49"/>
  <c r="AJ60" i="51"/>
  <c r="G64" i="49"/>
  <c r="G23" i="50"/>
  <c r="AJ15" i="51"/>
  <c r="G14" i="45"/>
  <c r="AJ14" i="50"/>
  <c r="AL29" i="52"/>
  <c r="AJ36" i="50"/>
  <c r="AJ59" i="49"/>
  <c r="AL48" i="52"/>
  <c r="AJ64" i="49"/>
  <c r="G43" i="51"/>
  <c r="AJ43" i="51"/>
  <c r="G54" i="51"/>
  <c r="AJ65" i="50"/>
  <c r="AJ41" i="49"/>
  <c r="E15" i="51"/>
  <c r="AL54" i="52"/>
  <c r="E42" i="52"/>
  <c r="AK45" i="52"/>
  <c r="G19" i="47"/>
  <c r="E28" i="52"/>
  <c r="G47" i="50"/>
  <c r="AJ18" i="49"/>
  <c r="AJ28" i="46"/>
  <c r="AJ26" i="51"/>
  <c r="AJ45" i="50"/>
  <c r="E16" i="52"/>
  <c r="AJ15" i="49"/>
  <c r="G20" i="47"/>
  <c r="AJ7" i="49"/>
  <c r="AL55" i="52"/>
  <c r="AJ49" i="50"/>
  <c r="AJ62" i="51"/>
  <c r="AJ8" i="51"/>
  <c r="AJ24" i="51"/>
  <c r="AJ41" i="50"/>
  <c r="AJ21" i="51"/>
  <c r="AJ48" i="46"/>
  <c r="G15" i="50"/>
  <c r="AJ63" i="50"/>
  <c r="G56" i="50"/>
  <c r="AJ66" i="50"/>
  <c r="AL25" i="52"/>
  <c r="E54" i="52"/>
  <c r="G63" i="47"/>
  <c r="AL43" i="52"/>
  <c r="G21" i="51"/>
  <c r="AJ37" i="49"/>
  <c r="AJ67" i="51"/>
  <c r="AK62" i="52"/>
  <c r="AJ61" i="49"/>
  <c r="AJ21" i="49"/>
  <c r="G17" i="51"/>
  <c r="AJ8" i="49"/>
  <c r="AK43" i="52"/>
  <c r="AK64" i="52"/>
  <c r="AK52" i="52"/>
  <c r="G40" i="49"/>
  <c r="AL64" i="52"/>
  <c r="AJ45" i="51"/>
  <c r="G54" i="50"/>
  <c r="AJ31" i="51"/>
  <c r="AJ55" i="51"/>
  <c r="AL19" i="52"/>
  <c r="G47" i="49"/>
  <c r="AK56" i="52"/>
  <c r="E13" i="52"/>
  <c r="AJ52" i="49"/>
  <c r="AJ52" i="50"/>
  <c r="G14" i="50"/>
  <c r="AL42" i="52"/>
  <c r="G47" i="51"/>
  <c r="AK42" i="52"/>
  <c r="AJ26" i="50"/>
  <c r="G55" i="50"/>
  <c r="AJ25" i="46"/>
  <c r="G50" i="49"/>
  <c r="AJ18" i="51"/>
  <c r="E50" i="52"/>
  <c r="G17" i="45"/>
  <c r="AL13" i="52"/>
  <c r="E38" i="52"/>
  <c r="AL36" i="52"/>
  <c r="AJ16" i="49"/>
  <c r="AJ13" i="50"/>
  <c r="AL63" i="52"/>
  <c r="G9" i="51"/>
  <c r="AJ42" i="49"/>
  <c r="G9" i="46"/>
  <c r="G31" i="51"/>
  <c r="AJ43" i="50"/>
  <c r="G16" i="45"/>
  <c r="AL38" i="52"/>
  <c r="AJ42" i="51"/>
  <c r="AJ35" i="49"/>
  <c r="G45" i="50"/>
  <c r="G39" i="51"/>
  <c r="G29" i="51"/>
  <c r="AL53" i="52"/>
  <c r="AK18" i="52"/>
  <c r="AJ46" i="51"/>
  <c r="G37" i="50"/>
  <c r="G35" i="49"/>
  <c r="G53" i="51"/>
  <c r="G7" i="50"/>
  <c r="G32" i="51"/>
  <c r="AJ31" i="49"/>
  <c r="AK61" i="52"/>
  <c r="G25" i="49"/>
  <c r="G48" i="51"/>
  <c r="G45" i="49"/>
  <c r="AJ57" i="50"/>
  <c r="G34" i="45"/>
  <c r="AJ10" i="47"/>
  <c r="G33" i="49"/>
  <c r="AJ29" i="49"/>
  <c r="G13" i="49"/>
  <c r="AJ23" i="51"/>
  <c r="G40" i="51"/>
  <c r="E40" i="52"/>
  <c r="AK25" i="52"/>
  <c r="G43" i="50"/>
  <c r="G38" i="49"/>
  <c r="G26" i="49"/>
  <c r="AJ16" i="46"/>
  <c r="AL20" i="52"/>
  <c r="AJ53" i="49"/>
  <c r="AK54" i="52"/>
  <c r="AL56" i="52"/>
  <c r="G34" i="49"/>
  <c r="G54" i="49"/>
  <c r="AJ58" i="49"/>
  <c r="AL45" i="52"/>
  <c r="AJ50" i="50"/>
  <c r="AL51" i="52"/>
  <c r="G17" i="50"/>
  <c r="AK40" i="52"/>
  <c r="E24" i="52"/>
  <c r="AL21" i="52"/>
  <c r="G16" i="47"/>
  <c r="AJ20" i="50"/>
  <c r="AK24" i="52"/>
  <c r="G8" i="50"/>
  <c r="E37" i="52"/>
  <c r="G61" i="47"/>
  <c r="G63" i="49"/>
  <c r="E41" i="52"/>
  <c r="AJ65" i="51"/>
  <c r="AK50" i="52"/>
  <c r="G52" i="51"/>
  <c r="AJ22" i="50"/>
  <c r="AJ15" i="50"/>
  <c r="AJ20" i="51"/>
  <c r="AJ24" i="50"/>
  <c r="AJ58" i="47"/>
  <c r="AL24" i="52"/>
  <c r="AJ54" i="50"/>
  <c r="AK10" i="52"/>
  <c r="G44" i="49"/>
  <c r="G27" i="47"/>
  <c r="E47" i="52"/>
  <c r="AJ57" i="49"/>
  <c r="AJ13" i="49"/>
  <c r="AJ54" i="49"/>
  <c r="AK57" i="52"/>
  <c r="AJ58" i="51"/>
  <c r="G55" i="51"/>
  <c r="AJ39" i="49"/>
  <c r="G15" i="49"/>
  <c r="G36" i="49"/>
  <c r="AJ32" i="46"/>
  <c r="G65" i="47"/>
  <c r="AJ38" i="51"/>
  <c r="AK47" i="52"/>
  <c r="G9" i="47"/>
  <c r="AJ36" i="51"/>
  <c r="AK14" i="52"/>
  <c r="AJ7" i="45"/>
  <c r="G34" i="51"/>
  <c r="AL52" i="52"/>
  <c r="G32" i="50"/>
  <c r="G31" i="50"/>
  <c r="AL18" i="52"/>
  <c r="E35" i="52"/>
  <c r="AL62" i="52"/>
  <c r="E34" i="52"/>
  <c r="AJ61" i="50"/>
  <c r="AJ33" i="51"/>
  <c r="AK36" i="52"/>
  <c r="G37" i="51"/>
  <c r="G14" i="49"/>
  <c r="G50" i="51"/>
  <c r="G22" i="50"/>
  <c r="AL35" i="52"/>
  <c r="G29" i="45"/>
  <c r="E12" i="52"/>
  <c r="AJ34" i="49"/>
  <c r="E21" i="52"/>
  <c r="G57" i="49"/>
  <c r="AJ50" i="51"/>
  <c r="G51" i="49"/>
  <c r="AJ39" i="50"/>
  <c r="AJ23" i="50"/>
  <c r="AJ28" i="50"/>
  <c r="G28" i="47"/>
  <c r="AJ43" i="49"/>
  <c r="G20" i="50"/>
  <c r="AL41" i="52"/>
  <c r="AJ53" i="50"/>
  <c r="AJ31" i="46"/>
  <c r="AJ28" i="45"/>
  <c r="G36" i="51"/>
  <c r="AL40" i="52"/>
  <c r="AJ41" i="51"/>
  <c r="G35" i="51"/>
  <c r="G9" i="50"/>
  <c r="AL8" i="52"/>
  <c r="G56" i="51"/>
  <c r="AJ25" i="49"/>
  <c r="AJ47" i="50"/>
  <c r="AJ42" i="50"/>
  <c r="AJ18" i="50"/>
  <c r="AJ67" i="50"/>
  <c r="E15" i="52"/>
  <c r="G64" i="51"/>
  <c r="AJ37" i="51"/>
  <c r="E45" i="52"/>
  <c r="AJ7" i="50"/>
  <c r="AL34" i="52"/>
  <c r="G8" i="46"/>
  <c r="G10" i="46"/>
  <c r="G13" i="47"/>
  <c r="G21" i="50"/>
  <c r="AK34" i="52"/>
  <c r="AJ38" i="49"/>
  <c r="G46" i="51"/>
  <c r="G22" i="51"/>
  <c r="AJ21" i="50"/>
  <c r="AJ60" i="49"/>
  <c r="G46" i="50"/>
  <c r="G57" i="50"/>
  <c r="AK20" i="52"/>
  <c r="AK9" i="52"/>
  <c r="AJ55" i="50"/>
  <c r="G14" i="51"/>
  <c r="AJ10" i="45"/>
  <c r="AL32" i="52"/>
  <c r="AJ20" i="46"/>
  <c r="AJ60" i="50"/>
  <c r="AJ11" i="45"/>
  <c r="AJ37" i="50"/>
  <c r="AJ29" i="50"/>
  <c r="AJ8" i="50"/>
  <c r="G27" i="51"/>
  <c r="AJ27" i="51"/>
  <c r="AJ35" i="51"/>
  <c r="G38" i="50"/>
  <c r="AJ38" i="50"/>
  <c r="E26" i="52"/>
  <c r="G24" i="50"/>
  <c r="E57" i="52"/>
  <c r="G48" i="49"/>
  <c r="AK28" i="52"/>
  <c r="G57" i="51"/>
  <c r="AJ47" i="49"/>
  <c r="AJ11" i="50"/>
  <c r="G37" i="49"/>
  <c r="AL26" i="52"/>
  <c r="AJ49" i="51"/>
  <c r="G42" i="49"/>
  <c r="G8" i="51"/>
  <c r="G46" i="49"/>
  <c r="G44" i="51"/>
  <c r="G16" i="50"/>
  <c r="AJ9" i="51"/>
  <c r="G24" i="49"/>
  <c r="E19" i="52"/>
  <c r="AJ10" i="51"/>
  <c r="G29" i="49"/>
  <c r="AJ9" i="50"/>
  <c r="AJ40" i="46"/>
  <c r="G39" i="49"/>
  <c r="AJ24" i="49"/>
  <c r="E25" i="52"/>
  <c r="E56" i="52"/>
  <c r="AJ28" i="49"/>
  <c r="E30" i="52"/>
  <c r="G49" i="49"/>
  <c r="AK46" i="52"/>
  <c r="AL57" i="52"/>
  <c r="AJ54" i="51"/>
  <c r="G28" i="49"/>
  <c r="G25" i="50"/>
  <c r="G58" i="51"/>
  <c r="AL50" i="52"/>
  <c r="AJ36" i="49"/>
  <c r="E11" i="52"/>
  <c r="E64" i="52"/>
  <c r="G30" i="51"/>
  <c r="AJ50" i="46"/>
  <c r="G62" i="50"/>
  <c r="AJ62" i="50"/>
  <c r="AJ62" i="49"/>
  <c r="G24" i="51"/>
  <c r="G19" i="51"/>
  <c r="AJ56" i="51"/>
  <c r="G30" i="50"/>
  <c r="AJ40" i="51"/>
  <c r="G7" i="49"/>
  <c r="AJ40" i="50"/>
  <c r="G14" i="46"/>
  <c r="E33" i="52"/>
  <c r="AJ47" i="45"/>
  <c r="AJ19" i="51"/>
  <c r="AL31" i="52"/>
  <c r="AJ25" i="51"/>
  <c r="E7" i="52"/>
  <c r="AJ57" i="46"/>
  <c r="G10" i="49"/>
  <c r="AJ30" i="49"/>
  <c r="E53" i="52"/>
  <c r="AK15" i="52"/>
  <c r="G48" i="50"/>
  <c r="AJ64" i="50"/>
  <c r="AJ10" i="50"/>
  <c r="G13" i="46"/>
  <c r="AK31" i="52"/>
  <c r="G64" i="47"/>
  <c r="AJ59" i="50"/>
  <c r="AJ51" i="49"/>
  <c r="G16" i="49"/>
  <c r="G45" i="51"/>
  <c r="AK17" i="52"/>
  <c r="E55" i="52"/>
  <c r="AK38" i="52"/>
  <c r="AK39" i="52"/>
  <c r="AJ44" i="51"/>
  <c r="AJ17" i="50"/>
  <c r="AK30" i="52"/>
  <c r="E8" i="52"/>
  <c r="G29" i="50"/>
  <c r="AJ42" i="45"/>
  <c r="AK27" i="52"/>
  <c r="G49" i="51"/>
  <c r="AK55" i="52"/>
  <c r="G60" i="46"/>
  <c r="G22" i="49"/>
  <c r="AK41" i="52"/>
  <c r="AJ20" i="45"/>
  <c r="G18" i="51"/>
  <c r="G32" i="49"/>
  <c r="G58" i="50"/>
  <c r="G11" i="46"/>
  <c r="AK23" i="52"/>
  <c r="AJ23" i="49"/>
  <c r="E51" i="52"/>
  <c r="AJ63" i="51"/>
  <c r="AJ12" i="49"/>
  <c r="G33" i="50"/>
  <c r="E32" i="52"/>
  <c r="G38" i="51"/>
  <c r="AJ46" i="50"/>
  <c r="AK33" i="52"/>
  <c r="G10" i="50"/>
  <c r="G21" i="45"/>
  <c r="G9" i="49"/>
  <c r="AJ14" i="49"/>
  <c r="G10" i="51"/>
  <c r="E29" i="52"/>
  <c r="E52" i="52"/>
  <c r="AJ10" i="49"/>
  <c r="AJ17" i="51"/>
  <c r="G63" i="51"/>
  <c r="AK35" i="52"/>
  <c r="G13" i="50"/>
  <c r="AL9" i="52"/>
  <c r="AJ34" i="50"/>
  <c r="AJ28" i="51"/>
  <c r="G13" i="45"/>
  <c r="G21" i="49"/>
  <c r="G64" i="50"/>
  <c r="E17" i="52"/>
  <c r="AJ32" i="49"/>
  <c r="AL33" i="52"/>
  <c r="AJ29" i="51"/>
  <c r="AL47" i="52"/>
  <c r="AJ40" i="49"/>
  <c r="G44" i="50"/>
  <c r="AK44" i="52"/>
  <c r="AL30" i="52"/>
  <c r="G26" i="50"/>
  <c r="G16" i="51"/>
  <c r="AJ17" i="49"/>
  <c r="G12" i="45"/>
  <c r="G12" i="46"/>
  <c r="G40" i="50"/>
  <c r="G41" i="49"/>
  <c r="AK29" i="52"/>
  <c r="AJ34" i="51"/>
  <c r="AJ44" i="49"/>
  <c r="G8" i="45"/>
  <c r="AJ16" i="45"/>
  <c r="G28" i="51"/>
  <c r="G27" i="50"/>
  <c r="AJ7" i="51"/>
  <c r="G16" i="46"/>
  <c r="AK53" i="52"/>
  <c r="E48" i="52"/>
  <c r="AJ32" i="51"/>
  <c r="G42" i="51"/>
  <c r="AL61" i="52"/>
  <c r="AJ30" i="50"/>
  <c r="AL22" i="52"/>
  <c r="AJ50" i="49"/>
  <c r="G17" i="49"/>
  <c r="G12" i="50"/>
  <c r="G8" i="47"/>
  <c r="AJ55" i="45"/>
  <c r="G52" i="49"/>
  <c r="AL17" i="52"/>
  <c r="G41" i="51"/>
  <c r="G11" i="47"/>
  <c r="AJ23" i="46"/>
  <c r="AK8" i="52"/>
  <c r="AJ67" i="49"/>
  <c r="AJ45" i="49"/>
  <c r="G55" i="49"/>
  <c r="AK13" i="52"/>
  <c r="AL10" i="52"/>
  <c r="G50" i="50"/>
  <c r="AJ51" i="51"/>
  <c r="AL44" i="52"/>
  <c r="AJ52" i="51"/>
  <c r="G63" i="50"/>
  <c r="G23" i="49"/>
  <c r="G58" i="49"/>
  <c r="AJ48" i="51"/>
  <c r="AK26" i="52"/>
  <c r="AJ31" i="50"/>
  <c r="AJ22" i="51"/>
  <c r="AK16" i="52"/>
  <c r="E39" i="52"/>
  <c r="E12" i="51"/>
  <c r="G18" i="50"/>
  <c r="G19" i="50"/>
  <c r="AJ50" i="45"/>
  <c r="E43" i="52"/>
  <c r="G27" i="49"/>
  <c r="AJ63" i="49"/>
  <c r="E9" i="52"/>
  <c r="AK37" i="52"/>
  <c r="E31" i="52"/>
  <c r="AK32" i="52"/>
  <c r="E14" i="52"/>
  <c r="G62" i="49"/>
  <c r="AK63" i="52"/>
  <c r="AJ24" i="45"/>
  <c r="G25" i="45"/>
  <c r="AJ16" i="50"/>
  <c r="G51" i="50"/>
  <c r="G25" i="51"/>
  <c r="E18" i="52"/>
  <c r="AJ16" i="51"/>
  <c r="AJ33" i="49"/>
  <c r="AO31" i="7"/>
  <c r="AO21" i="7"/>
  <c r="AL7" i="7"/>
  <c r="AG15" i="52" l="1"/>
  <c r="AH15" i="52"/>
  <c r="AH18" i="52"/>
  <c r="AG18" i="52"/>
  <c r="AG7" i="52"/>
  <c r="AH7" i="52"/>
  <c r="AG44" i="52"/>
  <c r="AH44" i="52"/>
  <c r="AG42" i="52"/>
  <c r="AH42" i="52"/>
  <c r="AM9" i="52"/>
  <c r="AM45" i="52"/>
  <c r="AK61" i="49"/>
  <c r="AM61" i="49" s="1"/>
  <c r="AL61" i="49"/>
  <c r="AM36" i="52"/>
  <c r="AM34" i="52"/>
  <c r="AM32" i="52"/>
  <c r="AH29" i="52"/>
  <c r="AG29" i="52"/>
  <c r="AM19" i="52"/>
  <c r="AK66" i="50"/>
  <c r="AM66" i="50" s="1"/>
  <c r="AL66" i="50"/>
  <c r="AM15" i="52"/>
  <c r="AH24" i="52"/>
  <c r="AG24" i="52"/>
  <c r="AG45" i="52"/>
  <c r="AH45" i="52"/>
  <c r="AK61" i="51"/>
  <c r="AM61" i="51" s="1"/>
  <c r="AL61" i="51"/>
  <c r="AG8" i="52"/>
  <c r="AH8" i="52"/>
  <c r="AL67" i="49"/>
  <c r="AK67" i="49"/>
  <c r="AM67" i="49" s="1"/>
  <c r="AK60" i="50"/>
  <c r="AM60" i="50" s="1"/>
  <c r="AL60" i="50"/>
  <c r="AL67" i="51"/>
  <c r="AK67" i="51"/>
  <c r="AM67" i="51" s="1"/>
  <c r="U9" i="52"/>
  <c r="V9" i="52" s="1"/>
  <c r="O9" i="52"/>
  <c r="O11" i="52"/>
  <c r="U13" i="52"/>
  <c r="V13" i="52" s="1"/>
  <c r="U11" i="52"/>
  <c r="V11" i="52" s="1"/>
  <c r="R9" i="52"/>
  <c r="R16" i="52" a="1"/>
  <c r="R16" i="52" s="1"/>
  <c r="O13" i="52"/>
  <c r="R8" i="52"/>
  <c r="O16" i="52" a="1"/>
  <c r="O16" i="52" s="1"/>
  <c r="O8" i="52"/>
  <c r="R13" i="52"/>
  <c r="S13" i="52" s="1"/>
  <c r="U12" i="52"/>
  <c r="O10" i="52"/>
  <c r="U10" i="52"/>
  <c r="U16" i="52" a="1"/>
  <c r="U16" i="52" s="1"/>
  <c r="R12" i="52"/>
  <c r="U8" i="52"/>
  <c r="V8" i="52" s="1"/>
  <c r="R10" i="52"/>
  <c r="O12" i="52"/>
  <c r="R11" i="52"/>
  <c r="AH36" i="52"/>
  <c r="AG36" i="52"/>
  <c r="AL66" i="49"/>
  <c r="AK66" i="49"/>
  <c r="AM66" i="49" s="1"/>
  <c r="AM31" i="52"/>
  <c r="AM16" i="52"/>
  <c r="AM62" i="52"/>
  <c r="AH40" i="52"/>
  <c r="AG40" i="52"/>
  <c r="AG34" i="52"/>
  <c r="AH34" i="52"/>
  <c r="AH35" i="52"/>
  <c r="AG35" i="52"/>
  <c r="AG17" i="52"/>
  <c r="AH17" i="52"/>
  <c r="AM14" i="52"/>
  <c r="AM55" i="52"/>
  <c r="AH26" i="52"/>
  <c r="AG26" i="52"/>
  <c r="AH47" i="52"/>
  <c r="AG47" i="52"/>
  <c r="AK59" i="51"/>
  <c r="AM59" i="51" s="1"/>
  <c r="AL59" i="51"/>
  <c r="AM35" i="52"/>
  <c r="AM39" i="52"/>
  <c r="AM46" i="52"/>
  <c r="AM47" i="52"/>
  <c r="AM10" i="52"/>
  <c r="AH28" i="52"/>
  <c r="AG28" i="52"/>
  <c r="AG49" i="52"/>
  <c r="AH49" i="52"/>
  <c r="AH20" i="52"/>
  <c r="AG20" i="52"/>
  <c r="AK61" i="50"/>
  <c r="AM61" i="50" s="1"/>
  <c r="AL61" i="50"/>
  <c r="AM33" i="52"/>
  <c r="AG51" i="52"/>
  <c r="AH51" i="52"/>
  <c r="AM20" i="52"/>
  <c r="AM22" i="52"/>
  <c r="AH23" i="52"/>
  <c r="AG23" i="52"/>
  <c r="AM53" i="52"/>
  <c r="AL60" i="51"/>
  <c r="AK60" i="51"/>
  <c r="AM60" i="51" s="1"/>
  <c r="AH10" i="52"/>
  <c r="AG10" i="52"/>
  <c r="AM27" i="52"/>
  <c r="AM13" i="52"/>
  <c r="AM21" i="52"/>
  <c r="AM56" i="52"/>
  <c r="AG19" i="52"/>
  <c r="AH19" i="52"/>
  <c r="AG21" i="52"/>
  <c r="AH21" i="52"/>
  <c r="AH43" i="52"/>
  <c r="AG43" i="52"/>
  <c r="AG39" i="52"/>
  <c r="AH39" i="52"/>
  <c r="AM43" i="52"/>
  <c r="AL67" i="50"/>
  <c r="AK67" i="50"/>
  <c r="AM67" i="50" s="1"/>
  <c r="AM12" i="52"/>
  <c r="AH27" i="52"/>
  <c r="AG27" i="52"/>
  <c r="AM54" i="52"/>
  <c r="AG62" i="52"/>
  <c r="AH62" i="52"/>
  <c r="AK59" i="50"/>
  <c r="AM59" i="50" s="1"/>
  <c r="AL59" i="50"/>
  <c r="AG12" i="52"/>
  <c r="AH12" i="52"/>
  <c r="AG32" i="52"/>
  <c r="AH32" i="52"/>
  <c r="AM17" i="52"/>
  <c r="AM61" i="52"/>
  <c r="AM7" i="52"/>
  <c r="AM52" i="52"/>
  <c r="AK66" i="51"/>
  <c r="AM66" i="51" s="1"/>
  <c r="AL66" i="51"/>
  <c r="AH22" i="52"/>
  <c r="AG22" i="52"/>
  <c r="AM41" i="52"/>
  <c r="AM57" i="52"/>
  <c r="AK65" i="49"/>
  <c r="AM65" i="49" s="1"/>
  <c r="AL65" i="49"/>
  <c r="AG9" i="52"/>
  <c r="AH9" i="52"/>
  <c r="AM18" i="52"/>
  <c r="AG33" i="52"/>
  <c r="AH33" i="52"/>
  <c r="AM8" i="52"/>
  <c r="AH30" i="52"/>
  <c r="AG30" i="52"/>
  <c r="AM28" i="52"/>
  <c r="AG48" i="52"/>
  <c r="AH48" i="52"/>
  <c r="AG16" i="52"/>
  <c r="AH16" i="52"/>
  <c r="AM42" i="52"/>
  <c r="AM48" i="52"/>
  <c r="AM40" i="52"/>
  <c r="AH55" i="52"/>
  <c r="AG55" i="52"/>
  <c r="AM64" i="52"/>
  <c r="AH54" i="52"/>
  <c r="AG54" i="52"/>
  <c r="AM63" i="52"/>
  <c r="AM29" i="52"/>
  <c r="AH31" i="52"/>
  <c r="AG31" i="52"/>
  <c r="AL60" i="49"/>
  <c r="AK60" i="49"/>
  <c r="AM60" i="49" s="1"/>
  <c r="AH53" i="52"/>
  <c r="AG53" i="52"/>
  <c r="AH57" i="52"/>
  <c r="AG57" i="52"/>
  <c r="AM49" i="52"/>
  <c r="AG13" i="52"/>
  <c r="AH13" i="52"/>
  <c r="AM30" i="52"/>
  <c r="AM50" i="52"/>
  <c r="AH56" i="52"/>
  <c r="AG56" i="52"/>
  <c r="AG41" i="52"/>
  <c r="AH41" i="52"/>
  <c r="AM25" i="52"/>
  <c r="AM24" i="52"/>
  <c r="AM38" i="52"/>
  <c r="AM37" i="52"/>
  <c r="AH37" i="52"/>
  <c r="AG37" i="52"/>
  <c r="AM23" i="52"/>
  <c r="AG61" i="52"/>
  <c r="AH61" i="52"/>
  <c r="AH52" i="52"/>
  <c r="AG52" i="52"/>
  <c r="AM44" i="52"/>
  <c r="AH25" i="52"/>
  <c r="AG25" i="52"/>
  <c r="AG50" i="52"/>
  <c r="AH50" i="52"/>
  <c r="AM51" i="52"/>
  <c r="AK65" i="51"/>
  <c r="AM65" i="51" s="1"/>
  <c r="AL65" i="51"/>
  <c r="AG14" i="52"/>
  <c r="AH14" i="52"/>
  <c r="AM26" i="52"/>
  <c r="AH46" i="52"/>
  <c r="AG46" i="52"/>
  <c r="AG38" i="52"/>
  <c r="AH38" i="52"/>
  <c r="AK65" i="50"/>
  <c r="AM65" i="50" s="1"/>
  <c r="AL65" i="50"/>
  <c r="BD29" i="56"/>
  <c r="BC30" i="56"/>
  <c r="BH28" i="56"/>
  <c r="BG28" i="56"/>
  <c r="BF28" i="56"/>
  <c r="BI28" i="56"/>
  <c r="BD30" i="55"/>
  <c r="BC31" i="55"/>
  <c r="BH29" i="55"/>
  <c r="BF29" i="55"/>
  <c r="BG29" i="55"/>
  <c r="BI29" i="55"/>
  <c r="BH27" i="54"/>
  <c r="BF27" i="54"/>
  <c r="BI27" i="54"/>
  <c r="BG27" i="54"/>
  <c r="BD28" i="54"/>
  <c r="BC29" i="54"/>
  <c r="BC22" i="52"/>
  <c r="BD21" i="52"/>
  <c r="BF20" i="52"/>
  <c r="BI20" i="52"/>
  <c r="BH20" i="52"/>
  <c r="BG20" i="52"/>
  <c r="BD22" i="51"/>
  <c r="BC23" i="51"/>
  <c r="BI21" i="51"/>
  <c r="BG21" i="51"/>
  <c r="BH21" i="51"/>
  <c r="BF21" i="51"/>
  <c r="BC20" i="50"/>
  <c r="BD19" i="50"/>
  <c r="BF18" i="50"/>
  <c r="BI18" i="50"/>
  <c r="BH18" i="50"/>
  <c r="BG18" i="50"/>
  <c r="BH21" i="49"/>
  <c r="BG21" i="49"/>
  <c r="BI21" i="49"/>
  <c r="BF21" i="49"/>
  <c r="BD22" i="49"/>
  <c r="BC23" i="49"/>
  <c r="BG16" i="43"/>
  <c r="BI16" i="43"/>
  <c r="BH16" i="43"/>
  <c r="BF16" i="43"/>
  <c r="BD17" i="43"/>
  <c r="BC18" i="43"/>
  <c r="BD17" i="40"/>
  <c r="BC18" i="40"/>
  <c r="BI16" i="40"/>
  <c r="BG16" i="40"/>
  <c r="BF16" i="40"/>
  <c r="BH16" i="40"/>
  <c r="BC17" i="34"/>
  <c r="BD16" i="34"/>
  <c r="BI15" i="34"/>
  <c r="BG15" i="34"/>
  <c r="BF15" i="34"/>
  <c r="BH15" i="34"/>
  <c r="BC18" i="45"/>
  <c r="BD17" i="45"/>
  <c r="BI16" i="45"/>
  <c r="BH16" i="45"/>
  <c r="BG16" i="45"/>
  <c r="BF16" i="45"/>
  <c r="BI16" i="46"/>
  <c r="BH16" i="46"/>
  <c r="BG16" i="46"/>
  <c r="BF16" i="46"/>
  <c r="BC18" i="46"/>
  <c r="BD17" i="46"/>
  <c r="BC17" i="47"/>
  <c r="BD17" i="47" s="1"/>
  <c r="BI15" i="47"/>
  <c r="BH15" i="47"/>
  <c r="BG15" i="47"/>
  <c r="BF15" i="47"/>
  <c r="AL57" i="50"/>
  <c r="AL15" i="51"/>
  <c r="AK64" i="51"/>
  <c r="E47" i="51"/>
  <c r="AK51" i="51"/>
  <c r="AL8" i="51"/>
  <c r="E22" i="51"/>
  <c r="E47" i="49"/>
  <c r="AL23" i="50"/>
  <c r="E29" i="51"/>
  <c r="AK62" i="50"/>
  <c r="AK13" i="50"/>
  <c r="AL11" i="50"/>
  <c r="E44" i="50"/>
  <c r="E25" i="50"/>
  <c r="AL31" i="50"/>
  <c r="AK49" i="50"/>
  <c r="AK28" i="51"/>
  <c r="AL63" i="50"/>
  <c r="AK43" i="51"/>
  <c r="AL56" i="50"/>
  <c r="AL38" i="50"/>
  <c r="E28" i="51"/>
  <c r="E35" i="51"/>
  <c r="E7" i="50"/>
  <c r="AL52" i="51"/>
  <c r="AK7" i="51"/>
  <c r="AL55" i="50"/>
  <c r="E35" i="50"/>
  <c r="E51" i="51"/>
  <c r="AL32" i="51"/>
  <c r="AK7" i="50"/>
  <c r="AL35" i="51"/>
  <c r="E55" i="51"/>
  <c r="AK33" i="50"/>
  <c r="AL20" i="50"/>
  <c r="E16" i="51"/>
  <c r="AK21" i="50"/>
  <c r="AL55" i="51"/>
  <c r="AL16" i="51"/>
  <c r="AK31" i="50"/>
  <c r="E14" i="50"/>
  <c r="E62" i="51"/>
  <c r="AK12" i="51"/>
  <c r="AL30" i="50"/>
  <c r="AK17" i="51"/>
  <c r="E56" i="50"/>
  <c r="AL12" i="51"/>
  <c r="AK56" i="51"/>
  <c r="AK32" i="51"/>
  <c r="AK9" i="51"/>
  <c r="E48" i="50"/>
  <c r="E13" i="50"/>
  <c r="E15" i="49"/>
  <c r="AL52" i="50"/>
  <c r="E39" i="51"/>
  <c r="E52" i="51"/>
  <c r="AK46" i="51"/>
  <c r="AL56" i="51"/>
  <c r="E11" i="50"/>
  <c r="E55" i="49"/>
  <c r="AK53" i="50"/>
  <c r="E16" i="50"/>
  <c r="AK54" i="51"/>
  <c r="AL10" i="51"/>
  <c r="AL45" i="50"/>
  <c r="AL54" i="51"/>
  <c r="E41" i="50"/>
  <c r="E55" i="50"/>
  <c r="AL36" i="51"/>
  <c r="AL27" i="51"/>
  <c r="AL41" i="51"/>
  <c r="E36" i="50"/>
  <c r="E32" i="51"/>
  <c r="E38" i="50"/>
  <c r="AK31" i="51"/>
  <c r="AL25" i="50"/>
  <c r="AL28" i="50"/>
  <c r="AK10" i="50"/>
  <c r="AK44" i="50"/>
  <c r="AK34" i="50"/>
  <c r="AK34" i="51"/>
  <c r="AL8" i="50"/>
  <c r="AL51" i="50"/>
  <c r="AL50" i="51"/>
  <c r="AK33" i="51"/>
  <c r="E23" i="50"/>
  <c r="E30" i="50"/>
  <c r="E15" i="50"/>
  <c r="E27" i="50"/>
  <c r="E38" i="51"/>
  <c r="E62" i="50"/>
  <c r="AK36" i="51"/>
  <c r="AL49" i="51"/>
  <c r="AL9" i="50"/>
  <c r="E64" i="50"/>
  <c r="AL7" i="51"/>
  <c r="E19" i="51"/>
  <c r="AL40" i="50"/>
  <c r="AK16" i="50"/>
  <c r="AL47" i="51"/>
  <c r="E32" i="50"/>
  <c r="E13" i="49"/>
  <c r="AL22" i="50"/>
  <c r="AL37" i="50"/>
  <c r="E36" i="51"/>
  <c r="AK37" i="50"/>
  <c r="E18" i="50"/>
  <c r="AK9" i="50"/>
  <c r="E9" i="50"/>
  <c r="AK39" i="51"/>
  <c r="E37" i="51"/>
  <c r="E57" i="50"/>
  <c r="AL29" i="50"/>
  <c r="E50" i="51"/>
  <c r="AL30" i="51"/>
  <c r="AL57" i="51"/>
  <c r="AK29" i="50"/>
  <c r="E64" i="51"/>
  <c r="AK24" i="50"/>
  <c r="E53" i="50"/>
  <c r="E29" i="50"/>
  <c r="AK48" i="51"/>
  <c r="E17" i="51"/>
  <c r="AK8" i="50"/>
  <c r="AL44" i="51"/>
  <c r="AK41" i="50"/>
  <c r="AK45" i="51"/>
  <c r="AK58" i="51"/>
  <c r="AK27" i="51"/>
  <c r="AK42" i="51"/>
  <c r="AL28" i="51"/>
  <c r="AK25" i="50"/>
  <c r="AK35" i="50"/>
  <c r="E9" i="51"/>
  <c r="AK23" i="51"/>
  <c r="AK56" i="50"/>
  <c r="AL25" i="51"/>
  <c r="AK42" i="50"/>
  <c r="AL13" i="51"/>
  <c r="AK43" i="50"/>
  <c r="AK54" i="50"/>
  <c r="AL41" i="50"/>
  <c r="E33" i="50"/>
  <c r="E30" i="51"/>
  <c r="AK13" i="51"/>
  <c r="AK47" i="51"/>
  <c r="E19" i="50"/>
  <c r="AL36" i="50"/>
  <c r="AK15" i="50"/>
  <c r="E13" i="51"/>
  <c r="AK47" i="50"/>
  <c r="E34" i="51"/>
  <c r="AL31" i="51"/>
  <c r="AK20" i="50"/>
  <c r="E54" i="51"/>
  <c r="E21" i="51"/>
  <c r="AK32" i="50"/>
  <c r="E20" i="50"/>
  <c r="E39" i="50"/>
  <c r="AK45" i="50"/>
  <c r="E11" i="51"/>
  <c r="AK21" i="51"/>
  <c r="AK24" i="51"/>
  <c r="AL58" i="51"/>
  <c r="E42" i="51"/>
  <c r="E45" i="51"/>
  <c r="AL40" i="51"/>
  <c r="E58" i="50"/>
  <c r="AK18" i="50"/>
  <c r="AK20" i="51"/>
  <c r="AK38" i="50"/>
  <c r="AK14" i="51"/>
  <c r="AL34" i="51"/>
  <c r="AL9" i="51"/>
  <c r="AL64" i="51"/>
  <c r="E43" i="50"/>
  <c r="AL42" i="50"/>
  <c r="AL50" i="50"/>
  <c r="AL33" i="51"/>
  <c r="E46" i="50"/>
  <c r="AK50" i="51"/>
  <c r="E40" i="50"/>
  <c r="E58" i="51"/>
  <c r="E33" i="51"/>
  <c r="E25" i="51"/>
  <c r="AL21" i="50"/>
  <c r="E22" i="50"/>
  <c r="AK44" i="51"/>
  <c r="E24" i="51"/>
  <c r="AL26" i="51"/>
  <c r="AL32" i="50"/>
  <c r="AL29" i="51"/>
  <c r="AK52" i="51"/>
  <c r="AL46" i="50"/>
  <c r="AL58" i="50"/>
  <c r="E8" i="51"/>
  <c r="AK15" i="51"/>
  <c r="AK14" i="50"/>
  <c r="AL49" i="50"/>
  <c r="E18" i="51"/>
  <c r="E44" i="51"/>
  <c r="AL11" i="51"/>
  <c r="AK58" i="50"/>
  <c r="E54" i="50"/>
  <c r="AL14" i="50"/>
  <c r="AL38" i="51"/>
  <c r="AL27" i="50"/>
  <c r="E26" i="50"/>
  <c r="AL19" i="50"/>
  <c r="E34" i="50"/>
  <c r="E47" i="50"/>
  <c r="AL33" i="50"/>
  <c r="AL53" i="50"/>
  <c r="AL39" i="50"/>
  <c r="AL22" i="51"/>
  <c r="E31" i="51"/>
  <c r="E23" i="51"/>
  <c r="AL44" i="50"/>
  <c r="E12" i="50"/>
  <c r="AL48" i="51"/>
  <c r="AK46" i="50"/>
  <c r="AL16" i="50"/>
  <c r="AK52" i="50"/>
  <c r="AL24" i="50"/>
  <c r="AL51" i="51"/>
  <c r="AK40" i="50"/>
  <c r="AK30" i="51"/>
  <c r="AL42" i="51"/>
  <c r="AL17" i="51"/>
  <c r="AK10" i="51"/>
  <c r="E28" i="50"/>
  <c r="AL17" i="50"/>
  <c r="E41" i="51"/>
  <c r="AK11" i="50"/>
  <c r="AL24" i="51"/>
  <c r="AK19" i="51"/>
  <c r="AK30" i="50"/>
  <c r="AK28" i="50"/>
  <c r="AK18" i="51"/>
  <c r="E27" i="51"/>
  <c r="AK48" i="50"/>
  <c r="AK26" i="51"/>
  <c r="AK8" i="51"/>
  <c r="AL18" i="51"/>
  <c r="E42" i="50"/>
  <c r="AL54" i="50"/>
  <c r="AK37" i="51"/>
  <c r="AL19" i="51"/>
  <c r="E57" i="51"/>
  <c r="AK50" i="50"/>
  <c r="AK39" i="50"/>
  <c r="E21" i="50"/>
  <c r="E26" i="51"/>
  <c r="AK51" i="50"/>
  <c r="E53" i="51"/>
  <c r="AL64" i="50"/>
  <c r="AL46" i="51"/>
  <c r="AL47" i="50"/>
  <c r="AL7" i="50"/>
  <c r="E10" i="51"/>
  <c r="AK11" i="51"/>
  <c r="AL12" i="50"/>
  <c r="AL63" i="51"/>
  <c r="AK25" i="51"/>
  <c r="AK19" i="50"/>
  <c r="AL62" i="50"/>
  <c r="E17" i="50"/>
  <c r="E49" i="51"/>
  <c r="AK16" i="51"/>
  <c r="E50" i="50"/>
  <c r="AK55" i="51"/>
  <c r="AL23" i="51"/>
  <c r="AK64" i="50"/>
  <c r="AL26" i="50"/>
  <c r="AK26" i="50"/>
  <c r="AL45" i="51"/>
  <c r="AL13" i="50"/>
  <c r="AK29" i="51"/>
  <c r="E20" i="51"/>
  <c r="AK55" i="50"/>
  <c r="AL14" i="51"/>
  <c r="AK53" i="51"/>
  <c r="E63" i="51"/>
  <c r="AL62" i="51"/>
  <c r="E56" i="51"/>
  <c r="E63" i="50"/>
  <c r="AL43" i="50"/>
  <c r="AL53" i="51"/>
  <c r="AL39" i="51"/>
  <c r="E24" i="50"/>
  <c r="AL43" i="51"/>
  <c r="AL34" i="50"/>
  <c r="AL20" i="51"/>
  <c r="AL21" i="51"/>
  <c r="AK36" i="50"/>
  <c r="AK27" i="50"/>
  <c r="AL48" i="50"/>
  <c r="AK22" i="51"/>
  <c r="E8" i="50"/>
  <c r="E37" i="50"/>
  <c r="E40" i="51"/>
  <c r="E49" i="50"/>
  <c r="E45" i="50"/>
  <c r="AK17" i="50"/>
  <c r="AK41" i="51"/>
  <c r="AK35" i="51"/>
  <c r="E10" i="50"/>
  <c r="AL35" i="50"/>
  <c r="E14" i="51"/>
  <c r="AL18" i="50"/>
  <c r="E51" i="50"/>
  <c r="AK57" i="50"/>
  <c r="AK12" i="50"/>
  <c r="AL15" i="50"/>
  <c r="AK40" i="51"/>
  <c r="E48" i="51"/>
  <c r="AK38" i="51"/>
  <c r="AK23" i="50"/>
  <c r="AK57" i="51"/>
  <c r="E43" i="51"/>
  <c r="E46" i="51"/>
  <c r="AK63" i="51"/>
  <c r="E52" i="50"/>
  <c r="AL10" i="50"/>
  <c r="E31" i="50"/>
  <c r="AK49" i="51"/>
  <c r="AK22" i="50"/>
  <c r="AL37" i="51"/>
  <c r="AK62" i="51"/>
  <c r="AK63" i="50"/>
  <c r="AA11" i="52" l="1"/>
  <c r="AA10" i="52"/>
  <c r="O14" i="52"/>
  <c r="P14" i="52" s="1"/>
  <c r="AA9" i="52"/>
  <c r="R14" i="52"/>
  <c r="S11" i="52" s="1"/>
  <c r="AA13" i="52"/>
  <c r="U14" i="52"/>
  <c r="V10" i="52" s="1"/>
  <c r="AA8" i="52"/>
  <c r="AA12" i="52"/>
  <c r="AM23" i="50"/>
  <c r="AH50" i="51"/>
  <c r="AG50" i="51"/>
  <c r="AH12" i="51"/>
  <c r="AG12" i="51"/>
  <c r="AG31" i="51"/>
  <c r="AH31" i="51"/>
  <c r="AG18" i="51"/>
  <c r="AH18" i="51"/>
  <c r="AG58" i="51"/>
  <c r="AH58" i="51"/>
  <c r="AG24" i="50"/>
  <c r="AH24" i="50"/>
  <c r="AG62" i="51"/>
  <c r="AH62" i="51"/>
  <c r="AG55" i="51"/>
  <c r="AH55" i="51"/>
  <c r="AM56" i="50"/>
  <c r="AH40" i="51"/>
  <c r="AG40" i="51"/>
  <c r="AM9" i="50"/>
  <c r="AH14" i="51"/>
  <c r="AG14" i="51"/>
  <c r="AG30" i="50"/>
  <c r="AH30" i="50"/>
  <c r="AH32" i="50"/>
  <c r="AG32" i="50"/>
  <c r="AM41" i="51"/>
  <c r="AH13" i="51"/>
  <c r="AG13" i="51"/>
  <c r="AH52" i="50"/>
  <c r="AG52" i="50"/>
  <c r="AG26" i="51"/>
  <c r="AH26" i="51"/>
  <c r="AH30" i="51"/>
  <c r="AG30" i="51"/>
  <c r="AM21" i="51"/>
  <c r="AM54" i="50"/>
  <c r="AM37" i="51"/>
  <c r="AH21" i="50"/>
  <c r="AG21" i="50"/>
  <c r="AG46" i="51"/>
  <c r="AH46" i="51"/>
  <c r="AM17" i="51"/>
  <c r="AH12" i="50"/>
  <c r="AG12" i="50"/>
  <c r="AM54" i="51"/>
  <c r="AM47" i="51"/>
  <c r="AM9" i="51"/>
  <c r="AM22" i="51"/>
  <c r="AM51" i="50"/>
  <c r="AM27" i="50"/>
  <c r="AM57" i="50"/>
  <c r="AM37" i="50"/>
  <c r="AM28" i="51"/>
  <c r="AG20" i="50"/>
  <c r="AH20" i="50"/>
  <c r="AH25" i="50"/>
  <c r="AG25" i="50"/>
  <c r="AM43" i="50"/>
  <c r="AM52" i="51"/>
  <c r="AG56" i="51"/>
  <c r="AH56" i="51"/>
  <c r="AM44" i="50"/>
  <c r="AH24" i="51"/>
  <c r="AG24" i="51"/>
  <c r="AM23" i="51"/>
  <c r="AG31" i="50"/>
  <c r="AH31" i="50"/>
  <c r="AH25" i="51"/>
  <c r="AG25" i="51"/>
  <c r="AM56" i="51"/>
  <c r="AM13" i="50"/>
  <c r="AM13" i="51"/>
  <c r="AM55" i="50"/>
  <c r="AM63" i="50"/>
  <c r="AM45" i="51"/>
  <c r="AM16" i="51"/>
  <c r="AM22" i="50"/>
  <c r="AG43" i="50"/>
  <c r="AH43" i="50"/>
  <c r="AG13" i="50"/>
  <c r="AH13" i="50"/>
  <c r="AM47" i="50"/>
  <c r="AM49" i="50"/>
  <c r="AH63" i="51"/>
  <c r="AG63" i="51"/>
  <c r="AH51" i="50"/>
  <c r="AG51" i="50"/>
  <c r="AH9" i="50"/>
  <c r="AG9" i="50"/>
  <c r="AH46" i="50"/>
  <c r="AG46" i="50"/>
  <c r="AM27" i="51"/>
  <c r="AM16" i="50"/>
  <c r="AM29" i="51"/>
  <c r="AH34" i="51"/>
  <c r="AG34" i="51"/>
  <c r="AM44" i="51"/>
  <c r="AH19" i="50"/>
  <c r="AG19" i="50"/>
  <c r="U16" i="51" a="1"/>
  <c r="U16" i="51" s="1"/>
  <c r="O16" i="51" a="1"/>
  <c r="O16" i="51" s="1"/>
  <c r="R12" i="51"/>
  <c r="R9" i="51"/>
  <c r="U8" i="51"/>
  <c r="V8" i="51" s="1"/>
  <c r="O13" i="51"/>
  <c r="R10" i="51"/>
  <c r="O8" i="51"/>
  <c r="U13" i="51"/>
  <c r="U9" i="51"/>
  <c r="V9" i="51" s="1"/>
  <c r="O11" i="51"/>
  <c r="O10" i="51"/>
  <c r="O9" i="51"/>
  <c r="R16" i="51" a="1"/>
  <c r="R16" i="51" s="1"/>
  <c r="U10" i="51"/>
  <c r="U12" i="51"/>
  <c r="V12" i="51" s="1"/>
  <c r="R11" i="51"/>
  <c r="O12" i="51"/>
  <c r="R13" i="51"/>
  <c r="S13" i="51" s="1"/>
  <c r="U11" i="51"/>
  <c r="V11" i="51" s="1"/>
  <c r="R8" i="51"/>
  <c r="AM18" i="50"/>
  <c r="AH42" i="51"/>
  <c r="AG42" i="51"/>
  <c r="AG53" i="51"/>
  <c r="AH53" i="51"/>
  <c r="AM50" i="50"/>
  <c r="AM8" i="50"/>
  <c r="AM14" i="51"/>
  <c r="AM31" i="50"/>
  <c r="AM14" i="50"/>
  <c r="AG41" i="51"/>
  <c r="AH41" i="51"/>
  <c r="AG33" i="51"/>
  <c r="AH33" i="51"/>
  <c r="AM34" i="51"/>
  <c r="AM8" i="51"/>
  <c r="AG57" i="51"/>
  <c r="AH57" i="51"/>
  <c r="AH7" i="50"/>
  <c r="AG7" i="50"/>
  <c r="AG45" i="50"/>
  <c r="AH45" i="50"/>
  <c r="AM58" i="51"/>
  <c r="AH37" i="50"/>
  <c r="AG37" i="50"/>
  <c r="AH21" i="51"/>
  <c r="AG21" i="51"/>
  <c r="AG33" i="50"/>
  <c r="AH33" i="50"/>
  <c r="AM57" i="51"/>
  <c r="AH56" i="50"/>
  <c r="AG56" i="50"/>
  <c r="AG7" i="51"/>
  <c r="AH7" i="51"/>
  <c r="AM28" i="50"/>
  <c r="AM40" i="51"/>
  <c r="AM35" i="51"/>
  <c r="AM10" i="50"/>
  <c r="AM48" i="50"/>
  <c r="AG53" i="50"/>
  <c r="AH53" i="50"/>
  <c r="AH16" i="50"/>
  <c r="AG16" i="50"/>
  <c r="AM24" i="51"/>
  <c r="AH28" i="51"/>
  <c r="AG28" i="51"/>
  <c r="AM46" i="50"/>
  <c r="AG14" i="50"/>
  <c r="AH14" i="50"/>
  <c r="AG47" i="50"/>
  <c r="AH47" i="50"/>
  <c r="AM38" i="51"/>
  <c r="AH43" i="51"/>
  <c r="AG43" i="51"/>
  <c r="AM33" i="51"/>
  <c r="AM62" i="51"/>
  <c r="AM30" i="50"/>
  <c r="AG37" i="51"/>
  <c r="AH37" i="51"/>
  <c r="AH27" i="51"/>
  <c r="AG27" i="51"/>
  <c r="AH41" i="50"/>
  <c r="AG41" i="50"/>
  <c r="AG44" i="51"/>
  <c r="AH44" i="51"/>
  <c r="AM39" i="50"/>
  <c r="AM41" i="50"/>
  <c r="AH35" i="50"/>
  <c r="AG35" i="50"/>
  <c r="AM49" i="51"/>
  <c r="AM20" i="50"/>
  <c r="AM46" i="51"/>
  <c r="AG39" i="50"/>
  <c r="AH39" i="50"/>
  <c r="AM21" i="50"/>
  <c r="AG52" i="51"/>
  <c r="AH52" i="51"/>
  <c r="O11" i="50"/>
  <c r="U12" i="50"/>
  <c r="V12" i="50" s="1"/>
  <c r="R13" i="50"/>
  <c r="S13" i="50" s="1"/>
  <c r="O9" i="50"/>
  <c r="R16" i="50" a="1"/>
  <c r="R16" i="50" s="1"/>
  <c r="U16" i="50" a="1"/>
  <c r="U16" i="50" s="1"/>
  <c r="U10" i="50"/>
  <c r="R12" i="50"/>
  <c r="R8" i="50"/>
  <c r="R9" i="50"/>
  <c r="O16" i="50" a="1"/>
  <c r="O16" i="50" s="1"/>
  <c r="O10" i="50"/>
  <c r="O8" i="50"/>
  <c r="U9" i="50"/>
  <c r="V9" i="50" s="1"/>
  <c r="U11" i="50"/>
  <c r="V11" i="50" s="1"/>
  <c r="R11" i="50"/>
  <c r="R10" i="50"/>
  <c r="U13" i="50"/>
  <c r="U8" i="50"/>
  <c r="V8" i="50" s="1"/>
  <c r="O13" i="50"/>
  <c r="O12" i="50"/>
  <c r="AG62" i="50"/>
  <c r="AH62" i="50"/>
  <c r="AM19" i="51"/>
  <c r="AM11" i="50"/>
  <c r="AM34" i="50"/>
  <c r="AM50" i="51"/>
  <c r="AM32" i="51"/>
  <c r="AM24" i="50"/>
  <c r="AH48" i="51"/>
  <c r="AG48" i="51"/>
  <c r="AM39" i="51"/>
  <c r="AH63" i="50"/>
  <c r="AG63" i="50"/>
  <c r="AM12" i="50"/>
  <c r="AM29" i="50"/>
  <c r="AM51" i="51"/>
  <c r="AM20" i="51"/>
  <c r="AG48" i="50"/>
  <c r="AH48" i="50"/>
  <c r="AM25" i="51"/>
  <c r="AH47" i="51"/>
  <c r="AG47" i="51"/>
  <c r="AH22" i="50"/>
  <c r="AG22" i="50"/>
  <c r="AM58" i="50"/>
  <c r="AG55" i="50"/>
  <c r="AH55" i="50"/>
  <c r="AH18" i="50"/>
  <c r="AG18" i="50"/>
  <c r="AH11" i="50"/>
  <c r="AG11" i="50"/>
  <c r="AG27" i="50"/>
  <c r="AH27" i="50"/>
  <c r="AM63" i="51"/>
  <c r="AG54" i="51"/>
  <c r="AH54" i="51"/>
  <c r="AM25" i="50"/>
  <c r="AG15" i="50"/>
  <c r="AH15" i="50"/>
  <c r="AM55" i="51"/>
  <c r="AM43" i="51"/>
  <c r="AH19" i="51"/>
  <c r="AG19" i="51"/>
  <c r="AH49" i="51"/>
  <c r="AG49" i="51"/>
  <c r="AM36" i="50"/>
  <c r="AG36" i="51"/>
  <c r="AH36" i="51"/>
  <c r="AM18" i="51"/>
  <c r="AG39" i="51"/>
  <c r="AH39" i="51"/>
  <c r="AM33" i="50"/>
  <c r="AM30" i="51"/>
  <c r="AG8" i="50"/>
  <c r="AH8" i="50"/>
  <c r="AM38" i="50"/>
  <c r="AM64" i="51"/>
  <c r="AH49" i="50"/>
  <c r="AG49" i="50"/>
  <c r="AM42" i="50"/>
  <c r="AM53" i="50"/>
  <c r="AM12" i="51"/>
  <c r="AG40" i="50"/>
  <c r="AH40" i="50"/>
  <c r="AM64" i="50"/>
  <c r="AM15" i="50"/>
  <c r="AM35" i="50"/>
  <c r="AG38" i="50"/>
  <c r="AH38" i="50"/>
  <c r="AG17" i="51"/>
  <c r="AH17" i="51"/>
  <c r="AM40" i="50"/>
  <c r="AH32" i="51"/>
  <c r="AG32" i="51"/>
  <c r="AM48" i="51"/>
  <c r="AG38" i="51"/>
  <c r="AH38" i="51"/>
  <c r="AH15" i="51"/>
  <c r="AG15" i="51"/>
  <c r="AM15" i="51"/>
  <c r="AM45" i="50"/>
  <c r="AG50" i="50"/>
  <c r="AH50" i="50"/>
  <c r="AH54" i="50"/>
  <c r="AG54" i="50"/>
  <c r="AM19" i="50"/>
  <c r="AM52" i="50"/>
  <c r="AH29" i="51"/>
  <c r="AG29" i="51"/>
  <c r="AM26" i="51"/>
  <c r="AH20" i="51"/>
  <c r="AG20" i="51"/>
  <c r="AG16" i="51"/>
  <c r="AH16" i="51"/>
  <c r="AM31" i="51"/>
  <c r="AM53" i="51"/>
  <c r="AG28" i="50"/>
  <c r="AH28" i="50"/>
  <c r="AG8" i="51"/>
  <c r="AH8" i="51"/>
  <c r="AM11" i="51"/>
  <c r="AG44" i="50"/>
  <c r="AH44" i="50"/>
  <c r="AM7" i="51"/>
  <c r="AM32" i="50"/>
  <c r="AH35" i="51"/>
  <c r="AG35" i="51"/>
  <c r="AG34" i="50"/>
  <c r="AH34" i="50"/>
  <c r="AM26" i="50"/>
  <c r="AH17" i="50"/>
  <c r="AG17" i="50"/>
  <c r="AG57" i="50"/>
  <c r="AH57" i="50"/>
  <c r="AH22" i="51"/>
  <c r="AG22" i="51"/>
  <c r="AG10" i="51"/>
  <c r="AH10" i="51"/>
  <c r="AH9" i="51"/>
  <c r="AG9" i="51"/>
  <c r="AH58" i="50"/>
  <c r="AG58" i="50"/>
  <c r="AM62" i="50"/>
  <c r="AG23" i="51"/>
  <c r="AH23" i="51"/>
  <c r="AG45" i="51"/>
  <c r="AH45" i="51"/>
  <c r="AH26" i="50"/>
  <c r="AG26" i="50"/>
  <c r="AM17" i="50"/>
  <c r="AG36" i="50"/>
  <c r="AH36" i="50"/>
  <c r="AG10" i="50"/>
  <c r="AH10" i="50"/>
  <c r="AM10" i="51"/>
  <c r="AM36" i="51"/>
  <c r="AH11" i="51"/>
  <c r="AG11" i="51"/>
  <c r="AM7" i="50"/>
  <c r="AH51" i="51"/>
  <c r="AG51" i="51"/>
  <c r="AG29" i="50"/>
  <c r="AH29" i="50"/>
  <c r="AH42" i="50"/>
  <c r="AG42" i="50"/>
  <c r="AM42" i="51"/>
  <c r="AG23" i="50"/>
  <c r="AH23" i="50"/>
  <c r="BC31" i="56"/>
  <c r="BD30" i="56"/>
  <c r="BF29" i="56"/>
  <c r="BI29" i="56"/>
  <c r="BH29" i="56"/>
  <c r="BG29" i="56"/>
  <c r="BC32" i="55"/>
  <c r="BD31" i="55"/>
  <c r="BI30" i="55"/>
  <c r="BG30" i="55"/>
  <c r="BH30" i="55"/>
  <c r="BF30" i="55"/>
  <c r="BC30" i="54"/>
  <c r="BD29" i="54"/>
  <c r="BI28" i="54"/>
  <c r="BG28" i="54"/>
  <c r="BH28" i="54"/>
  <c r="BF28" i="54"/>
  <c r="BG21" i="52"/>
  <c r="BF21" i="52"/>
  <c r="BI21" i="52"/>
  <c r="BH21" i="52"/>
  <c r="BC23" i="52"/>
  <c r="BD22" i="52"/>
  <c r="BC24" i="51"/>
  <c r="BD23" i="51"/>
  <c r="BF22" i="51"/>
  <c r="BH22" i="51"/>
  <c r="BI22" i="51"/>
  <c r="BG22" i="51"/>
  <c r="BG19" i="50"/>
  <c r="BI19" i="50"/>
  <c r="BF19" i="50"/>
  <c r="BH19" i="50"/>
  <c r="BC21" i="50"/>
  <c r="BD20" i="50"/>
  <c r="BD23" i="49"/>
  <c r="BC24" i="49"/>
  <c r="BI22" i="49"/>
  <c r="BH22" i="49"/>
  <c r="BF22" i="49"/>
  <c r="BG22" i="49"/>
  <c r="BC19" i="43"/>
  <c r="BD18" i="43"/>
  <c r="BI17" i="43"/>
  <c r="BF17" i="43"/>
  <c r="BH17" i="43"/>
  <c r="BG17" i="43"/>
  <c r="BG17" i="40"/>
  <c r="BH17" i="40"/>
  <c r="BF17" i="40"/>
  <c r="BI17" i="40"/>
  <c r="BD18" i="40"/>
  <c r="BC19" i="40"/>
  <c r="BG16" i="34"/>
  <c r="BH16" i="34"/>
  <c r="BF16" i="34"/>
  <c r="BI16" i="34"/>
  <c r="BD17" i="34"/>
  <c r="BC18" i="34"/>
  <c r="BG17" i="45"/>
  <c r="BF17" i="45"/>
  <c r="BI17" i="45"/>
  <c r="BH17" i="45"/>
  <c r="BC19" i="45"/>
  <c r="BD18" i="45"/>
  <c r="BG17" i="46"/>
  <c r="BI17" i="46"/>
  <c r="BH17" i="46"/>
  <c r="BF17" i="46"/>
  <c r="BD18" i="46"/>
  <c r="BC19" i="46"/>
  <c r="BF16" i="47"/>
  <c r="BG16" i="47"/>
  <c r="BI16" i="47"/>
  <c r="BH16" i="47"/>
  <c r="BC18" i="47"/>
  <c r="BD18" i="47" s="1"/>
  <c r="P9" i="52" l="1"/>
  <c r="P10" i="52"/>
  <c r="P8" i="52"/>
  <c r="O5" i="52"/>
  <c r="P13" i="52"/>
  <c r="P12" i="52"/>
  <c r="P11" i="52"/>
  <c r="V14" i="52"/>
  <c r="U5" i="52"/>
  <c r="V12" i="52"/>
  <c r="AA14" i="52"/>
  <c r="AA9" i="51"/>
  <c r="S14" i="52"/>
  <c r="S9" i="52"/>
  <c r="S10" i="52"/>
  <c r="S12" i="52"/>
  <c r="AA8" i="51"/>
  <c r="R5" i="52"/>
  <c r="S8" i="52"/>
  <c r="AA13" i="50"/>
  <c r="AA8" i="50"/>
  <c r="U14" i="51"/>
  <c r="V10" i="51" s="1"/>
  <c r="AA9" i="50"/>
  <c r="U14" i="50"/>
  <c r="V10" i="50" s="1"/>
  <c r="AA12" i="51"/>
  <c r="AA12" i="50"/>
  <c r="AA10" i="50"/>
  <c r="O14" i="50"/>
  <c r="P9" i="50" s="1"/>
  <c r="R14" i="50"/>
  <c r="S10" i="50" s="1"/>
  <c r="AA11" i="50"/>
  <c r="O14" i="51"/>
  <c r="O5" i="51" s="1"/>
  <c r="AA10" i="51"/>
  <c r="R14" i="51"/>
  <c r="R5" i="51" s="1"/>
  <c r="AA11" i="51"/>
  <c r="AA13" i="51"/>
  <c r="BC32" i="56"/>
  <c r="BD31" i="56"/>
  <c r="BG30" i="56"/>
  <c r="BF30" i="56"/>
  <c r="BI30" i="56"/>
  <c r="BH30" i="56"/>
  <c r="BF31" i="55"/>
  <c r="BH31" i="55"/>
  <c r="BI31" i="55"/>
  <c r="BG31" i="55"/>
  <c r="BD32" i="55"/>
  <c r="BC33" i="55"/>
  <c r="BF29" i="54"/>
  <c r="BH29" i="54"/>
  <c r="BI29" i="54"/>
  <c r="BG29" i="54"/>
  <c r="BC31" i="54"/>
  <c r="BD30" i="54"/>
  <c r="BH22" i="52"/>
  <c r="BG22" i="52"/>
  <c r="BF22" i="52"/>
  <c r="BI22" i="52"/>
  <c r="BD23" i="52"/>
  <c r="BC24" i="52"/>
  <c r="BG23" i="51"/>
  <c r="BI23" i="51"/>
  <c r="BH23" i="51"/>
  <c r="BF23" i="51"/>
  <c r="BD24" i="51"/>
  <c r="BC25" i="51"/>
  <c r="BH20" i="50"/>
  <c r="BF20" i="50"/>
  <c r="BG20" i="50"/>
  <c r="BI20" i="50"/>
  <c r="BD21" i="50"/>
  <c r="BC22" i="50"/>
  <c r="BC25" i="49"/>
  <c r="BD24" i="49"/>
  <c r="BF23" i="49"/>
  <c r="BI23" i="49"/>
  <c r="BH23" i="49"/>
  <c r="BG23" i="49"/>
  <c r="BG18" i="43"/>
  <c r="BI18" i="43"/>
  <c r="BF18" i="43"/>
  <c r="BH18" i="43"/>
  <c r="BC20" i="43"/>
  <c r="BD19" i="43"/>
  <c r="BC20" i="40"/>
  <c r="BD19" i="40"/>
  <c r="BI18" i="40"/>
  <c r="BG18" i="40"/>
  <c r="BH18" i="40"/>
  <c r="BF18" i="40"/>
  <c r="BD18" i="34"/>
  <c r="BC19" i="34"/>
  <c r="BI17" i="34"/>
  <c r="BG17" i="34"/>
  <c r="BH17" i="34"/>
  <c r="BF17" i="34"/>
  <c r="BI18" i="45"/>
  <c r="BH18" i="45"/>
  <c r="BG18" i="45"/>
  <c r="BF18" i="45"/>
  <c r="BC20" i="45"/>
  <c r="BD19" i="45"/>
  <c r="BD19" i="46"/>
  <c r="BC20" i="46"/>
  <c r="BI18" i="46"/>
  <c r="BH18" i="46"/>
  <c r="BG18" i="46"/>
  <c r="BF18" i="46"/>
  <c r="BG17" i="47"/>
  <c r="BH17" i="47"/>
  <c r="BF17" i="47"/>
  <c r="BI17" i="47"/>
  <c r="BC19" i="47"/>
  <c r="BD19" i="47" s="1"/>
  <c r="U5" i="50" l="1"/>
  <c r="V14" i="51"/>
  <c r="S12" i="51"/>
  <c r="S11" i="50"/>
  <c r="P13" i="50"/>
  <c r="S8" i="50"/>
  <c r="S14" i="50"/>
  <c r="V13" i="51"/>
  <c r="S12" i="50"/>
  <c r="U5" i="51"/>
  <c r="P12" i="50"/>
  <c r="P8" i="50"/>
  <c r="P10" i="50"/>
  <c r="O5" i="50"/>
  <c r="P11" i="50"/>
  <c r="V13" i="50"/>
  <c r="P14" i="50"/>
  <c r="V14" i="50"/>
  <c r="AA14" i="50"/>
  <c r="P13" i="51"/>
  <c r="P9" i="51"/>
  <c r="P8" i="51"/>
  <c r="P12" i="51"/>
  <c r="AA14" i="51"/>
  <c r="S8" i="51"/>
  <c r="P11" i="51"/>
  <c r="P10" i="51"/>
  <c r="S9" i="50"/>
  <c r="R5" i="50"/>
  <c r="S14" i="51"/>
  <c r="P14" i="51"/>
  <c r="S9" i="51"/>
  <c r="S11" i="51"/>
  <c r="BH31" i="56"/>
  <c r="BG31" i="56"/>
  <c r="BI31" i="56"/>
  <c r="BF31" i="56"/>
  <c r="BD32" i="56"/>
  <c r="BC33" i="56"/>
  <c r="BD33" i="55"/>
  <c r="BC34" i="55"/>
  <c r="BH32" i="55"/>
  <c r="BI32" i="55"/>
  <c r="BF32" i="55"/>
  <c r="BG32" i="55"/>
  <c r="BG30" i="54"/>
  <c r="BI30" i="54"/>
  <c r="BH30" i="54"/>
  <c r="BF30" i="54"/>
  <c r="BC32" i="54"/>
  <c r="BD31" i="54"/>
  <c r="BC25" i="52"/>
  <c r="BD24" i="52"/>
  <c r="BI23" i="52"/>
  <c r="BH23" i="52"/>
  <c r="BG23" i="52"/>
  <c r="BF23" i="52"/>
  <c r="BH24" i="51"/>
  <c r="BF24" i="51"/>
  <c r="BI24" i="51"/>
  <c r="BG24" i="51"/>
  <c r="BD25" i="51"/>
  <c r="BC26" i="51"/>
  <c r="BD22" i="50"/>
  <c r="BC23" i="50"/>
  <c r="BI21" i="50"/>
  <c r="BG21" i="50"/>
  <c r="BH21" i="50"/>
  <c r="BF21" i="50"/>
  <c r="BG24" i="49"/>
  <c r="BF24" i="49"/>
  <c r="BH24" i="49"/>
  <c r="BI24" i="49"/>
  <c r="BC26" i="49"/>
  <c r="BD25" i="49"/>
  <c r="BI19" i="43"/>
  <c r="BG19" i="43"/>
  <c r="BH19" i="43"/>
  <c r="BF19" i="43"/>
  <c r="BD20" i="43"/>
  <c r="BC21" i="43"/>
  <c r="BG19" i="40"/>
  <c r="BI19" i="40"/>
  <c r="BH19" i="40"/>
  <c r="BF19" i="40"/>
  <c r="BD20" i="40"/>
  <c r="BC21" i="40"/>
  <c r="BD19" i="34"/>
  <c r="BC20" i="34"/>
  <c r="BG18" i="34"/>
  <c r="BH18" i="34"/>
  <c r="BF18" i="34"/>
  <c r="BI18" i="34"/>
  <c r="BG19" i="45"/>
  <c r="BI19" i="45"/>
  <c r="BH19" i="45"/>
  <c r="BF19" i="45"/>
  <c r="BD20" i="45"/>
  <c r="BC21" i="45"/>
  <c r="BD20" i="46"/>
  <c r="BC21" i="46"/>
  <c r="BG19" i="46"/>
  <c r="BI19" i="46"/>
  <c r="BF19" i="46"/>
  <c r="BH19" i="46"/>
  <c r="BC20" i="47"/>
  <c r="BD20" i="47" s="1"/>
  <c r="BH18" i="47"/>
  <c r="BI18" i="47"/>
  <c r="BG18" i="47"/>
  <c r="BF18" i="47"/>
  <c r="AJ42" i="47"/>
  <c r="AJ31" i="47"/>
  <c r="AJ53" i="46"/>
  <c r="G38" i="45"/>
  <c r="G12" i="43"/>
  <c r="G48" i="46"/>
  <c r="AJ63" i="45"/>
  <c r="AJ16" i="47"/>
  <c r="G52" i="47"/>
  <c r="AL55" i="49"/>
  <c r="E23" i="49"/>
  <c r="G57" i="47"/>
  <c r="G62" i="45"/>
  <c r="AJ60" i="46"/>
  <c r="AJ23" i="47"/>
  <c r="G48" i="47"/>
  <c r="AK9" i="49"/>
  <c r="E12" i="46"/>
  <c r="AJ41" i="46"/>
  <c r="AK49" i="49"/>
  <c r="AL20" i="46"/>
  <c r="AJ46" i="46"/>
  <c r="G28" i="45"/>
  <c r="AK33" i="49"/>
  <c r="G24" i="46"/>
  <c r="AK23" i="46"/>
  <c r="G45" i="47"/>
  <c r="AJ62" i="43"/>
  <c r="AL59" i="49"/>
  <c r="AL45" i="49"/>
  <c r="G10" i="47"/>
  <c r="AK38" i="49"/>
  <c r="AJ45" i="47"/>
  <c r="AJ33" i="46"/>
  <c r="AJ43" i="47"/>
  <c r="AJ64" i="47"/>
  <c r="AJ17" i="47"/>
  <c r="G26" i="45"/>
  <c r="G57" i="43"/>
  <c r="E25" i="49"/>
  <c r="AK7" i="49"/>
  <c r="AJ13" i="47"/>
  <c r="G39" i="43"/>
  <c r="E17" i="49"/>
  <c r="AL43" i="49"/>
  <c r="AL29" i="49"/>
  <c r="E41" i="49"/>
  <c r="AL57" i="46"/>
  <c r="AK50" i="45"/>
  <c r="G56" i="46"/>
  <c r="G34" i="43"/>
  <c r="AJ48" i="45"/>
  <c r="G53" i="47"/>
  <c r="AL21" i="49"/>
  <c r="AK10" i="45"/>
  <c r="AJ34" i="45"/>
  <c r="G57" i="46"/>
  <c r="AK46" i="49"/>
  <c r="E11" i="47"/>
  <c r="AJ36" i="43"/>
  <c r="G11" i="45"/>
  <c r="AJ57" i="43"/>
  <c r="E44" i="49"/>
  <c r="AL49" i="49"/>
  <c r="AL28" i="49"/>
  <c r="G46" i="43"/>
  <c r="AJ41" i="45"/>
  <c r="AJ54" i="43"/>
  <c r="AL48" i="49"/>
  <c r="E19" i="47"/>
  <c r="AK40" i="49"/>
  <c r="AL24" i="49"/>
  <c r="AJ61" i="47"/>
  <c r="G64" i="45"/>
  <c r="AK32" i="49"/>
  <c r="G41" i="45"/>
  <c r="AJ29" i="47"/>
  <c r="AJ30" i="43"/>
  <c r="AL40" i="49"/>
  <c r="AJ52" i="46"/>
  <c r="E34" i="45"/>
  <c r="AJ49" i="47"/>
  <c r="AJ14" i="43"/>
  <c r="AJ28" i="43"/>
  <c r="AJ8" i="46"/>
  <c r="AK30" i="49"/>
  <c r="G33" i="46"/>
  <c r="E61" i="47"/>
  <c r="E19" i="49"/>
  <c r="AJ62" i="46"/>
  <c r="AJ20" i="43"/>
  <c r="AJ7" i="46"/>
  <c r="AL42" i="49"/>
  <c r="G34" i="47"/>
  <c r="AL22" i="49"/>
  <c r="AJ47" i="47"/>
  <c r="AJ40" i="47"/>
  <c r="AJ52" i="47"/>
  <c r="AL38" i="49"/>
  <c r="AK32" i="46"/>
  <c r="AK16" i="45"/>
  <c r="AJ21" i="43"/>
  <c r="AK54" i="49"/>
  <c r="AK22" i="49"/>
  <c r="AL7" i="49"/>
  <c r="E66" i="47"/>
  <c r="AJ35" i="43"/>
  <c r="AK25" i="46"/>
  <c r="G30" i="43"/>
  <c r="AK42" i="49"/>
  <c r="E52" i="49"/>
  <c r="E64" i="49"/>
  <c r="G33" i="45"/>
  <c r="G17" i="47"/>
  <c r="AJ51" i="43"/>
  <c r="AL7" i="45"/>
  <c r="AJ51" i="45"/>
  <c r="AK48" i="46"/>
  <c r="AK45" i="49"/>
  <c r="E37" i="49"/>
  <c r="E14" i="49"/>
  <c r="G25" i="47"/>
  <c r="AK11" i="49"/>
  <c r="AL46" i="49"/>
  <c r="AJ44" i="47"/>
  <c r="G50" i="46"/>
  <c r="AK44" i="49"/>
  <c r="E64" i="47"/>
  <c r="G41" i="47"/>
  <c r="G39" i="46"/>
  <c r="AJ45" i="45"/>
  <c r="AJ7" i="43"/>
  <c r="AK20" i="46"/>
  <c r="G58" i="46"/>
  <c r="E9" i="45"/>
  <c r="AJ59" i="43"/>
  <c r="E26" i="49"/>
  <c r="G60" i="47"/>
  <c r="G63" i="46"/>
  <c r="E57" i="49"/>
  <c r="E16" i="49"/>
  <c r="AJ25" i="47"/>
  <c r="AL46" i="47"/>
  <c r="E7" i="49"/>
  <c r="G42" i="43"/>
  <c r="G55" i="47"/>
  <c r="AJ52" i="43"/>
  <c r="AK42" i="45"/>
  <c r="G36" i="45"/>
  <c r="AK16" i="46"/>
  <c r="G21" i="43"/>
  <c r="E14" i="45"/>
  <c r="G25" i="46"/>
  <c r="AJ38" i="43"/>
  <c r="AJ55" i="47"/>
  <c r="AJ12" i="43"/>
  <c r="AK31" i="49"/>
  <c r="E8" i="46"/>
  <c r="G52" i="46"/>
  <c r="AJ54" i="45"/>
  <c r="AL26" i="49"/>
  <c r="G49" i="47"/>
  <c r="G45" i="43"/>
  <c r="E35" i="49"/>
  <c r="AL34" i="49"/>
  <c r="E9" i="47"/>
  <c r="AJ32" i="43"/>
  <c r="G35" i="46"/>
  <c r="AK10" i="47"/>
  <c r="AJ54" i="47"/>
  <c r="AJ52" i="45"/>
  <c r="G31" i="43"/>
  <c r="AL39" i="49"/>
  <c r="E63" i="49"/>
  <c r="G53" i="45"/>
  <c r="AK27" i="49"/>
  <c r="AJ51" i="47"/>
  <c r="G42" i="45"/>
  <c r="AJ15" i="43"/>
  <c r="AL33" i="49"/>
  <c r="E59" i="49"/>
  <c r="AJ53" i="47"/>
  <c r="G49" i="45"/>
  <c r="AJ35" i="46"/>
  <c r="G20" i="46"/>
  <c r="E56" i="49"/>
  <c r="G31" i="47"/>
  <c r="G57" i="45"/>
  <c r="AL50" i="49"/>
  <c r="AJ48" i="47"/>
  <c r="G44" i="45"/>
  <c r="G58" i="47"/>
  <c r="G54" i="46"/>
  <c r="G27" i="46"/>
  <c r="G33" i="43"/>
  <c r="E13" i="45"/>
  <c r="G54" i="47"/>
  <c r="AJ59" i="47"/>
  <c r="G55" i="46"/>
  <c r="G45" i="45"/>
  <c r="AK39" i="49"/>
  <c r="AJ27" i="43"/>
  <c r="G18" i="47"/>
  <c r="AK13" i="49"/>
  <c r="AL23" i="49"/>
  <c r="E53" i="49"/>
  <c r="G8" i="43"/>
  <c r="AJ60" i="43"/>
  <c r="E32" i="49"/>
  <c r="G54" i="43"/>
  <c r="G37" i="43"/>
  <c r="G38" i="43"/>
  <c r="AJ38" i="47"/>
  <c r="AJ63" i="47"/>
  <c r="G36" i="47"/>
  <c r="G39" i="45"/>
  <c r="AJ34" i="46"/>
  <c r="AJ26" i="43"/>
  <c r="AL18" i="49"/>
  <c r="AL20" i="49"/>
  <c r="G51" i="45"/>
  <c r="AL35" i="49"/>
  <c r="G46" i="45"/>
  <c r="AJ49" i="45"/>
  <c r="AJ67" i="43"/>
  <c r="G58" i="43"/>
  <c r="E44" i="46"/>
  <c r="AL50" i="46"/>
  <c r="G35" i="43"/>
  <c r="G32" i="43"/>
  <c r="G18" i="46"/>
  <c r="G25" i="43"/>
  <c r="AJ44" i="43"/>
  <c r="AJ56" i="43"/>
  <c r="AJ14" i="46"/>
  <c r="E11" i="46"/>
  <c r="AL27" i="49"/>
  <c r="AJ27" i="47"/>
  <c r="E10" i="46"/>
  <c r="AK26" i="49"/>
  <c r="AJ9" i="43"/>
  <c r="G36" i="43"/>
  <c r="AL47" i="45"/>
  <c r="E36" i="49"/>
  <c r="G45" i="46"/>
  <c r="AL15" i="49"/>
  <c r="G65" i="45"/>
  <c r="AK57" i="46"/>
  <c r="AL63" i="49"/>
  <c r="AJ21" i="47"/>
  <c r="AK11" i="45"/>
  <c r="G32" i="45"/>
  <c r="G32" i="46"/>
  <c r="G51" i="47"/>
  <c r="G35" i="45"/>
  <c r="AJ67" i="47"/>
  <c r="AJ60" i="45"/>
  <c r="E40" i="49"/>
  <c r="AJ20" i="47"/>
  <c r="G51" i="46"/>
  <c r="G24" i="47"/>
  <c r="AJ19" i="47"/>
  <c r="AK53" i="49"/>
  <c r="G26" i="46"/>
  <c r="AK24" i="45"/>
  <c r="AJ49" i="46"/>
  <c r="G23" i="47"/>
  <c r="AL25" i="46"/>
  <c r="AJ15" i="47"/>
  <c r="AJ32" i="47"/>
  <c r="G28" i="43"/>
  <c r="AJ61" i="45"/>
  <c r="AJ27" i="46"/>
  <c r="AL55" i="45"/>
  <c r="G37" i="45"/>
  <c r="AL10" i="45"/>
  <c r="AJ19" i="46"/>
  <c r="E20" i="47"/>
  <c r="AK25" i="49"/>
  <c r="E31" i="49"/>
  <c r="G40" i="43"/>
  <c r="E16" i="45"/>
  <c r="AJ12" i="46"/>
  <c r="E33" i="49"/>
  <c r="AL28" i="45"/>
  <c r="G50" i="43"/>
  <c r="AJ46" i="43"/>
  <c r="AJ28" i="47"/>
  <c r="AJ63" i="43"/>
  <c r="AJ29" i="45"/>
  <c r="AJ61" i="46"/>
  <c r="G34" i="46"/>
  <c r="G44" i="47"/>
  <c r="E17" i="45"/>
  <c r="AK50" i="46"/>
  <c r="G14" i="43"/>
  <c r="AK57" i="49"/>
  <c r="AJ62" i="45"/>
  <c r="G46" i="47"/>
  <c r="AL24" i="45"/>
  <c r="AJ43" i="45"/>
  <c r="G15" i="45"/>
  <c r="AJ32" i="45"/>
  <c r="AJ59" i="46"/>
  <c r="G65" i="46"/>
  <c r="AL11" i="45"/>
  <c r="G31" i="46"/>
  <c r="E13" i="47"/>
  <c r="AJ34" i="47"/>
  <c r="AL12" i="49"/>
  <c r="AK58" i="49"/>
  <c r="E45" i="49"/>
  <c r="AK50" i="49"/>
  <c r="AJ18" i="47"/>
  <c r="AJ14" i="45"/>
  <c r="AL14" i="49"/>
  <c r="G48" i="45"/>
  <c r="AJ46" i="45"/>
  <c r="AK28" i="46"/>
  <c r="G33" i="47"/>
  <c r="AJ17" i="43"/>
  <c r="AL54" i="49"/>
  <c r="AJ33" i="47"/>
  <c r="AK16" i="49"/>
  <c r="G22" i="46"/>
  <c r="E12" i="45"/>
  <c r="AJ63" i="46"/>
  <c r="G15" i="43"/>
  <c r="AJ26" i="45"/>
  <c r="G30" i="46"/>
  <c r="AJ55" i="43"/>
  <c r="AK7" i="45"/>
  <c r="G35" i="47"/>
  <c r="AJ36" i="46"/>
  <c r="G19" i="43"/>
  <c r="AJ25" i="45"/>
  <c r="AJ15" i="45"/>
  <c r="AL47" i="49"/>
  <c r="G49" i="46"/>
  <c r="AJ37" i="45"/>
  <c r="AK58" i="47"/>
  <c r="G59" i="47"/>
  <c r="AL39" i="45"/>
  <c r="G41" i="43"/>
  <c r="AL62" i="49"/>
  <c r="G19" i="46"/>
  <c r="E14" i="46"/>
  <c r="AJ58" i="45"/>
  <c r="AJ40" i="45"/>
  <c r="E13" i="46"/>
  <c r="AL32" i="46"/>
  <c r="G47" i="45"/>
  <c r="E65" i="47"/>
  <c r="E48" i="49"/>
  <c r="AJ24" i="46"/>
  <c r="AJ42" i="46"/>
  <c r="AL48" i="46"/>
  <c r="AL58" i="47"/>
  <c r="AK29" i="49"/>
  <c r="AL10" i="47"/>
  <c r="AJ10" i="43"/>
  <c r="G26" i="47"/>
  <c r="AK28" i="49"/>
  <c r="AJ38" i="46"/>
  <c r="AJ65" i="43"/>
  <c r="AJ11" i="43"/>
  <c r="AL50" i="45"/>
  <c r="G63" i="45"/>
  <c r="AK8" i="49"/>
  <c r="AJ50" i="43"/>
  <c r="AJ19" i="43"/>
  <c r="E21" i="45"/>
  <c r="AJ43" i="43"/>
  <c r="E10" i="49"/>
  <c r="AJ37" i="43"/>
  <c r="G50" i="47"/>
  <c r="E58" i="49"/>
  <c r="AK20" i="49"/>
  <c r="G43" i="43"/>
  <c r="AJ48" i="43"/>
  <c r="G16" i="43"/>
  <c r="AJ39" i="47"/>
  <c r="AL64" i="49"/>
  <c r="G42" i="46"/>
  <c r="E8" i="47"/>
  <c r="AJ8" i="47"/>
  <c r="AK47" i="49"/>
  <c r="AL16" i="45"/>
  <c r="AJ45" i="46"/>
  <c r="E49" i="49"/>
  <c r="AJ43" i="46"/>
  <c r="AJ17" i="45"/>
  <c r="G15" i="46"/>
  <c r="AK34" i="49"/>
  <c r="G24" i="43"/>
  <c r="AJ66" i="46"/>
  <c r="G62" i="43"/>
  <c r="AJ29" i="43"/>
  <c r="AK56" i="49"/>
  <c r="AK17" i="49"/>
  <c r="E16" i="46"/>
  <c r="G58" i="45"/>
  <c r="AJ39" i="46"/>
  <c r="G30" i="45"/>
  <c r="AJ16" i="43"/>
  <c r="AJ40" i="43"/>
  <c r="G19" i="45"/>
  <c r="E63" i="47"/>
  <c r="AJ10" i="46"/>
  <c r="G31" i="45"/>
  <c r="G18" i="43"/>
  <c r="AJ67" i="45"/>
  <c r="AK64" i="49"/>
  <c r="G27" i="45"/>
  <c r="G10" i="43"/>
  <c r="AK12" i="49"/>
  <c r="E28" i="49"/>
  <c r="G23" i="45"/>
  <c r="AJ21" i="45"/>
  <c r="G56" i="43"/>
  <c r="AJ23" i="43"/>
  <c r="AK52" i="49"/>
  <c r="G40" i="47"/>
  <c r="E12" i="49"/>
  <c r="AJ62" i="47"/>
  <c r="G47" i="47"/>
  <c r="AJ13" i="46"/>
  <c r="AJ45" i="43"/>
  <c r="G41" i="46"/>
  <c r="AJ37" i="46"/>
  <c r="AJ26" i="47"/>
  <c r="AJ31" i="43"/>
  <c r="AL37" i="49"/>
  <c r="AJ22" i="46"/>
  <c r="AJ61" i="43"/>
  <c r="G17" i="43"/>
  <c r="G27" i="43"/>
  <c r="E21" i="49"/>
  <c r="G47" i="46"/>
  <c r="G7" i="46"/>
  <c r="E50" i="49"/>
  <c r="E8" i="49"/>
  <c r="AK21" i="49"/>
  <c r="AL19" i="49"/>
  <c r="AJ7" i="47"/>
  <c r="G64" i="46"/>
  <c r="AJ58" i="43"/>
  <c r="AL58" i="49"/>
  <c r="AJ18" i="43"/>
  <c r="AJ13" i="45"/>
  <c r="AK40" i="46"/>
  <c r="AK63" i="49"/>
  <c r="E51" i="49"/>
  <c r="AK46" i="47"/>
  <c r="G46" i="46"/>
  <c r="G7" i="47"/>
  <c r="AJ8" i="43"/>
  <c r="E16" i="47"/>
  <c r="AL11" i="47"/>
  <c r="E24" i="49"/>
  <c r="AJ12" i="45"/>
  <c r="E20" i="49"/>
  <c r="G23" i="46"/>
  <c r="AJ35" i="45"/>
  <c r="AK11" i="47"/>
  <c r="G50" i="45"/>
  <c r="AJ27" i="45"/>
  <c r="AJ26" i="46"/>
  <c r="G7" i="43"/>
  <c r="AL51" i="49"/>
  <c r="AJ66" i="45"/>
  <c r="G23" i="43"/>
  <c r="AK55" i="45"/>
  <c r="E18" i="49"/>
  <c r="AL16" i="46"/>
  <c r="G51" i="43"/>
  <c r="AK31" i="46"/>
  <c r="AJ66" i="47"/>
  <c r="AL17" i="49"/>
  <c r="AJ50" i="47"/>
  <c r="AJ65" i="47"/>
  <c r="AJ38" i="45"/>
  <c r="AJ8" i="45"/>
  <c r="AK36" i="49"/>
  <c r="AK10" i="49"/>
  <c r="AJ30" i="46"/>
  <c r="G38" i="47"/>
  <c r="AK20" i="45"/>
  <c r="AL16" i="49"/>
  <c r="AJ41" i="47"/>
  <c r="AJ56" i="47"/>
  <c r="AJ44" i="46"/>
  <c r="AJ25" i="43"/>
  <c r="G36" i="46"/>
  <c r="G15" i="47"/>
  <c r="AK48" i="49"/>
  <c r="AL30" i="49"/>
  <c r="E46" i="49"/>
  <c r="G37" i="46"/>
  <c r="AJ67" i="46"/>
  <c r="G21" i="46"/>
  <c r="G38" i="46"/>
  <c r="G53" i="43"/>
  <c r="AJ21" i="46"/>
  <c r="AJ66" i="43"/>
  <c r="G39" i="47"/>
  <c r="AJ56" i="45"/>
  <c r="G49" i="43"/>
  <c r="AJ24" i="43"/>
  <c r="AJ44" i="45"/>
  <c r="AK59" i="49"/>
  <c r="G24" i="45"/>
  <c r="AJ65" i="46"/>
  <c r="AJ13" i="43"/>
  <c r="G29" i="43"/>
  <c r="AJ22" i="43"/>
  <c r="AK47" i="45"/>
  <c r="AJ36" i="45"/>
  <c r="AL8" i="49"/>
  <c r="AL42" i="45"/>
  <c r="AJ47" i="46"/>
  <c r="G55" i="45"/>
  <c r="AJ64" i="46"/>
  <c r="G56" i="45"/>
  <c r="AJ14" i="47"/>
  <c r="G53" i="46"/>
  <c r="AK55" i="49"/>
  <c r="AK19" i="49"/>
  <c r="AJ24" i="47"/>
  <c r="E62" i="49"/>
  <c r="AL32" i="49"/>
  <c r="AJ18" i="46"/>
  <c r="G59" i="45"/>
  <c r="G43" i="47"/>
  <c r="G52" i="43"/>
  <c r="AJ29" i="46"/>
  <c r="AL11" i="49"/>
  <c r="E27" i="49"/>
  <c r="AJ57" i="47"/>
  <c r="AJ55" i="46"/>
  <c r="AL13" i="49"/>
  <c r="G11" i="43"/>
  <c r="E12" i="47"/>
  <c r="AJ33" i="43"/>
  <c r="AK37" i="49"/>
  <c r="AJ11" i="46"/>
  <c r="AJ35" i="47"/>
  <c r="AJ22" i="45"/>
  <c r="AL56" i="49"/>
  <c r="G14" i="47"/>
  <c r="AJ41" i="43"/>
  <c r="AL31" i="49"/>
  <c r="AL44" i="49"/>
  <c r="G52" i="45"/>
  <c r="AK62" i="49"/>
  <c r="AJ31" i="45"/>
  <c r="E8" i="45"/>
  <c r="G62" i="46"/>
  <c r="AJ58" i="46"/>
  <c r="G21" i="47"/>
  <c r="G17" i="46"/>
  <c r="AL52" i="49"/>
  <c r="AJ30" i="47"/>
  <c r="AJ12" i="47"/>
  <c r="E7" i="45"/>
  <c r="AJ64" i="45"/>
  <c r="G18" i="45"/>
  <c r="AJ53" i="43"/>
  <c r="G43" i="45"/>
  <c r="AK24" i="49"/>
  <c r="AK15" i="49"/>
  <c r="AK51" i="49"/>
  <c r="E9" i="46"/>
  <c r="G22" i="47"/>
  <c r="AJ15" i="46"/>
  <c r="AL20" i="45"/>
  <c r="AK23" i="49"/>
  <c r="G30" i="47"/>
  <c r="G44" i="43"/>
  <c r="AJ47" i="43"/>
  <c r="AL23" i="46"/>
  <c r="E38" i="49"/>
  <c r="E39" i="49"/>
  <c r="E25" i="45"/>
  <c r="E54" i="49"/>
  <c r="AJ65" i="45"/>
  <c r="AJ23" i="45"/>
  <c r="G47" i="43"/>
  <c r="G10" i="45"/>
  <c r="G54" i="45"/>
  <c r="AJ56" i="46"/>
  <c r="G64" i="43"/>
  <c r="G56" i="47"/>
  <c r="AJ64" i="43"/>
  <c r="G20" i="45"/>
  <c r="G40" i="46"/>
  <c r="AJ42" i="43"/>
  <c r="AJ57" i="45"/>
  <c r="G26" i="43"/>
  <c r="AK14" i="49"/>
  <c r="E28" i="47"/>
  <c r="AL36" i="49"/>
  <c r="AJ60" i="47"/>
  <c r="E30" i="49"/>
  <c r="AJ37" i="47"/>
  <c r="AJ9" i="46"/>
  <c r="AL57" i="49"/>
  <c r="AL28" i="46"/>
  <c r="G9" i="43"/>
  <c r="G29" i="46"/>
  <c r="AJ19" i="45"/>
  <c r="AK43" i="49"/>
  <c r="AK35" i="49"/>
  <c r="AK28" i="45"/>
  <c r="AK41" i="49"/>
  <c r="AJ51" i="46"/>
  <c r="G37" i="47"/>
  <c r="AJ49" i="43"/>
  <c r="AK39" i="45"/>
  <c r="G59" i="43"/>
  <c r="G22" i="45"/>
  <c r="AJ39" i="43"/>
  <c r="G40" i="45"/>
  <c r="G29" i="47"/>
  <c r="AL25" i="49"/>
  <c r="E9" i="49"/>
  <c r="E42" i="49"/>
  <c r="AL9" i="49"/>
  <c r="AJ54" i="46"/>
  <c r="AJ33" i="45"/>
  <c r="G13" i="43"/>
  <c r="AL10" i="49"/>
  <c r="AK18" i="49"/>
  <c r="E22" i="49"/>
  <c r="AJ17" i="46"/>
  <c r="AJ30" i="45"/>
  <c r="G42" i="47"/>
  <c r="G63" i="43"/>
  <c r="G20" i="43"/>
  <c r="G28" i="46"/>
  <c r="G59" i="46"/>
  <c r="E29" i="45"/>
  <c r="E43" i="49"/>
  <c r="AL40" i="46"/>
  <c r="G32" i="47"/>
  <c r="G43" i="46"/>
  <c r="AJ9" i="47"/>
  <c r="AJ59" i="45"/>
  <c r="AJ34" i="43"/>
  <c r="AL31" i="46"/>
  <c r="E34" i="49"/>
  <c r="G22" i="43"/>
  <c r="AL41" i="49"/>
  <c r="AJ53" i="45"/>
  <c r="AL53" i="49"/>
  <c r="E11" i="49"/>
  <c r="G48" i="43"/>
  <c r="AJ9" i="45"/>
  <c r="G55" i="43"/>
  <c r="E27" i="47"/>
  <c r="AJ18" i="45"/>
  <c r="E29" i="49"/>
  <c r="AJ36" i="47"/>
  <c r="AJ22" i="47"/>
  <c r="AR21" i="7"/>
  <c r="AR31" i="7"/>
  <c r="AR11" i="7"/>
  <c r="AH28" i="49" l="1"/>
  <c r="AG28" i="49"/>
  <c r="AH43" i="49"/>
  <c r="AG43" i="49"/>
  <c r="AG45" i="49"/>
  <c r="AH45" i="49"/>
  <c r="AH48" i="49"/>
  <c r="AG48" i="49"/>
  <c r="AM7" i="45"/>
  <c r="AG10" i="45"/>
  <c r="AH10" i="45"/>
  <c r="AM40" i="46"/>
  <c r="AG10" i="49"/>
  <c r="AH10" i="49"/>
  <c r="AM11" i="49"/>
  <c r="AM45" i="49"/>
  <c r="AM39" i="49"/>
  <c r="AH36" i="49"/>
  <c r="AG36" i="49"/>
  <c r="AM28" i="46"/>
  <c r="AL67" i="45"/>
  <c r="AK67" i="45"/>
  <c r="AM67" i="45" s="1"/>
  <c r="AM22" i="49"/>
  <c r="AM64" i="49"/>
  <c r="AL67" i="43"/>
  <c r="AK67" i="43"/>
  <c r="AM67" i="43" s="1"/>
  <c r="AM38" i="49"/>
  <c r="AG26" i="49"/>
  <c r="AH26" i="49"/>
  <c r="AH13" i="49"/>
  <c r="AG13" i="49"/>
  <c r="AM58" i="47"/>
  <c r="AH50" i="46"/>
  <c r="AG50" i="46"/>
  <c r="AM16" i="46"/>
  <c r="AM53" i="49"/>
  <c r="AG30" i="49"/>
  <c r="AH30" i="49"/>
  <c r="AM39" i="45"/>
  <c r="AG14" i="49"/>
  <c r="AH14" i="49"/>
  <c r="AM10" i="45"/>
  <c r="AM28" i="45"/>
  <c r="AK66" i="45"/>
  <c r="AM66" i="45" s="1"/>
  <c r="AL66" i="45"/>
  <c r="AM7" i="49"/>
  <c r="AM56" i="49"/>
  <c r="AH56" i="49"/>
  <c r="AG56" i="49"/>
  <c r="AG15" i="49"/>
  <c r="AH15" i="49"/>
  <c r="AM29" i="49"/>
  <c r="AM44" i="49"/>
  <c r="AM27" i="49"/>
  <c r="AM43" i="49"/>
  <c r="AM31" i="46"/>
  <c r="AM21" i="49"/>
  <c r="AM11" i="47"/>
  <c r="AM17" i="49"/>
  <c r="AH27" i="49"/>
  <c r="AG27" i="49"/>
  <c r="AG25" i="49"/>
  <c r="AH25" i="49"/>
  <c r="AG58" i="49"/>
  <c r="AH58" i="49"/>
  <c r="AG21" i="49"/>
  <c r="AH21" i="49"/>
  <c r="AH50" i="45"/>
  <c r="AG50" i="45"/>
  <c r="AM57" i="46"/>
  <c r="AM63" i="49"/>
  <c r="AM55" i="45"/>
  <c r="AH9" i="49"/>
  <c r="AG9" i="49"/>
  <c r="AM8" i="49"/>
  <c r="AH20" i="46"/>
  <c r="AG20" i="46"/>
  <c r="AG11" i="47"/>
  <c r="AH11" i="47"/>
  <c r="O10" i="49"/>
  <c r="O13" i="49"/>
  <c r="U16" i="49" a="1"/>
  <c r="U16" i="49" s="1"/>
  <c r="O12" i="49"/>
  <c r="U9" i="49"/>
  <c r="V9" i="49" s="1"/>
  <c r="R16" i="49" a="1"/>
  <c r="R16" i="49" s="1"/>
  <c r="U11" i="49"/>
  <c r="V11" i="49" s="1"/>
  <c r="R13" i="49"/>
  <c r="S13" i="49" s="1"/>
  <c r="R11" i="49"/>
  <c r="U8" i="49"/>
  <c r="V8" i="49" s="1"/>
  <c r="U10" i="49"/>
  <c r="U12" i="49"/>
  <c r="V12" i="49" s="1"/>
  <c r="O16" i="49" a="1"/>
  <c r="O16" i="49" s="1"/>
  <c r="O8" i="49"/>
  <c r="O11" i="49"/>
  <c r="O9" i="49"/>
  <c r="R8" i="49"/>
  <c r="R12" i="49"/>
  <c r="R10" i="49"/>
  <c r="U13" i="49"/>
  <c r="R9" i="49"/>
  <c r="AM48" i="46"/>
  <c r="AH7" i="45"/>
  <c r="AG7" i="45"/>
  <c r="AM23" i="46"/>
  <c r="AG57" i="49"/>
  <c r="AH57" i="49"/>
  <c r="AH23" i="49"/>
  <c r="AG23" i="49"/>
  <c r="AM26" i="49"/>
  <c r="AM31" i="49"/>
  <c r="AM54" i="49"/>
  <c r="AK62" i="47"/>
  <c r="AM62" i="47" s="1"/>
  <c r="AL62" i="47"/>
  <c r="AK60" i="45"/>
  <c r="AM60" i="45" s="1"/>
  <c r="AL60" i="45"/>
  <c r="AM10" i="49"/>
  <c r="AM33" i="49"/>
  <c r="AM16" i="49"/>
  <c r="AH28" i="46"/>
  <c r="AG28" i="46"/>
  <c r="AG29" i="49"/>
  <c r="AH29" i="49"/>
  <c r="AM41" i="49"/>
  <c r="AM9" i="49"/>
  <c r="AG37" i="49"/>
  <c r="AH37" i="49"/>
  <c r="AG39" i="49"/>
  <c r="AH39" i="49"/>
  <c r="AM20" i="45"/>
  <c r="AM18" i="49"/>
  <c r="AK66" i="46"/>
  <c r="AM66" i="46" s="1"/>
  <c r="AL66" i="46"/>
  <c r="AG19" i="49"/>
  <c r="AH19" i="49"/>
  <c r="AH53" i="49"/>
  <c r="AG53" i="49"/>
  <c r="AG31" i="49"/>
  <c r="AH31" i="49"/>
  <c r="AG17" i="49"/>
  <c r="AH17" i="49"/>
  <c r="AM25" i="49"/>
  <c r="AM55" i="49"/>
  <c r="AH16" i="46"/>
  <c r="AG16" i="46"/>
  <c r="AH12" i="49"/>
  <c r="AG12" i="49"/>
  <c r="AL61" i="43"/>
  <c r="AK61" i="43"/>
  <c r="AM61" i="43" s="1"/>
  <c r="AM50" i="49"/>
  <c r="AH42" i="49"/>
  <c r="AG42" i="49"/>
  <c r="AL61" i="45"/>
  <c r="AK61" i="45"/>
  <c r="AM61" i="45" s="1"/>
  <c r="AL67" i="46"/>
  <c r="AK67" i="46"/>
  <c r="AM67" i="46" s="1"/>
  <c r="AH23" i="46"/>
  <c r="AG23" i="46"/>
  <c r="AM47" i="49"/>
  <c r="AH63" i="49"/>
  <c r="AG63" i="49"/>
  <c r="AK60" i="43"/>
  <c r="AM60" i="43" s="1"/>
  <c r="AL60" i="43"/>
  <c r="AG18" i="49"/>
  <c r="AH18" i="49"/>
  <c r="AM24" i="49"/>
  <c r="AM36" i="49"/>
  <c r="AG55" i="45"/>
  <c r="AH55" i="45"/>
  <c r="AM51" i="49"/>
  <c r="AM12" i="49"/>
  <c r="AM46" i="49"/>
  <c r="AK61" i="46"/>
  <c r="AM61" i="46" s="1"/>
  <c r="AL61" i="46"/>
  <c r="AH24" i="45"/>
  <c r="AG24" i="45"/>
  <c r="AH11" i="49"/>
  <c r="AG11" i="49"/>
  <c r="AG32" i="46"/>
  <c r="AH32" i="46"/>
  <c r="AG59" i="49"/>
  <c r="AH59" i="49"/>
  <c r="AG47" i="45"/>
  <c r="AH47" i="45"/>
  <c r="AM20" i="46"/>
  <c r="AM37" i="49"/>
  <c r="AM50" i="46"/>
  <c r="AM47" i="45"/>
  <c r="AG32" i="49"/>
  <c r="AH32" i="49"/>
  <c r="AM62" i="49"/>
  <c r="AG10" i="47"/>
  <c r="AH10" i="47"/>
  <c r="AH8" i="49"/>
  <c r="AG8" i="49"/>
  <c r="AM11" i="45"/>
  <c r="AH34" i="49"/>
  <c r="AG34" i="49"/>
  <c r="AM23" i="49"/>
  <c r="AM57" i="49"/>
  <c r="AM52" i="49"/>
  <c r="AG62" i="49"/>
  <c r="AH62" i="49"/>
  <c r="AM49" i="49"/>
  <c r="AM14" i="49"/>
  <c r="AG46" i="47"/>
  <c r="AH46" i="47"/>
  <c r="AH16" i="49"/>
  <c r="AG16" i="49"/>
  <c r="AH40" i="46"/>
  <c r="AG40" i="46"/>
  <c r="AG24" i="49"/>
  <c r="AH24" i="49"/>
  <c r="AH51" i="49"/>
  <c r="AG51" i="49"/>
  <c r="AM20" i="49"/>
  <c r="AM46" i="47"/>
  <c r="AG49" i="49"/>
  <c r="AH49" i="49"/>
  <c r="AM42" i="45"/>
  <c r="AG40" i="49"/>
  <c r="AH40" i="49"/>
  <c r="AH54" i="49"/>
  <c r="AG54" i="49"/>
  <c r="AM25" i="46"/>
  <c r="AH16" i="45"/>
  <c r="AG16" i="45"/>
  <c r="AH20" i="49"/>
  <c r="AG20" i="49"/>
  <c r="AG57" i="46"/>
  <c r="AH57" i="46"/>
  <c r="AG28" i="45"/>
  <c r="AH28" i="45"/>
  <c r="AG35" i="49"/>
  <c r="AH35" i="49"/>
  <c r="AH25" i="46"/>
  <c r="AG25" i="46"/>
  <c r="AM50" i="45"/>
  <c r="AK65" i="43"/>
  <c r="AM65" i="43" s="1"/>
  <c r="AL65" i="43"/>
  <c r="AH22" i="49"/>
  <c r="AG22" i="49"/>
  <c r="AL66" i="43"/>
  <c r="AK66" i="43"/>
  <c r="AM66" i="43" s="1"/>
  <c r="AM35" i="49"/>
  <c r="AM24" i="45"/>
  <c r="AM28" i="49"/>
  <c r="AM32" i="46"/>
  <c r="AM16" i="45"/>
  <c r="AH55" i="49"/>
  <c r="AG55" i="49"/>
  <c r="AM48" i="49"/>
  <c r="AM58" i="49"/>
  <c r="AH38" i="49"/>
  <c r="AG38" i="49"/>
  <c r="AM42" i="49"/>
  <c r="AH48" i="46"/>
  <c r="AG48" i="46"/>
  <c r="AG52" i="49"/>
  <c r="AH52" i="49"/>
  <c r="AG33" i="49"/>
  <c r="AH33" i="49"/>
  <c r="AH41" i="49"/>
  <c r="AG41" i="49"/>
  <c r="AH58" i="47"/>
  <c r="AG58" i="47"/>
  <c r="AG11" i="45"/>
  <c r="AH11" i="45"/>
  <c r="AM30" i="49"/>
  <c r="AG7" i="49"/>
  <c r="AH7" i="49"/>
  <c r="AM13" i="49"/>
  <c r="AH39" i="45"/>
  <c r="AG39" i="45"/>
  <c r="AH31" i="46"/>
  <c r="AG31" i="46"/>
  <c r="AM34" i="49"/>
  <c r="AG20" i="45"/>
  <c r="AH20" i="45"/>
  <c r="AM32" i="49"/>
  <c r="AH47" i="49"/>
  <c r="AG47" i="49"/>
  <c r="AM59" i="49"/>
  <c r="AG42" i="45"/>
  <c r="AH42" i="45"/>
  <c r="AG46" i="49"/>
  <c r="AH46" i="49"/>
  <c r="AM19" i="49"/>
  <c r="AG44" i="49"/>
  <c r="AH44" i="49"/>
  <c r="AM40" i="49"/>
  <c r="AM10" i="47"/>
  <c r="AM15" i="49"/>
  <c r="AL67" i="47"/>
  <c r="AK67" i="47"/>
  <c r="AM67" i="47" s="1"/>
  <c r="AH50" i="49"/>
  <c r="AG50" i="49"/>
  <c r="S10" i="51"/>
  <c r="BD33" i="56"/>
  <c r="BC34" i="56"/>
  <c r="BI32" i="56"/>
  <c r="BH32" i="56"/>
  <c r="BG32" i="56"/>
  <c r="BF32" i="56"/>
  <c r="BD34" i="55"/>
  <c r="BC35" i="55"/>
  <c r="BI33" i="55"/>
  <c r="BF33" i="55"/>
  <c r="BH33" i="55"/>
  <c r="BG33" i="55"/>
  <c r="BH31" i="54"/>
  <c r="BF31" i="54"/>
  <c r="BI31" i="54"/>
  <c r="BG31" i="54"/>
  <c r="BD32" i="54"/>
  <c r="BC33" i="54"/>
  <c r="BF24" i="52"/>
  <c r="BI24" i="52"/>
  <c r="BH24" i="52"/>
  <c r="BG24" i="52"/>
  <c r="BD25" i="52"/>
  <c r="BC26" i="52"/>
  <c r="BI25" i="51"/>
  <c r="BG25" i="51"/>
  <c r="BH25" i="51"/>
  <c r="BF25" i="51"/>
  <c r="BD26" i="51"/>
  <c r="BC27" i="51"/>
  <c r="BC24" i="50"/>
  <c r="BD23" i="50"/>
  <c r="BF22" i="50"/>
  <c r="BH22" i="50"/>
  <c r="BI22" i="50"/>
  <c r="BG22" i="50"/>
  <c r="BH25" i="49"/>
  <c r="BG25" i="49"/>
  <c r="BI25" i="49"/>
  <c r="BF25" i="49"/>
  <c r="BD26" i="49"/>
  <c r="BC27" i="49"/>
  <c r="BD21" i="43"/>
  <c r="BC22" i="43"/>
  <c r="BI20" i="43"/>
  <c r="BG20" i="43"/>
  <c r="BF20" i="43"/>
  <c r="BH20" i="43"/>
  <c r="BD21" i="40"/>
  <c r="BC22" i="40"/>
  <c r="BI20" i="40"/>
  <c r="BH20" i="40"/>
  <c r="BG20" i="40"/>
  <c r="BF20" i="40"/>
  <c r="BC21" i="34"/>
  <c r="BD20" i="34"/>
  <c r="BI19" i="34"/>
  <c r="BH19" i="34"/>
  <c r="BG19" i="34"/>
  <c r="BF19" i="34"/>
  <c r="BD21" i="45"/>
  <c r="BC22" i="45"/>
  <c r="BI20" i="45"/>
  <c r="BH20" i="45"/>
  <c r="BG20" i="45"/>
  <c r="BF20" i="45"/>
  <c r="BD21" i="46"/>
  <c r="BC22" i="46"/>
  <c r="BI20" i="46"/>
  <c r="BF20" i="46"/>
  <c r="BH20" i="46"/>
  <c r="BG20" i="46"/>
  <c r="BC21" i="47"/>
  <c r="BD21" i="47" s="1"/>
  <c r="BI19" i="47"/>
  <c r="BF19" i="47"/>
  <c r="BG19" i="47"/>
  <c r="BH19" i="47"/>
  <c r="AA10" i="49" l="1"/>
  <c r="AA12" i="49"/>
  <c r="AA9" i="49"/>
  <c r="AA11" i="49"/>
  <c r="AA13" i="49"/>
  <c r="R14" i="49"/>
  <c r="S12" i="49" s="1"/>
  <c r="AA8" i="49"/>
  <c r="U14" i="49"/>
  <c r="V13" i="49" s="1"/>
  <c r="O14" i="49"/>
  <c r="P11" i="49" s="1"/>
  <c r="BC35" i="56"/>
  <c r="BD34" i="56"/>
  <c r="BF33" i="56"/>
  <c r="BI33" i="56"/>
  <c r="BH33" i="56"/>
  <c r="BG33" i="56"/>
  <c r="BC36" i="55"/>
  <c r="BD35" i="55"/>
  <c r="BF34" i="55"/>
  <c r="BH34" i="55"/>
  <c r="BI34" i="55"/>
  <c r="BG34" i="55"/>
  <c r="BC34" i="54"/>
  <c r="BD33" i="54"/>
  <c r="BI32" i="54"/>
  <c r="BG32" i="54"/>
  <c r="BH32" i="54"/>
  <c r="BF32" i="54"/>
  <c r="BC27" i="52"/>
  <c r="BD26" i="52"/>
  <c r="BF25" i="52"/>
  <c r="BI25" i="52"/>
  <c r="BH25" i="52"/>
  <c r="BG25" i="52"/>
  <c r="BF26" i="51"/>
  <c r="BH26" i="51"/>
  <c r="BI26" i="51"/>
  <c r="BG26" i="51"/>
  <c r="BC28" i="51"/>
  <c r="BD27" i="51"/>
  <c r="BG23" i="50"/>
  <c r="BF23" i="50"/>
  <c r="BH23" i="50"/>
  <c r="BI23" i="50"/>
  <c r="BC25" i="50"/>
  <c r="BD24" i="50"/>
  <c r="BD27" i="49"/>
  <c r="BC28" i="49"/>
  <c r="BI26" i="49"/>
  <c r="BH26" i="49"/>
  <c r="BF26" i="49"/>
  <c r="BG26" i="49"/>
  <c r="BD22" i="43"/>
  <c r="BC23" i="43"/>
  <c r="BG21" i="43"/>
  <c r="BF21" i="43"/>
  <c r="BI21" i="43"/>
  <c r="BH21" i="43"/>
  <c r="BD22" i="40"/>
  <c r="BC23" i="40"/>
  <c r="BG21" i="40"/>
  <c r="BI21" i="40"/>
  <c r="BH21" i="40"/>
  <c r="BF21" i="40"/>
  <c r="BG20" i="34"/>
  <c r="BI20" i="34"/>
  <c r="BH20" i="34"/>
  <c r="BF20" i="34"/>
  <c r="BD21" i="34"/>
  <c r="BC22" i="34"/>
  <c r="BD22" i="45"/>
  <c r="BC23" i="45"/>
  <c r="BG21" i="45"/>
  <c r="BI21" i="45"/>
  <c r="BF21" i="45"/>
  <c r="BH21" i="45"/>
  <c r="BD22" i="46"/>
  <c r="BC23" i="46"/>
  <c r="BG21" i="46"/>
  <c r="BF21" i="46"/>
  <c r="BH21" i="46"/>
  <c r="BI21" i="46"/>
  <c r="BF20" i="47"/>
  <c r="BG20" i="47"/>
  <c r="BI20" i="47"/>
  <c r="BH20" i="47"/>
  <c r="BC22" i="47"/>
  <c r="BD22" i="47" s="1"/>
  <c r="AK29" i="45"/>
  <c r="AK63" i="46"/>
  <c r="AK8" i="43"/>
  <c r="AL9" i="43"/>
  <c r="E31" i="43"/>
  <c r="AK24" i="46"/>
  <c r="AK33" i="45"/>
  <c r="E42" i="46"/>
  <c r="AL52" i="46"/>
  <c r="AK34" i="43"/>
  <c r="AL40" i="47"/>
  <c r="AL53" i="45"/>
  <c r="AL53" i="43"/>
  <c r="AK51" i="43"/>
  <c r="E53" i="45"/>
  <c r="AL27" i="43"/>
  <c r="E43" i="47"/>
  <c r="AL16" i="47"/>
  <c r="E10" i="47"/>
  <c r="E58" i="43"/>
  <c r="AL7" i="47"/>
  <c r="E17" i="46"/>
  <c r="AK59" i="46"/>
  <c r="E21" i="46"/>
  <c r="E45" i="45"/>
  <c r="E20" i="45"/>
  <c r="AK48" i="47"/>
  <c r="E26" i="47"/>
  <c r="E23" i="43"/>
  <c r="E44" i="43"/>
  <c r="AL56" i="46"/>
  <c r="AK56" i="43"/>
  <c r="AL40" i="45"/>
  <c r="AK30" i="45"/>
  <c r="AL51" i="43"/>
  <c r="E51" i="45"/>
  <c r="AL34" i="46"/>
  <c r="E25" i="47"/>
  <c r="E30" i="45"/>
  <c r="AL23" i="47"/>
  <c r="AL51" i="45"/>
  <c r="AK46" i="46"/>
  <c r="E47" i="45"/>
  <c r="AK58" i="43"/>
  <c r="AL53" i="46"/>
  <c r="AL51" i="46"/>
  <c r="AK41" i="43"/>
  <c r="AK30" i="46"/>
  <c r="E7" i="47"/>
  <c r="AK9" i="46"/>
  <c r="E23" i="46"/>
  <c r="E45" i="47"/>
  <c r="AL15" i="47"/>
  <c r="AK51" i="47"/>
  <c r="AL22" i="47"/>
  <c r="AL35" i="47"/>
  <c r="AL62" i="45"/>
  <c r="AL61" i="47"/>
  <c r="E44" i="47"/>
  <c r="AK37" i="43"/>
  <c r="AL58" i="46"/>
  <c r="AL66" i="47"/>
  <c r="AL22" i="46"/>
  <c r="AK19" i="47"/>
  <c r="AL47" i="47"/>
  <c r="AL26" i="45"/>
  <c r="AK29" i="47"/>
  <c r="E46" i="46"/>
  <c r="AK24" i="43"/>
  <c r="E46" i="45"/>
  <c r="E50" i="47"/>
  <c r="AL65" i="45"/>
  <c r="E57" i="46"/>
  <c r="AL33" i="46"/>
  <c r="AK21" i="46"/>
  <c r="AL45" i="46"/>
  <c r="E54" i="46"/>
  <c r="AK29" i="46"/>
  <c r="AK15" i="47"/>
  <c r="AL48" i="47"/>
  <c r="AK35" i="47"/>
  <c r="E58" i="47"/>
  <c r="E36" i="45"/>
  <c r="AK55" i="43"/>
  <c r="AL24" i="46"/>
  <c r="AK15" i="45"/>
  <c r="AK33" i="46"/>
  <c r="AL36" i="47"/>
  <c r="AK22" i="45"/>
  <c r="AL23" i="43"/>
  <c r="AK52" i="45"/>
  <c r="AL34" i="43"/>
  <c r="AK22" i="47"/>
  <c r="E45" i="43"/>
  <c r="AL40" i="43"/>
  <c r="AL49" i="46"/>
  <c r="E52" i="46"/>
  <c r="AK55" i="47"/>
  <c r="AL9" i="45"/>
  <c r="AL13" i="45"/>
  <c r="AK64" i="45"/>
  <c r="E28" i="45"/>
  <c r="AK25" i="45"/>
  <c r="AK13" i="43"/>
  <c r="E28" i="43"/>
  <c r="E13" i="43"/>
  <c r="AK45" i="45"/>
  <c r="AL21" i="47"/>
  <c r="AL29" i="47"/>
  <c r="E63" i="46"/>
  <c r="AL30" i="46"/>
  <c r="E55" i="45"/>
  <c r="E32" i="47"/>
  <c r="AK35" i="43"/>
  <c r="AK8" i="45"/>
  <c r="AK63" i="43"/>
  <c r="AL36" i="43"/>
  <c r="AL47" i="46"/>
  <c r="AL57" i="43"/>
  <c r="AL8" i="43"/>
  <c r="E30" i="46"/>
  <c r="AK20" i="43"/>
  <c r="AK64" i="46"/>
  <c r="AL28" i="43"/>
  <c r="AK27" i="43"/>
  <c r="E11" i="45"/>
  <c r="E47" i="47"/>
  <c r="AL38" i="43"/>
  <c r="E7" i="46"/>
  <c r="E10" i="45"/>
  <c r="AK17" i="45"/>
  <c r="AK33" i="47"/>
  <c r="AK9" i="45"/>
  <c r="AK24" i="47"/>
  <c r="E21" i="47"/>
  <c r="AK49" i="47"/>
  <c r="E19" i="43"/>
  <c r="E53" i="46"/>
  <c r="AL59" i="47"/>
  <c r="E42" i="43"/>
  <c r="E56" i="47"/>
  <c r="AL49" i="45"/>
  <c r="E32" i="43"/>
  <c r="AL25" i="47"/>
  <c r="AK43" i="47"/>
  <c r="E38" i="43"/>
  <c r="AK22" i="46"/>
  <c r="AL42" i="43"/>
  <c r="AK65" i="46"/>
  <c r="AL22" i="45"/>
  <c r="E37" i="47"/>
  <c r="AK44" i="45"/>
  <c r="E8" i="43"/>
  <c r="AL55" i="43"/>
  <c r="AK50" i="43"/>
  <c r="AK39" i="46"/>
  <c r="E50" i="45"/>
  <c r="E48" i="43"/>
  <c r="E24" i="47"/>
  <c r="E29" i="47"/>
  <c r="AK61" i="47"/>
  <c r="E37" i="45"/>
  <c r="AK7" i="46"/>
  <c r="E34" i="47"/>
  <c r="AL12" i="45"/>
  <c r="AL13" i="43"/>
  <c r="E22" i="46"/>
  <c r="AK21" i="47"/>
  <c r="E39" i="46"/>
  <c r="AK47" i="43"/>
  <c r="AK14" i="43"/>
  <c r="AK48" i="45"/>
  <c r="E41" i="46"/>
  <c r="AK27" i="45"/>
  <c r="AL41" i="46"/>
  <c r="E15" i="46"/>
  <c r="E39" i="47"/>
  <c r="AL15" i="46"/>
  <c r="AK37" i="45"/>
  <c r="AL41" i="45"/>
  <c r="E14" i="47"/>
  <c r="AK44" i="43"/>
  <c r="AK48" i="43"/>
  <c r="E58" i="46"/>
  <c r="E46" i="47"/>
  <c r="E64" i="45"/>
  <c r="AL21" i="46"/>
  <c r="AL18" i="47"/>
  <c r="AK19" i="45"/>
  <c r="AL33" i="45"/>
  <c r="AL26" i="46"/>
  <c r="AL8" i="45"/>
  <c r="AL46" i="43"/>
  <c r="E15" i="47"/>
  <c r="AK41" i="47"/>
  <c r="AL22" i="43"/>
  <c r="AK12" i="47"/>
  <c r="E65" i="46"/>
  <c r="AL18" i="43"/>
  <c r="AL8" i="46"/>
  <c r="AL11" i="46"/>
  <c r="AL41" i="43"/>
  <c r="AK41" i="45"/>
  <c r="AL56" i="43"/>
  <c r="E59" i="43"/>
  <c r="E22" i="45"/>
  <c r="AL57" i="45"/>
  <c r="AL21" i="45"/>
  <c r="E57" i="47"/>
  <c r="E38" i="47"/>
  <c r="AK42" i="43"/>
  <c r="E22" i="43"/>
  <c r="AL37" i="45"/>
  <c r="AK22" i="43"/>
  <c r="AL30" i="47"/>
  <c r="AL43" i="43"/>
  <c r="AK26" i="47"/>
  <c r="AK38" i="47"/>
  <c r="E12" i="43"/>
  <c r="AL23" i="45"/>
  <c r="E64" i="46"/>
  <c r="AL17" i="45"/>
  <c r="AK26" i="46"/>
  <c r="AL37" i="46"/>
  <c r="AK59" i="45"/>
  <c r="AL27" i="47"/>
  <c r="AL58" i="45"/>
  <c r="AL29" i="45"/>
  <c r="AK28" i="47"/>
  <c r="AL9" i="46"/>
  <c r="E37" i="46"/>
  <c r="AL35" i="46"/>
  <c r="AK50" i="47"/>
  <c r="AK12" i="46"/>
  <c r="AL54" i="46"/>
  <c r="E24" i="45"/>
  <c r="AL51" i="47"/>
  <c r="AK64" i="43"/>
  <c r="AK31" i="45"/>
  <c r="AL19" i="47"/>
  <c r="AL28" i="47"/>
  <c r="E35" i="45"/>
  <c r="AK54" i="46"/>
  <c r="AK13" i="45"/>
  <c r="E24" i="43"/>
  <c r="AL30" i="45"/>
  <c r="AK65" i="45"/>
  <c r="AL57" i="47"/>
  <c r="E33" i="47"/>
  <c r="AL17" i="43"/>
  <c r="AK49" i="45"/>
  <c r="E23" i="45"/>
  <c r="AK18" i="46"/>
  <c r="E9" i="43"/>
  <c r="AL43" i="47"/>
  <c r="AK43" i="46"/>
  <c r="E40" i="47"/>
  <c r="AK36" i="43"/>
  <c r="AK31" i="47"/>
  <c r="AL38" i="45"/>
  <c r="E53" i="43"/>
  <c r="E54" i="47"/>
  <c r="E7" i="43"/>
  <c r="AL35" i="45"/>
  <c r="AK23" i="43"/>
  <c r="E51" i="46"/>
  <c r="AL58" i="43"/>
  <c r="E37" i="43"/>
  <c r="AK18" i="45"/>
  <c r="E19" i="45"/>
  <c r="AL11" i="43"/>
  <c r="AK11" i="43"/>
  <c r="AL27" i="46"/>
  <c r="AK54" i="43"/>
  <c r="AK37" i="46"/>
  <c r="AK59" i="47"/>
  <c r="AK52" i="47"/>
  <c r="E49" i="45"/>
  <c r="AL54" i="47"/>
  <c r="AK44" i="47"/>
  <c r="E63" i="45"/>
  <c r="AK54" i="45"/>
  <c r="AL32" i="45"/>
  <c r="AK38" i="45"/>
  <c r="AK43" i="43"/>
  <c r="E28" i="46"/>
  <c r="AL14" i="47"/>
  <c r="E50" i="43"/>
  <c r="AL33" i="47"/>
  <c r="E40" i="46"/>
  <c r="E26" i="45"/>
  <c r="AK17" i="43"/>
  <c r="AL39" i="46"/>
  <c r="E53" i="47"/>
  <c r="AK60" i="46"/>
  <c r="AK58" i="46"/>
  <c r="E27" i="43"/>
  <c r="E17" i="43"/>
  <c r="AK7" i="43"/>
  <c r="AL45" i="47"/>
  <c r="E21" i="43"/>
  <c r="AK62" i="43"/>
  <c r="AL29" i="43"/>
  <c r="AL56" i="47"/>
  <c r="AL12" i="47"/>
  <c r="E62" i="45"/>
  <c r="E56" i="45"/>
  <c r="AL55" i="47"/>
  <c r="AK52" i="46"/>
  <c r="AK40" i="45"/>
  <c r="AL26" i="43"/>
  <c r="E18" i="46"/>
  <c r="E30" i="43"/>
  <c r="E27" i="45"/>
  <c r="AK7" i="47"/>
  <c r="AK47" i="46"/>
  <c r="AL10" i="46"/>
  <c r="AL48" i="45"/>
  <c r="AK35" i="45"/>
  <c r="E43" i="43"/>
  <c r="AK14" i="45"/>
  <c r="E52" i="43"/>
  <c r="AK43" i="45"/>
  <c r="E18" i="47"/>
  <c r="AL18" i="45"/>
  <c r="AK53" i="46"/>
  <c r="AK21" i="45"/>
  <c r="E59" i="45"/>
  <c r="AK18" i="43"/>
  <c r="AL24" i="47"/>
  <c r="AK56" i="45"/>
  <c r="AL38" i="46"/>
  <c r="AK64" i="47"/>
  <c r="AK20" i="47"/>
  <c r="AK30" i="43"/>
  <c r="AL36" i="45"/>
  <c r="E65" i="45"/>
  <c r="AK41" i="46"/>
  <c r="AL44" i="47"/>
  <c r="AK23" i="45"/>
  <c r="AK29" i="43"/>
  <c r="AK30" i="47"/>
  <c r="AL52" i="45"/>
  <c r="AK13" i="47"/>
  <c r="E54" i="45"/>
  <c r="AK16" i="47"/>
  <c r="E18" i="43"/>
  <c r="AK56" i="47"/>
  <c r="AL45" i="43"/>
  <c r="AK60" i="47"/>
  <c r="AL47" i="43"/>
  <c r="AL48" i="43"/>
  <c r="AK17" i="46"/>
  <c r="E48" i="46"/>
  <c r="AK53" i="45"/>
  <c r="AL30" i="43"/>
  <c r="AL34" i="45"/>
  <c r="E10" i="43"/>
  <c r="AK9" i="43"/>
  <c r="E52" i="45"/>
  <c r="AL24" i="43"/>
  <c r="AK42" i="47"/>
  <c r="E40" i="43"/>
  <c r="E47" i="46"/>
  <c r="AK15" i="46"/>
  <c r="E41" i="45"/>
  <c r="E48" i="47"/>
  <c r="AL18" i="46"/>
  <c r="E15" i="45"/>
  <c r="E42" i="45"/>
  <c r="E56" i="46"/>
  <c r="E16" i="43"/>
  <c r="AK63" i="45"/>
  <c r="AL13" i="46"/>
  <c r="E14" i="43"/>
  <c r="AL52" i="47"/>
  <c r="E38" i="46"/>
  <c r="AL39" i="47"/>
  <c r="AL64" i="46"/>
  <c r="AL43" i="46"/>
  <c r="AL32" i="43"/>
  <c r="AK53" i="43"/>
  <c r="AK19" i="46"/>
  <c r="AL37" i="47"/>
  <c r="AK16" i="43"/>
  <c r="AK39" i="47"/>
  <c r="E42" i="47"/>
  <c r="AK8" i="46"/>
  <c r="E35" i="46"/>
  <c r="E50" i="46"/>
  <c r="AK18" i="47"/>
  <c r="E39" i="45"/>
  <c r="E29" i="46"/>
  <c r="AL20" i="47"/>
  <c r="AL17" i="46"/>
  <c r="AK56" i="46"/>
  <c r="AK66" i="47"/>
  <c r="AK10" i="43"/>
  <c r="AK47" i="47"/>
  <c r="E62" i="46"/>
  <c r="AK32" i="43"/>
  <c r="E59" i="46"/>
  <c r="AK12" i="43"/>
  <c r="E43" i="45"/>
  <c r="E35" i="43"/>
  <c r="E34" i="43"/>
  <c r="E26" i="43"/>
  <c r="AL19" i="46"/>
  <c r="E23" i="47"/>
  <c r="AL46" i="46"/>
  <c r="E25" i="46"/>
  <c r="AL55" i="46"/>
  <c r="AK14" i="47"/>
  <c r="E51" i="43"/>
  <c r="AK49" i="46"/>
  <c r="AL63" i="46"/>
  <c r="AL35" i="43"/>
  <c r="AL42" i="46"/>
  <c r="AL14" i="45"/>
  <c r="E18" i="45"/>
  <c r="AL12" i="43"/>
  <c r="AL31" i="43"/>
  <c r="AL38" i="47"/>
  <c r="E38" i="45"/>
  <c r="AK34" i="45"/>
  <c r="E47" i="43"/>
  <c r="AL62" i="46"/>
  <c r="E35" i="47"/>
  <c r="AL60" i="47"/>
  <c r="E46" i="43"/>
  <c r="AK36" i="47"/>
  <c r="E24" i="46"/>
  <c r="E29" i="43"/>
  <c r="AK37" i="47"/>
  <c r="AK62" i="45"/>
  <c r="AK39" i="43"/>
  <c r="E40" i="45"/>
  <c r="AK15" i="43"/>
  <c r="AL15" i="43"/>
  <c r="E52" i="47"/>
  <c r="AL39" i="43"/>
  <c r="E33" i="43"/>
  <c r="AL26" i="47"/>
  <c r="E27" i="46"/>
  <c r="AK36" i="46"/>
  <c r="AL15" i="45"/>
  <c r="E56" i="43"/>
  <c r="E36" i="46"/>
  <c r="E55" i="46"/>
  <c r="AL60" i="46"/>
  <c r="AL63" i="43"/>
  <c r="AK35" i="46"/>
  <c r="AK31" i="43"/>
  <c r="AK46" i="43"/>
  <c r="E30" i="47"/>
  <c r="AL36" i="46"/>
  <c r="E26" i="46"/>
  <c r="AK17" i="47"/>
  <c r="AK45" i="46"/>
  <c r="AK8" i="47"/>
  <c r="AK58" i="45"/>
  <c r="AK21" i="43"/>
  <c r="AK25" i="47"/>
  <c r="AK55" i="46"/>
  <c r="AL49" i="47"/>
  <c r="AL29" i="46"/>
  <c r="E33" i="45"/>
  <c r="AL64" i="47"/>
  <c r="AK49" i="43"/>
  <c r="E55" i="47"/>
  <c r="E20" i="46"/>
  <c r="AL14" i="46"/>
  <c r="E58" i="45"/>
  <c r="E41" i="47"/>
  <c r="AK57" i="43"/>
  <c r="E22" i="47"/>
  <c r="E49" i="46"/>
  <c r="E15" i="43"/>
  <c r="AK10" i="46"/>
  <c r="AK28" i="43"/>
  <c r="AL50" i="43"/>
  <c r="AL53" i="47"/>
  <c r="E31" i="46"/>
  <c r="AK38" i="46"/>
  <c r="AK32" i="47"/>
  <c r="AK63" i="47"/>
  <c r="AL31" i="47"/>
  <c r="AL12" i="46"/>
  <c r="E43" i="46"/>
  <c r="AK38" i="43"/>
  <c r="AK33" i="43"/>
  <c r="AK26" i="45"/>
  <c r="AL54" i="43"/>
  <c r="AK12" i="45"/>
  <c r="AL25" i="45"/>
  <c r="E45" i="46"/>
  <c r="AL65" i="47"/>
  <c r="AK32" i="45"/>
  <c r="AL63" i="47"/>
  <c r="AK59" i="43"/>
  <c r="AK45" i="47"/>
  <c r="AL7" i="46"/>
  <c r="E36" i="47"/>
  <c r="AL9" i="47"/>
  <c r="E57" i="45"/>
  <c r="AK62" i="46"/>
  <c r="AL7" i="43"/>
  <c r="AK51" i="45"/>
  <c r="AK23" i="47"/>
  <c r="AL52" i="43"/>
  <c r="AL17" i="47"/>
  <c r="AK51" i="46"/>
  <c r="AK40" i="43"/>
  <c r="AK34" i="47"/>
  <c r="AK26" i="43"/>
  <c r="AK57" i="45"/>
  <c r="AK45" i="43"/>
  <c r="E20" i="43"/>
  <c r="E62" i="43"/>
  <c r="E64" i="43"/>
  <c r="AL44" i="46"/>
  <c r="E19" i="46"/>
  <c r="AK14" i="46"/>
  <c r="E49" i="43"/>
  <c r="E41" i="43"/>
  <c r="E59" i="47"/>
  <c r="AL13" i="47"/>
  <c r="AL65" i="46"/>
  <c r="AL63" i="45"/>
  <c r="AL42" i="47"/>
  <c r="E33" i="46"/>
  <c r="E17" i="47"/>
  <c r="AK11" i="46"/>
  <c r="E48" i="45"/>
  <c r="E36" i="43"/>
  <c r="AK9" i="47"/>
  <c r="AL16" i="43"/>
  <c r="E11" i="43"/>
  <c r="E25" i="43"/>
  <c r="E57" i="43"/>
  <c r="AL27" i="45"/>
  <c r="E49" i="47"/>
  <c r="AL8" i="47"/>
  <c r="AK40" i="47"/>
  <c r="AK53" i="47"/>
  <c r="AL49" i="43"/>
  <c r="AL31" i="45"/>
  <c r="AL20" i="43"/>
  <c r="AL64" i="45"/>
  <c r="AL59" i="46"/>
  <c r="AL34" i="47"/>
  <c r="AL62" i="43"/>
  <c r="AL59" i="43"/>
  <c r="E54" i="43"/>
  <c r="AL54" i="45"/>
  <c r="AK52" i="43"/>
  <c r="E39" i="43"/>
  <c r="AK27" i="46"/>
  <c r="AL45" i="45"/>
  <c r="E34" i="46"/>
  <c r="E51" i="47"/>
  <c r="AK13" i="46"/>
  <c r="E31" i="45"/>
  <c r="AL21" i="43"/>
  <c r="AL19" i="43"/>
  <c r="AK57" i="47"/>
  <c r="AK44" i="46"/>
  <c r="E55" i="43"/>
  <c r="E32" i="45"/>
  <c r="AL14" i="43"/>
  <c r="AK27" i="47"/>
  <c r="AL64" i="43"/>
  <c r="AL46" i="45"/>
  <c r="AK19" i="43"/>
  <c r="AL50" i="47"/>
  <c r="AL44" i="45"/>
  <c r="E60" i="47"/>
  <c r="AK42" i="46"/>
  <c r="AL19" i="45"/>
  <c r="E32" i="46"/>
  <c r="AK34" i="46"/>
  <c r="AL59" i="45"/>
  <c r="AL33" i="43"/>
  <c r="AL43" i="45"/>
  <c r="E44" i="45"/>
  <c r="AL10" i="43"/>
  <c r="AK54" i="47"/>
  <c r="AK25" i="43"/>
  <c r="E63" i="43"/>
  <c r="AL41" i="47"/>
  <c r="AK65" i="47"/>
  <c r="AL37" i="43"/>
  <c r="AL32" i="47"/>
  <c r="AK46" i="45"/>
  <c r="E31" i="47"/>
  <c r="AL56" i="45"/>
  <c r="AL25" i="43"/>
  <c r="AK36" i="45"/>
  <c r="AL44" i="43"/>
  <c r="S8" i="49" l="1"/>
  <c r="O5" i="49"/>
  <c r="P9" i="49"/>
  <c r="P12" i="49"/>
  <c r="P14" i="49"/>
  <c r="S10" i="49"/>
  <c r="P8" i="49"/>
  <c r="S11" i="49"/>
  <c r="S9" i="49"/>
  <c r="S14" i="49"/>
  <c r="AG32" i="45"/>
  <c r="AH32" i="45"/>
  <c r="AM64" i="43"/>
  <c r="AG48" i="47"/>
  <c r="AH48" i="47"/>
  <c r="AG41" i="47"/>
  <c r="AH41" i="47"/>
  <c r="AH53" i="47"/>
  <c r="AG53" i="47"/>
  <c r="AM25" i="43"/>
  <c r="AM27" i="43"/>
  <c r="AG44" i="46"/>
  <c r="AH44" i="46"/>
  <c r="AM32" i="47"/>
  <c r="AM23" i="45"/>
  <c r="AM8" i="47"/>
  <c r="AM7" i="43"/>
  <c r="AM57" i="47"/>
  <c r="AH8" i="47"/>
  <c r="AG8" i="47"/>
  <c r="AH64" i="46"/>
  <c r="AG64" i="46"/>
  <c r="AH47" i="43"/>
  <c r="AG47" i="43"/>
  <c r="AH48" i="45"/>
  <c r="AG48" i="45"/>
  <c r="AM32" i="43"/>
  <c r="AG51" i="47"/>
  <c r="AH51" i="47"/>
  <c r="AM19" i="46"/>
  <c r="AH19" i="47"/>
  <c r="AG19" i="47"/>
  <c r="AG23" i="47"/>
  <c r="AH23" i="47"/>
  <c r="AM54" i="45"/>
  <c r="AM31" i="47"/>
  <c r="AM15" i="47"/>
  <c r="AH53" i="46"/>
  <c r="AG53" i="46"/>
  <c r="AM21" i="43"/>
  <c r="AG50" i="43"/>
  <c r="AH50" i="43"/>
  <c r="AH16" i="47"/>
  <c r="AG16" i="47"/>
  <c r="AM54" i="47"/>
  <c r="AG28" i="43"/>
  <c r="AH28" i="43"/>
  <c r="AM64" i="45"/>
  <c r="AH35" i="45"/>
  <c r="AG35" i="45"/>
  <c r="AH44" i="47"/>
  <c r="AG44" i="47"/>
  <c r="AM45" i="46"/>
  <c r="AG19" i="43"/>
  <c r="AH19" i="43"/>
  <c r="AG39" i="47"/>
  <c r="AH39" i="47"/>
  <c r="AG44" i="43"/>
  <c r="AH44" i="43"/>
  <c r="AM12" i="47"/>
  <c r="AH10" i="46"/>
  <c r="AG10" i="46"/>
  <c r="AH38" i="47"/>
  <c r="AG38" i="47"/>
  <c r="AH22" i="45"/>
  <c r="AG22" i="45"/>
  <c r="AG49" i="43"/>
  <c r="AH49" i="43"/>
  <c r="AG41" i="46"/>
  <c r="AH41" i="46"/>
  <c r="AM43" i="47"/>
  <c r="AM36" i="43"/>
  <c r="AM29" i="46"/>
  <c r="AG52" i="45"/>
  <c r="AH52" i="45"/>
  <c r="AM28" i="43"/>
  <c r="AH10" i="43"/>
  <c r="AG10" i="43"/>
  <c r="AM64" i="46"/>
  <c r="AH13" i="45"/>
  <c r="AG13" i="45"/>
  <c r="AH58" i="46"/>
  <c r="AG58" i="46"/>
  <c r="AG21" i="45"/>
  <c r="AH21" i="45"/>
  <c r="AM41" i="46"/>
  <c r="AM17" i="47"/>
  <c r="AM36" i="45"/>
  <c r="AG21" i="43"/>
  <c r="AH21" i="43"/>
  <c r="AG27" i="45"/>
  <c r="AH27" i="45"/>
  <c r="AM63" i="47"/>
  <c r="AG22" i="43"/>
  <c r="AH22" i="43"/>
  <c r="AM47" i="46"/>
  <c r="AG31" i="43"/>
  <c r="AH31" i="43"/>
  <c r="AM47" i="47"/>
  <c r="AG54" i="46"/>
  <c r="AH54" i="46"/>
  <c r="AG28" i="47"/>
  <c r="AH28" i="47"/>
  <c r="AM27" i="45"/>
  <c r="AG25" i="47"/>
  <c r="AH25" i="47"/>
  <c r="AM44" i="47"/>
  <c r="AG56" i="45"/>
  <c r="AH56" i="45"/>
  <c r="AM10" i="46"/>
  <c r="AG27" i="43"/>
  <c r="AH27" i="43"/>
  <c r="AM20" i="43"/>
  <c r="AH9" i="45"/>
  <c r="AG9" i="45"/>
  <c r="AH52" i="47"/>
  <c r="AG52" i="47"/>
  <c r="AM25" i="47"/>
  <c r="AM41" i="47"/>
  <c r="AM7" i="47"/>
  <c r="AM46" i="45"/>
  <c r="AG12" i="43"/>
  <c r="AH12" i="43"/>
  <c r="AM10" i="43"/>
  <c r="AM12" i="46"/>
  <c r="AM65" i="47"/>
  <c r="AG11" i="46"/>
  <c r="AH11" i="46"/>
  <c r="AH34" i="46"/>
  <c r="AG34" i="46"/>
  <c r="AH54" i="47"/>
  <c r="AG54" i="47"/>
  <c r="AM43" i="46"/>
  <c r="AG45" i="46"/>
  <c r="AH45" i="46"/>
  <c r="AG38" i="43"/>
  <c r="AH38" i="43"/>
  <c r="AG15" i="46"/>
  <c r="AH15" i="46"/>
  <c r="AG43" i="45"/>
  <c r="AH43" i="45"/>
  <c r="AM55" i="47"/>
  <c r="AM45" i="43"/>
  <c r="AH7" i="46"/>
  <c r="AG7" i="46"/>
  <c r="AH42" i="43"/>
  <c r="AG42" i="43"/>
  <c r="AG36" i="45"/>
  <c r="AH36" i="45"/>
  <c r="AG36" i="46"/>
  <c r="AH36" i="46"/>
  <c r="AM13" i="46"/>
  <c r="AM13" i="47"/>
  <c r="AM14" i="46"/>
  <c r="AM44" i="45"/>
  <c r="AM66" i="47"/>
  <c r="AM50" i="47"/>
  <c r="AH31" i="45"/>
  <c r="AG31" i="45"/>
  <c r="AM48" i="45"/>
  <c r="AG49" i="45"/>
  <c r="AH49" i="45"/>
  <c r="AH43" i="47"/>
  <c r="AG43" i="47"/>
  <c r="AM21" i="46"/>
  <c r="AM9" i="46"/>
  <c r="AM51" i="43"/>
  <c r="AH33" i="43"/>
  <c r="AG33" i="43"/>
  <c r="AH8" i="43"/>
  <c r="AG8" i="43"/>
  <c r="AM57" i="45"/>
  <c r="AM30" i="43"/>
  <c r="AM39" i="46"/>
  <c r="AH13" i="46"/>
  <c r="AG13" i="46"/>
  <c r="AM14" i="45"/>
  <c r="AG46" i="43"/>
  <c r="AH46" i="43"/>
  <c r="AG32" i="47"/>
  <c r="AH32" i="47"/>
  <c r="AG14" i="45"/>
  <c r="AH14" i="45"/>
  <c r="AM56" i="46"/>
  <c r="AG35" i="46"/>
  <c r="AH35" i="46"/>
  <c r="AG32" i="43"/>
  <c r="AH32" i="43"/>
  <c r="AH51" i="43"/>
  <c r="AG51" i="43"/>
  <c r="AM14" i="43"/>
  <c r="AM52" i="47"/>
  <c r="AG33" i="46"/>
  <c r="AH33" i="46"/>
  <c r="AH53" i="43"/>
  <c r="AG53" i="43"/>
  <c r="AG59" i="45"/>
  <c r="AH59" i="45"/>
  <c r="AH57" i="43"/>
  <c r="AG57" i="43"/>
  <c r="AG49" i="46"/>
  <c r="AH49" i="46"/>
  <c r="AM26" i="43"/>
  <c r="AM38" i="45"/>
  <c r="AM20" i="47"/>
  <c r="AM46" i="43"/>
  <c r="AH25" i="43"/>
  <c r="AG25" i="43"/>
  <c r="AH16" i="43"/>
  <c r="AG16" i="43"/>
  <c r="AM63" i="45"/>
  <c r="AM26" i="45"/>
  <c r="AG8" i="45"/>
  <c r="AH8" i="45"/>
  <c r="AM58" i="46"/>
  <c r="AH42" i="46"/>
  <c r="AG42" i="46"/>
  <c r="AG17" i="46"/>
  <c r="AH17" i="46"/>
  <c r="AM13" i="43"/>
  <c r="AM30" i="45"/>
  <c r="AM47" i="43"/>
  <c r="AM59" i="47"/>
  <c r="AM18" i="46"/>
  <c r="AG41" i="43"/>
  <c r="AH41" i="43"/>
  <c r="AM38" i="46"/>
  <c r="AM57" i="43"/>
  <c r="AG53" i="45"/>
  <c r="AH53" i="45"/>
  <c r="AM34" i="46"/>
  <c r="AG47" i="46"/>
  <c r="AH47" i="46"/>
  <c r="AH40" i="43"/>
  <c r="AG40" i="43"/>
  <c r="AM34" i="47"/>
  <c r="AM37" i="45"/>
  <c r="AM31" i="45"/>
  <c r="AM64" i="47"/>
  <c r="AM31" i="43"/>
  <c r="AG15" i="43"/>
  <c r="AH15" i="43"/>
  <c r="AH45" i="45"/>
  <c r="AG45" i="45"/>
  <c r="AM9" i="47"/>
  <c r="AM58" i="45"/>
  <c r="AG26" i="46"/>
  <c r="AH26" i="46"/>
  <c r="AG26" i="43"/>
  <c r="AH26" i="43"/>
  <c r="AG35" i="43"/>
  <c r="AH35" i="43"/>
  <c r="AH20" i="47"/>
  <c r="AG20" i="47"/>
  <c r="AH9" i="46"/>
  <c r="AG9" i="46"/>
  <c r="AG62" i="46"/>
  <c r="AH62" i="46"/>
  <c r="AM33" i="43"/>
  <c r="AG40" i="45"/>
  <c r="AH40" i="45"/>
  <c r="AH59" i="47"/>
  <c r="AG59" i="47"/>
  <c r="AM37" i="46"/>
  <c r="AM50" i="43"/>
  <c r="AM53" i="47"/>
  <c r="AH40" i="47"/>
  <c r="AG40" i="47"/>
  <c r="AG36" i="43"/>
  <c r="AH36" i="43"/>
  <c r="AM40" i="43"/>
  <c r="AM38" i="47"/>
  <c r="AH39" i="43"/>
  <c r="AG39" i="43"/>
  <c r="AG38" i="46"/>
  <c r="AH38" i="46"/>
  <c r="AM35" i="46"/>
  <c r="AM15" i="43"/>
  <c r="AM27" i="46"/>
  <c r="AM37" i="43"/>
  <c r="AM30" i="47"/>
  <c r="AG33" i="45"/>
  <c r="AH33" i="45"/>
  <c r="AM40" i="45"/>
  <c r="AG37" i="43"/>
  <c r="AH37" i="43"/>
  <c r="AG63" i="46"/>
  <c r="AH63" i="46"/>
  <c r="AM28" i="47"/>
  <c r="AM60" i="47"/>
  <c r="AM56" i="43"/>
  <c r="AM21" i="47"/>
  <c r="AM54" i="43"/>
  <c r="AM49" i="45"/>
  <c r="AM65" i="46"/>
  <c r="AM35" i="47"/>
  <c r="AM34" i="43"/>
  <c r="AH19" i="45"/>
  <c r="AG19" i="45"/>
  <c r="AM63" i="43"/>
  <c r="AM22" i="47"/>
  <c r="AM51" i="46"/>
  <c r="AM45" i="47"/>
  <c r="AM12" i="43"/>
  <c r="AM56" i="45"/>
  <c r="AG63" i="43"/>
  <c r="AH63" i="43"/>
  <c r="AM58" i="43"/>
  <c r="AH8" i="46"/>
  <c r="AG8" i="46"/>
  <c r="AM19" i="45"/>
  <c r="AM52" i="46"/>
  <c r="AM60" i="46"/>
  <c r="AM49" i="46"/>
  <c r="AG29" i="45"/>
  <c r="AH29" i="45"/>
  <c r="U9" i="43"/>
  <c r="V9" i="43" s="1"/>
  <c r="R8" i="43"/>
  <c r="U11" i="43"/>
  <c r="V11" i="43" s="1"/>
  <c r="U10" i="43"/>
  <c r="O13" i="43"/>
  <c r="R10" i="43"/>
  <c r="U12" i="43"/>
  <c r="O11" i="43"/>
  <c r="O16" i="43" a="1"/>
  <c r="O16" i="43" s="1"/>
  <c r="O12" i="43"/>
  <c r="R9" i="43"/>
  <c r="O10" i="43"/>
  <c r="U8" i="43"/>
  <c r="V8" i="43" s="1"/>
  <c r="R12" i="43"/>
  <c r="O8" i="43"/>
  <c r="R11" i="43"/>
  <c r="R13" i="43"/>
  <c r="S13" i="43" s="1"/>
  <c r="U13" i="43"/>
  <c r="O9" i="43"/>
  <c r="U16" i="43" a="1"/>
  <c r="U16" i="43" s="1"/>
  <c r="R16" i="43" a="1"/>
  <c r="R16" i="43" s="1"/>
  <c r="AM35" i="45"/>
  <c r="AH56" i="46"/>
  <c r="AG56" i="46"/>
  <c r="AG27" i="46"/>
  <c r="AH27" i="46"/>
  <c r="AH17" i="43"/>
  <c r="AG17" i="43"/>
  <c r="AM43" i="43"/>
  <c r="AG45" i="43"/>
  <c r="AH45" i="43"/>
  <c r="AH14" i="46"/>
  <c r="AG14" i="46"/>
  <c r="AG52" i="46"/>
  <c r="AH52" i="46"/>
  <c r="AM42" i="46"/>
  <c r="AM8" i="45"/>
  <c r="AG34" i="43"/>
  <c r="AH34" i="43"/>
  <c r="AG17" i="47"/>
  <c r="AH17" i="47"/>
  <c r="AH7" i="47"/>
  <c r="AG7" i="47"/>
  <c r="AG55" i="43"/>
  <c r="AH55" i="43"/>
  <c r="AG24" i="47"/>
  <c r="AH24" i="47"/>
  <c r="AG60" i="46"/>
  <c r="AH60" i="46"/>
  <c r="AM39" i="43"/>
  <c r="AM52" i="43"/>
  <c r="AM11" i="46"/>
  <c r="AM53" i="43"/>
  <c r="AG18" i="47"/>
  <c r="AH18" i="47"/>
  <c r="AH55" i="47"/>
  <c r="AG55" i="47"/>
  <c r="AM18" i="47"/>
  <c r="AG58" i="45"/>
  <c r="AH58" i="45"/>
  <c r="AM9" i="43"/>
  <c r="AM46" i="46"/>
  <c r="AG13" i="43"/>
  <c r="AH13" i="43"/>
  <c r="AM49" i="47"/>
  <c r="AM11" i="43"/>
  <c r="AM24" i="43"/>
  <c r="AM26" i="47"/>
  <c r="AM44" i="46"/>
  <c r="AM35" i="43"/>
  <c r="AM52" i="45"/>
  <c r="AG52" i="43"/>
  <c r="AH52" i="43"/>
  <c r="AM18" i="43"/>
  <c r="AM62" i="45"/>
  <c r="AG54" i="45"/>
  <c r="AH54" i="45"/>
  <c r="AH18" i="46"/>
  <c r="AG18" i="46"/>
  <c r="AM59" i="43"/>
  <c r="AM25" i="45"/>
  <c r="AG21" i="46"/>
  <c r="AH21" i="46"/>
  <c r="AH39" i="46"/>
  <c r="AG39" i="46"/>
  <c r="AM14" i="47"/>
  <c r="AG27" i="47"/>
  <c r="AH27" i="47"/>
  <c r="AH12" i="45"/>
  <c r="AG12" i="45"/>
  <c r="AH11" i="43"/>
  <c r="AG11" i="43"/>
  <c r="AG57" i="47"/>
  <c r="AH57" i="47"/>
  <c r="AG43" i="43"/>
  <c r="AH43" i="43"/>
  <c r="AG57" i="45"/>
  <c r="AH57" i="45"/>
  <c r="AM33" i="45"/>
  <c r="AH44" i="45"/>
  <c r="AG44" i="45"/>
  <c r="AH23" i="43"/>
  <c r="AG23" i="43"/>
  <c r="AM23" i="47"/>
  <c r="AH61" i="47"/>
  <c r="AG61" i="47"/>
  <c r="AM40" i="47"/>
  <c r="AM37" i="47"/>
  <c r="AH63" i="47"/>
  <c r="AG63" i="47"/>
  <c r="AM29" i="43"/>
  <c r="AM17" i="43"/>
  <c r="AH55" i="46"/>
  <c r="AG55" i="46"/>
  <c r="AM59" i="45"/>
  <c r="AG34" i="45"/>
  <c r="AH34" i="45"/>
  <c r="R9" i="47"/>
  <c r="U12" i="47"/>
  <c r="O11" i="47"/>
  <c r="U9" i="47"/>
  <c r="V9" i="47" s="1"/>
  <c r="O8" i="47"/>
  <c r="R8" i="47"/>
  <c r="O10" i="47"/>
  <c r="R10" i="47"/>
  <c r="U8" i="47"/>
  <c r="V8" i="47" s="1"/>
  <c r="R13" i="47"/>
  <c r="S13" i="47" s="1"/>
  <c r="O13" i="47"/>
  <c r="U10" i="47"/>
  <c r="U11" i="47"/>
  <c r="V11" i="47" s="1"/>
  <c r="R11" i="47"/>
  <c r="U13" i="47"/>
  <c r="R16" i="47" a="1"/>
  <c r="R16" i="47" s="1"/>
  <c r="O12" i="47"/>
  <c r="O9" i="47"/>
  <c r="U16" i="47" a="1"/>
  <c r="U16" i="47" s="1"/>
  <c r="R12" i="47"/>
  <c r="AA12" i="47" s="1"/>
  <c r="O16" i="47" a="1"/>
  <c r="O16" i="47" s="1"/>
  <c r="AM24" i="47"/>
  <c r="AM65" i="45"/>
  <c r="AM29" i="47"/>
  <c r="AG30" i="47"/>
  <c r="AH30" i="47"/>
  <c r="AH18" i="43"/>
  <c r="AG18" i="43"/>
  <c r="AM49" i="43"/>
  <c r="AM24" i="46"/>
  <c r="AH50" i="47"/>
  <c r="AG50" i="47"/>
  <c r="AM22" i="45"/>
  <c r="AM51" i="45"/>
  <c r="AG62" i="45"/>
  <c r="AH62" i="45"/>
  <c r="AM21" i="45"/>
  <c r="AG59" i="43"/>
  <c r="AH59" i="43"/>
  <c r="AG42" i="47"/>
  <c r="AH42" i="47"/>
  <c r="AM32" i="45"/>
  <c r="AM38" i="43"/>
  <c r="AH12" i="47"/>
  <c r="AG12" i="47"/>
  <c r="AM8" i="46"/>
  <c r="AH37" i="46"/>
  <c r="AG37" i="46"/>
  <c r="AG30" i="43"/>
  <c r="AH30" i="43"/>
  <c r="AM56" i="47"/>
  <c r="AM48" i="47"/>
  <c r="AM7" i="46"/>
  <c r="AM9" i="45"/>
  <c r="AM18" i="45"/>
  <c r="AG30" i="45"/>
  <c r="AH30" i="45"/>
  <c r="AH26" i="45"/>
  <c r="AG26" i="45"/>
  <c r="AM22" i="43"/>
  <c r="AG64" i="47"/>
  <c r="AH64" i="47"/>
  <c r="AM19" i="43"/>
  <c r="AH30" i="46"/>
  <c r="AG30" i="46"/>
  <c r="AG36" i="47"/>
  <c r="AH36" i="47"/>
  <c r="AG7" i="43"/>
  <c r="AH7" i="43"/>
  <c r="AH35" i="47"/>
  <c r="AG35" i="47"/>
  <c r="AH43" i="46"/>
  <c r="AG43" i="46"/>
  <c r="AM53" i="46"/>
  <c r="AG15" i="45"/>
  <c r="AH15" i="45"/>
  <c r="AH62" i="43"/>
  <c r="AG62" i="43"/>
  <c r="AH63" i="45"/>
  <c r="AG63" i="45"/>
  <c r="AM15" i="46"/>
  <c r="AH65" i="47"/>
  <c r="AG65" i="47"/>
  <c r="AM30" i="46"/>
  <c r="AG56" i="47"/>
  <c r="AH56" i="47"/>
  <c r="AH46" i="46"/>
  <c r="AG46" i="46"/>
  <c r="AM26" i="46"/>
  <c r="AM53" i="45"/>
  <c r="AG38" i="45"/>
  <c r="AH38" i="45"/>
  <c r="AM33" i="47"/>
  <c r="AG47" i="47"/>
  <c r="AH47" i="47"/>
  <c r="AH37" i="45"/>
  <c r="AG37" i="45"/>
  <c r="AG51" i="45"/>
  <c r="AH51" i="45"/>
  <c r="AG9" i="43"/>
  <c r="AH9" i="43"/>
  <c r="AG46" i="45"/>
  <c r="AH46" i="45"/>
  <c r="AM33" i="46"/>
  <c r="AM62" i="46"/>
  <c r="AG22" i="47"/>
  <c r="AH22" i="47"/>
  <c r="AM34" i="45"/>
  <c r="AH18" i="45"/>
  <c r="AG18" i="45"/>
  <c r="AM36" i="46"/>
  <c r="AM36" i="47"/>
  <c r="AG34" i="47"/>
  <c r="AH34" i="47"/>
  <c r="AM48" i="43"/>
  <c r="AH29" i="43"/>
  <c r="AG29" i="43"/>
  <c r="AG33" i="47"/>
  <c r="AH33" i="47"/>
  <c r="AM39" i="47"/>
  <c r="AH17" i="45"/>
  <c r="AG17" i="45"/>
  <c r="AM22" i="46"/>
  <c r="AM61" i="47"/>
  <c r="AM17" i="45"/>
  <c r="AG58" i="43"/>
  <c r="AH58" i="43"/>
  <c r="AM13" i="45"/>
  <c r="AM19" i="47"/>
  <c r="AH29" i="46"/>
  <c r="AG29" i="46"/>
  <c r="AM8" i="43"/>
  <c r="AG29" i="47"/>
  <c r="AH29" i="47"/>
  <c r="AM15" i="45"/>
  <c r="AM51" i="47"/>
  <c r="AH59" i="46"/>
  <c r="AG59" i="46"/>
  <c r="AG13" i="47"/>
  <c r="AH13" i="47"/>
  <c r="AH25" i="45"/>
  <c r="AG25" i="45"/>
  <c r="AM44" i="43"/>
  <c r="AM62" i="43"/>
  <c r="AG19" i="46"/>
  <c r="AH19" i="46"/>
  <c r="AM16" i="43"/>
  <c r="AM17" i="46"/>
  <c r="AM41" i="43"/>
  <c r="O11" i="45"/>
  <c r="U11" i="45"/>
  <c r="V11" i="45" s="1"/>
  <c r="U13" i="45"/>
  <c r="R8" i="45"/>
  <c r="U8" i="45"/>
  <c r="V8" i="45" s="1"/>
  <c r="R10" i="45"/>
  <c r="U16" i="45" a="1"/>
  <c r="U16" i="45" s="1"/>
  <c r="R9" i="45"/>
  <c r="O9" i="45"/>
  <c r="O8" i="45"/>
  <c r="O12" i="45"/>
  <c r="R11" i="45"/>
  <c r="O16" i="45" a="1"/>
  <c r="O16" i="45" s="1"/>
  <c r="U10" i="45"/>
  <c r="U12" i="45"/>
  <c r="O10" i="45"/>
  <c r="U9" i="45"/>
  <c r="V9" i="45" s="1"/>
  <c r="O13" i="45"/>
  <c r="R12" i="45"/>
  <c r="R13" i="45"/>
  <c r="S13" i="45" s="1"/>
  <c r="R16" i="45" a="1"/>
  <c r="R16" i="45" s="1"/>
  <c r="AM54" i="46"/>
  <c r="AH22" i="46"/>
  <c r="AG22" i="46"/>
  <c r="AM42" i="43"/>
  <c r="AG12" i="46"/>
  <c r="AH12" i="46"/>
  <c r="AG49" i="47"/>
  <c r="AH49" i="47"/>
  <c r="AM63" i="46"/>
  <c r="AM27" i="47"/>
  <c r="AH21" i="47"/>
  <c r="AG21" i="47"/>
  <c r="AH24" i="46"/>
  <c r="AG24" i="46"/>
  <c r="AH9" i="47"/>
  <c r="AG9" i="47"/>
  <c r="AH15" i="47"/>
  <c r="AG15" i="47"/>
  <c r="AM16" i="47"/>
  <c r="AM43" i="45"/>
  <c r="AH26" i="47"/>
  <c r="AG26" i="47"/>
  <c r="AG60" i="47"/>
  <c r="AH60" i="47"/>
  <c r="AG64" i="45"/>
  <c r="AH64" i="45"/>
  <c r="AM42" i="47"/>
  <c r="AM12" i="45"/>
  <c r="AH56" i="43"/>
  <c r="AG56" i="43"/>
  <c r="AG14" i="47"/>
  <c r="AH14" i="47"/>
  <c r="AH37" i="47"/>
  <c r="AG37" i="47"/>
  <c r="AH23" i="45"/>
  <c r="AG23" i="45"/>
  <c r="AH48" i="43"/>
  <c r="AG48" i="43"/>
  <c r="AH51" i="46"/>
  <c r="AG51" i="46"/>
  <c r="AM59" i="46"/>
  <c r="U12" i="46"/>
  <c r="R13" i="46"/>
  <c r="S13" i="46" s="1"/>
  <c r="O16" i="46" a="1"/>
  <c r="O16" i="46" s="1"/>
  <c r="R9" i="46"/>
  <c r="U8" i="46"/>
  <c r="V8" i="46" s="1"/>
  <c r="O12" i="46"/>
  <c r="O11" i="46"/>
  <c r="O8" i="46"/>
  <c r="U11" i="46"/>
  <c r="V11" i="46" s="1"/>
  <c r="R8" i="46"/>
  <c r="R16" i="46" a="1"/>
  <c r="R16" i="46" s="1"/>
  <c r="R12" i="46"/>
  <c r="U13" i="46"/>
  <c r="V13" i="46" s="1"/>
  <c r="U16" i="46" a="1"/>
  <c r="U16" i="46" s="1"/>
  <c r="U10" i="46"/>
  <c r="O9" i="46"/>
  <c r="O13" i="46"/>
  <c r="R10" i="46"/>
  <c r="O10" i="46"/>
  <c r="U9" i="46"/>
  <c r="V9" i="46" s="1"/>
  <c r="R11" i="46"/>
  <c r="AM23" i="43"/>
  <c r="AG31" i="47"/>
  <c r="AH31" i="47"/>
  <c r="AM55" i="46"/>
  <c r="AM29" i="45"/>
  <c r="AH14" i="43"/>
  <c r="AG14" i="43"/>
  <c r="AM45" i="45"/>
  <c r="AM55" i="43"/>
  <c r="AH20" i="43"/>
  <c r="AG20" i="43"/>
  <c r="AG24" i="43"/>
  <c r="AH24" i="43"/>
  <c r="AH54" i="43"/>
  <c r="AG54" i="43"/>
  <c r="AM41" i="45"/>
  <c r="AG41" i="45"/>
  <c r="AH41" i="45"/>
  <c r="AH45" i="47"/>
  <c r="AG45" i="47"/>
  <c r="AA12" i="43"/>
  <c r="AA14" i="49"/>
  <c r="V10" i="49"/>
  <c r="V14" i="49"/>
  <c r="U5" i="49"/>
  <c r="R5" i="49"/>
  <c r="AA8" i="47"/>
  <c r="AA9" i="45"/>
  <c r="P13" i="49"/>
  <c r="P10" i="49"/>
  <c r="AA11" i="47"/>
  <c r="O14" i="43"/>
  <c r="P13" i="43" s="1"/>
  <c r="AA11" i="43"/>
  <c r="AA9" i="43"/>
  <c r="BG34" i="56"/>
  <c r="BF34" i="56"/>
  <c r="BI34" i="56"/>
  <c r="BH34" i="56"/>
  <c r="BC36" i="56"/>
  <c r="BD35" i="56"/>
  <c r="BG35" i="55"/>
  <c r="BH35" i="55"/>
  <c r="BI35" i="55"/>
  <c r="BF35" i="55"/>
  <c r="BC37" i="55"/>
  <c r="BD36" i="55"/>
  <c r="BF33" i="54"/>
  <c r="BG33" i="54"/>
  <c r="BI33" i="54"/>
  <c r="BH33" i="54"/>
  <c r="BC35" i="54"/>
  <c r="BD34" i="54"/>
  <c r="BG26" i="52"/>
  <c r="BH26" i="52"/>
  <c r="BF26" i="52"/>
  <c r="BI26" i="52"/>
  <c r="BC28" i="52"/>
  <c r="BD27" i="52"/>
  <c r="BG27" i="51"/>
  <c r="BI27" i="51"/>
  <c r="BH27" i="51"/>
  <c r="BF27" i="51"/>
  <c r="BC29" i="51"/>
  <c r="BD28" i="51"/>
  <c r="BH24" i="50"/>
  <c r="BG24" i="50"/>
  <c r="BI24" i="50"/>
  <c r="BF24" i="50"/>
  <c r="BD25" i="50"/>
  <c r="BC26" i="50"/>
  <c r="BC29" i="49"/>
  <c r="BD28" i="49"/>
  <c r="BF27" i="49"/>
  <c r="BI27" i="49"/>
  <c r="BH27" i="49"/>
  <c r="BG27" i="49"/>
  <c r="BD23" i="43"/>
  <c r="BC24" i="43"/>
  <c r="BI22" i="43"/>
  <c r="BF22" i="43"/>
  <c r="BG22" i="43"/>
  <c r="BH22" i="43"/>
  <c r="BD23" i="40"/>
  <c r="BC24" i="40"/>
  <c r="BI22" i="40"/>
  <c r="BF22" i="40"/>
  <c r="BH22" i="40"/>
  <c r="BG22" i="40"/>
  <c r="BD22" i="34"/>
  <c r="BC23" i="34"/>
  <c r="BI21" i="34"/>
  <c r="BH21" i="34"/>
  <c r="BF21" i="34"/>
  <c r="BG21" i="34"/>
  <c r="BD23" i="45"/>
  <c r="BC24" i="45"/>
  <c r="BI22" i="45"/>
  <c r="BF22" i="45"/>
  <c r="BH22" i="45"/>
  <c r="BG22" i="45"/>
  <c r="BD23" i="46"/>
  <c r="BC24" i="46"/>
  <c r="BI22" i="46"/>
  <c r="BF22" i="46"/>
  <c r="BG22" i="46"/>
  <c r="BH22" i="46"/>
  <c r="BG21" i="47"/>
  <c r="BH21" i="47"/>
  <c r="BF21" i="47"/>
  <c r="BI21" i="47"/>
  <c r="BC23" i="47"/>
  <c r="BD23" i="47" s="1"/>
  <c r="AA8" i="45" l="1"/>
  <c r="AA10" i="46"/>
  <c r="AA10" i="43"/>
  <c r="U14" i="47"/>
  <c r="V10" i="47" s="1"/>
  <c r="AA8" i="43"/>
  <c r="AA13" i="43"/>
  <c r="AA9" i="47"/>
  <c r="AA12" i="45"/>
  <c r="AA12" i="46"/>
  <c r="AA13" i="45"/>
  <c r="R14" i="45"/>
  <c r="S10" i="45" s="1"/>
  <c r="R14" i="46"/>
  <c r="S12" i="46" s="1"/>
  <c r="AA9" i="46"/>
  <c r="AA13" i="47"/>
  <c r="O14" i="47"/>
  <c r="P13" i="47" s="1"/>
  <c r="R14" i="43"/>
  <c r="R5" i="43" s="1"/>
  <c r="U14" i="43"/>
  <c r="V12" i="43" s="1"/>
  <c r="AA11" i="46"/>
  <c r="AA11" i="45"/>
  <c r="R14" i="47"/>
  <c r="R5" i="47" s="1"/>
  <c r="O14" i="46"/>
  <c r="P8" i="46" s="1"/>
  <c r="AA10" i="45"/>
  <c r="U14" i="46"/>
  <c r="V12" i="46" s="1"/>
  <c r="AA8" i="46"/>
  <c r="AA10" i="47"/>
  <c r="U14" i="45"/>
  <c r="V10" i="45" s="1"/>
  <c r="O14" i="45"/>
  <c r="O5" i="45" s="1"/>
  <c r="AA13" i="46"/>
  <c r="P12" i="43"/>
  <c r="O5" i="43"/>
  <c r="S10" i="43"/>
  <c r="P10" i="43"/>
  <c r="P9" i="43"/>
  <c r="V10" i="43"/>
  <c r="S8" i="45"/>
  <c r="S9" i="45"/>
  <c r="V12" i="45"/>
  <c r="P11" i="47"/>
  <c r="P11" i="43"/>
  <c r="P8" i="43"/>
  <c r="R5" i="46"/>
  <c r="P14" i="43"/>
  <c r="V14" i="47"/>
  <c r="U5" i="47"/>
  <c r="V14" i="45"/>
  <c r="BH35" i="56"/>
  <c r="BG35" i="56"/>
  <c r="BF35" i="56"/>
  <c r="BI35" i="56"/>
  <c r="BD36" i="56"/>
  <c r="BC37" i="56"/>
  <c r="BH36" i="55"/>
  <c r="BF36" i="55"/>
  <c r="BI36" i="55"/>
  <c r="BG36" i="55"/>
  <c r="BC38" i="55"/>
  <c r="BD37" i="55"/>
  <c r="BG34" i="54"/>
  <c r="BI34" i="54"/>
  <c r="BF34" i="54"/>
  <c r="BH34" i="54"/>
  <c r="BD35" i="54"/>
  <c r="BC36" i="54"/>
  <c r="BH27" i="52"/>
  <c r="BI27" i="52"/>
  <c r="BG27" i="52"/>
  <c r="BF27" i="52"/>
  <c r="BD28" i="52"/>
  <c r="BC29" i="52"/>
  <c r="BH28" i="51"/>
  <c r="BF28" i="51"/>
  <c r="BI28" i="51"/>
  <c r="BG28" i="51"/>
  <c r="BC30" i="51"/>
  <c r="BD29" i="51"/>
  <c r="BD26" i="50"/>
  <c r="BC27" i="50"/>
  <c r="BI25" i="50"/>
  <c r="BG25" i="50"/>
  <c r="BH25" i="50"/>
  <c r="BF25" i="50"/>
  <c r="BG28" i="49"/>
  <c r="BF28" i="49"/>
  <c r="BH28" i="49"/>
  <c r="BI28" i="49"/>
  <c r="BC30" i="49"/>
  <c r="BD29" i="49"/>
  <c r="BD24" i="43"/>
  <c r="BC25" i="43"/>
  <c r="BG23" i="43"/>
  <c r="BF23" i="43"/>
  <c r="BH23" i="43"/>
  <c r="BI23" i="43"/>
  <c r="BD24" i="40"/>
  <c r="BC25" i="40"/>
  <c r="BG23" i="40"/>
  <c r="BF23" i="40"/>
  <c r="BI23" i="40"/>
  <c r="BH23" i="40"/>
  <c r="BD23" i="34"/>
  <c r="BC24" i="34"/>
  <c r="BG22" i="34"/>
  <c r="BI22" i="34"/>
  <c r="BF22" i="34"/>
  <c r="BH22" i="34"/>
  <c r="BD24" i="45"/>
  <c r="BC25" i="45"/>
  <c r="BG23" i="45"/>
  <c r="BF23" i="45"/>
  <c r="BI23" i="45"/>
  <c r="BH23" i="45"/>
  <c r="BC25" i="46"/>
  <c r="BD24" i="46"/>
  <c r="BG23" i="46"/>
  <c r="BF23" i="46"/>
  <c r="BH23" i="46"/>
  <c r="BI23" i="46"/>
  <c r="BC24" i="47"/>
  <c r="BD24" i="47" s="1"/>
  <c r="BH22" i="47"/>
  <c r="BI22" i="47"/>
  <c r="BG22" i="47"/>
  <c r="BF22" i="47"/>
  <c r="V14" i="46" l="1"/>
  <c r="S9" i="46"/>
  <c r="S12" i="43"/>
  <c r="S8" i="46"/>
  <c r="S14" i="46"/>
  <c r="P13" i="46"/>
  <c r="S11" i="46"/>
  <c r="S8" i="43"/>
  <c r="AA14" i="47"/>
  <c r="V13" i="45"/>
  <c r="U5" i="45"/>
  <c r="AA14" i="43"/>
  <c r="S14" i="43"/>
  <c r="V13" i="47"/>
  <c r="P10" i="46"/>
  <c r="V14" i="43"/>
  <c r="P9" i="46"/>
  <c r="U5" i="43"/>
  <c r="AA14" i="46"/>
  <c r="V12" i="47"/>
  <c r="P11" i="46"/>
  <c r="V13" i="43"/>
  <c r="P14" i="46"/>
  <c r="S9" i="43"/>
  <c r="S10" i="46"/>
  <c r="O5" i="46"/>
  <c r="S11" i="43"/>
  <c r="P12" i="46"/>
  <c r="S8" i="47"/>
  <c r="AA14" i="45"/>
  <c r="P9" i="45"/>
  <c r="U5" i="46"/>
  <c r="O5" i="47"/>
  <c r="P14" i="47"/>
  <c r="S11" i="45"/>
  <c r="S14" i="45"/>
  <c r="P12" i="45"/>
  <c r="P12" i="47"/>
  <c r="P10" i="47"/>
  <c r="P13" i="45"/>
  <c r="R5" i="45"/>
  <c r="S12" i="45"/>
  <c r="V10" i="46"/>
  <c r="P8" i="47"/>
  <c r="P9" i="47"/>
  <c r="S10" i="47"/>
  <c r="S9" i="47"/>
  <c r="S11" i="47"/>
  <c r="S12" i="47"/>
  <c r="S14" i="47"/>
  <c r="P8" i="45"/>
  <c r="P10" i="45"/>
  <c r="P11" i="45"/>
  <c r="P14" i="45"/>
  <c r="BC38" i="56"/>
  <c r="BD37" i="56"/>
  <c r="BI36" i="56"/>
  <c r="BF36" i="56"/>
  <c r="BH36" i="56"/>
  <c r="BG36" i="56"/>
  <c r="BG37" i="55"/>
  <c r="BI37" i="55"/>
  <c r="BH37" i="55"/>
  <c r="BF37" i="55"/>
  <c r="BC39" i="55"/>
  <c r="BD38" i="55"/>
  <c r="BC37" i="54"/>
  <c r="BD36" i="54"/>
  <c r="BH35" i="54"/>
  <c r="BG35" i="54"/>
  <c r="BF35" i="54"/>
  <c r="BI35" i="54"/>
  <c r="BC30" i="52"/>
  <c r="BD29" i="52"/>
  <c r="BI28" i="52"/>
  <c r="BF28" i="52"/>
  <c r="BH28" i="52"/>
  <c r="BG28" i="52"/>
  <c r="BH29" i="51"/>
  <c r="BI29" i="51"/>
  <c r="BF29" i="51"/>
  <c r="BG29" i="51"/>
  <c r="BD30" i="51"/>
  <c r="BC31" i="51"/>
  <c r="BC28" i="50"/>
  <c r="BD27" i="50"/>
  <c r="BF26" i="50"/>
  <c r="BH26" i="50"/>
  <c r="BI26" i="50"/>
  <c r="BG26" i="50"/>
  <c r="BH29" i="49"/>
  <c r="BG29" i="49"/>
  <c r="BI29" i="49"/>
  <c r="BF29" i="49"/>
  <c r="BD30" i="49"/>
  <c r="BC31" i="49"/>
  <c r="BD25" i="43"/>
  <c r="BC26" i="43"/>
  <c r="BI24" i="43"/>
  <c r="BG24" i="43"/>
  <c r="BF24" i="43"/>
  <c r="BH24" i="43"/>
  <c r="BD25" i="40"/>
  <c r="BC26" i="40"/>
  <c r="BI24" i="40"/>
  <c r="BG24" i="40"/>
  <c r="BF24" i="40"/>
  <c r="BH24" i="40"/>
  <c r="BD24" i="34"/>
  <c r="BC25" i="34"/>
  <c r="BI23" i="34"/>
  <c r="BF23" i="34"/>
  <c r="BH23" i="34"/>
  <c r="BG23" i="34"/>
  <c r="BD25" i="45"/>
  <c r="BC26" i="45"/>
  <c r="BI24" i="45"/>
  <c r="BG24" i="45"/>
  <c r="BF24" i="45"/>
  <c r="BH24" i="45"/>
  <c r="BI24" i="46"/>
  <c r="BG24" i="46"/>
  <c r="BH24" i="46"/>
  <c r="BF24" i="46"/>
  <c r="BD25" i="46"/>
  <c r="BC26" i="46"/>
  <c r="BC25" i="47"/>
  <c r="BD25" i="47" s="1"/>
  <c r="BI23" i="47"/>
  <c r="BF23" i="47"/>
  <c r="BG23" i="47"/>
  <c r="BH23" i="47"/>
  <c r="BF37" i="56" l="1"/>
  <c r="BH37" i="56"/>
  <c r="BG37" i="56"/>
  <c r="BI37" i="56"/>
  <c r="BC39" i="56"/>
  <c r="BD38" i="56"/>
  <c r="BH38" i="55"/>
  <c r="BF38" i="55"/>
  <c r="BG38" i="55"/>
  <c r="BI38" i="55"/>
  <c r="BD39" i="55"/>
  <c r="BC40" i="55"/>
  <c r="BG36" i="54"/>
  <c r="BI36" i="54"/>
  <c r="BH36" i="54"/>
  <c r="BF36" i="54"/>
  <c r="BC38" i="54"/>
  <c r="BD37" i="54"/>
  <c r="BF29" i="52"/>
  <c r="BH29" i="52"/>
  <c r="BG29" i="52"/>
  <c r="BI29" i="52"/>
  <c r="BC31" i="52"/>
  <c r="BD30" i="52"/>
  <c r="BI30" i="51"/>
  <c r="BF30" i="51"/>
  <c r="BH30" i="51"/>
  <c r="BG30" i="51"/>
  <c r="BD31" i="51"/>
  <c r="BC32" i="51"/>
  <c r="BG27" i="50"/>
  <c r="BF27" i="50"/>
  <c r="BI27" i="50"/>
  <c r="BH27" i="50"/>
  <c r="BC29" i="50"/>
  <c r="BD28" i="50"/>
  <c r="BD31" i="49"/>
  <c r="BC32" i="49"/>
  <c r="BI30" i="49"/>
  <c r="BH30" i="49"/>
  <c r="BF30" i="49"/>
  <c r="BG30" i="49"/>
  <c r="BC27" i="43"/>
  <c r="BD26" i="43"/>
  <c r="BG25" i="43"/>
  <c r="BH25" i="43"/>
  <c r="BI25" i="43"/>
  <c r="BF25" i="43"/>
  <c r="BD26" i="40"/>
  <c r="BC27" i="40"/>
  <c r="BG25" i="40"/>
  <c r="BF25" i="40"/>
  <c r="BH25" i="40"/>
  <c r="BI25" i="40"/>
  <c r="BD25" i="34"/>
  <c r="BC26" i="34"/>
  <c r="BG24" i="34"/>
  <c r="BF24" i="34"/>
  <c r="BH24" i="34"/>
  <c r="BI24" i="34"/>
  <c r="BD26" i="45"/>
  <c r="BC27" i="45"/>
  <c r="BG25" i="45"/>
  <c r="BH25" i="45"/>
  <c r="BF25" i="45"/>
  <c r="BI25" i="45"/>
  <c r="BC27" i="46"/>
  <c r="BD26" i="46"/>
  <c r="BH25" i="46"/>
  <c r="BG25" i="46"/>
  <c r="BI25" i="46"/>
  <c r="BF25" i="46"/>
  <c r="BF24" i="47"/>
  <c r="BG24" i="47"/>
  <c r="BI24" i="47"/>
  <c r="BH24" i="47"/>
  <c r="BC26" i="47"/>
  <c r="BD26" i="47" s="1"/>
  <c r="BG38" i="56" l="1"/>
  <c r="BI38" i="56"/>
  <c r="BH38" i="56"/>
  <c r="BF38" i="56"/>
  <c r="BD39" i="56"/>
  <c r="BC40" i="56"/>
  <c r="BC41" i="55"/>
  <c r="BD40" i="55"/>
  <c r="BI39" i="55"/>
  <c r="BG39" i="55"/>
  <c r="BH39" i="55"/>
  <c r="BF39" i="55"/>
  <c r="BH37" i="54"/>
  <c r="BF37" i="54"/>
  <c r="BG37" i="54"/>
  <c r="BI37" i="54"/>
  <c r="BD38" i="54"/>
  <c r="BC39" i="54"/>
  <c r="BF30" i="52"/>
  <c r="BG30" i="52"/>
  <c r="BI30" i="52"/>
  <c r="BH30" i="52"/>
  <c r="BC32" i="52"/>
  <c r="BD31" i="52"/>
  <c r="BF31" i="51"/>
  <c r="BH31" i="51"/>
  <c r="BI31" i="51"/>
  <c r="BG31" i="51"/>
  <c r="BC33" i="51"/>
  <c r="BD32" i="51"/>
  <c r="BH28" i="50"/>
  <c r="BG28" i="50"/>
  <c r="BF28" i="50"/>
  <c r="BI28" i="50"/>
  <c r="BD29" i="50"/>
  <c r="BC30" i="50"/>
  <c r="BC33" i="49"/>
  <c r="BD32" i="49"/>
  <c r="BF31" i="49"/>
  <c r="BI31" i="49"/>
  <c r="BH31" i="49"/>
  <c r="BG31" i="49"/>
  <c r="BI26" i="43"/>
  <c r="BH26" i="43"/>
  <c r="BF26" i="43"/>
  <c r="BG26" i="43"/>
  <c r="BD27" i="43"/>
  <c r="BC28" i="43"/>
  <c r="BC28" i="40"/>
  <c r="BD27" i="40"/>
  <c r="BI26" i="40"/>
  <c r="BH26" i="40"/>
  <c r="BG26" i="40"/>
  <c r="BF26" i="40"/>
  <c r="BC27" i="34"/>
  <c r="BD26" i="34"/>
  <c r="BI25" i="34"/>
  <c r="BG25" i="34"/>
  <c r="BH25" i="34"/>
  <c r="BF25" i="34"/>
  <c r="BC28" i="45"/>
  <c r="BD27" i="45"/>
  <c r="BI26" i="45"/>
  <c r="BH26" i="45"/>
  <c r="BG26" i="45"/>
  <c r="BF26" i="45"/>
  <c r="BF26" i="46"/>
  <c r="BI26" i="46"/>
  <c r="BH26" i="46"/>
  <c r="BG26" i="46"/>
  <c r="BD27" i="46"/>
  <c r="BC28" i="46"/>
  <c r="BG25" i="47"/>
  <c r="BH25" i="47"/>
  <c r="BF25" i="47"/>
  <c r="BI25" i="47"/>
  <c r="BC27" i="47"/>
  <c r="BD27" i="47" s="1"/>
  <c r="BD40" i="56" l="1"/>
  <c r="BC41" i="56"/>
  <c r="BH39" i="56"/>
  <c r="BF39" i="56"/>
  <c r="BI39" i="56"/>
  <c r="BG39" i="56"/>
  <c r="BF40" i="55"/>
  <c r="BH40" i="55"/>
  <c r="BG40" i="55"/>
  <c r="BI40" i="55"/>
  <c r="BC42" i="55"/>
  <c r="BD41" i="55"/>
  <c r="BC40" i="54"/>
  <c r="BD39" i="54"/>
  <c r="BI38" i="54"/>
  <c r="BG38" i="54"/>
  <c r="BH38" i="54"/>
  <c r="BF38" i="54"/>
  <c r="BG31" i="52"/>
  <c r="BH31" i="52"/>
  <c r="BF31" i="52"/>
  <c r="BI31" i="52"/>
  <c r="BD32" i="52"/>
  <c r="BC33" i="52"/>
  <c r="BC34" i="51"/>
  <c r="BD33" i="51"/>
  <c r="BG32" i="51"/>
  <c r="BH32" i="51"/>
  <c r="BI32" i="51"/>
  <c r="BF32" i="51"/>
  <c r="BD30" i="50"/>
  <c r="BC31" i="50"/>
  <c r="BI29" i="50"/>
  <c r="BH29" i="50"/>
  <c r="BG29" i="50"/>
  <c r="BF29" i="50"/>
  <c r="BG32" i="49"/>
  <c r="BF32" i="49"/>
  <c r="BH32" i="49"/>
  <c r="BI32" i="49"/>
  <c r="BC34" i="49"/>
  <c r="BD33" i="49"/>
  <c r="BC29" i="43"/>
  <c r="BD28" i="43"/>
  <c r="BH27" i="43"/>
  <c r="BG27" i="43"/>
  <c r="BI27" i="43"/>
  <c r="BF27" i="43"/>
  <c r="BG27" i="40"/>
  <c r="BF27" i="40"/>
  <c r="BI27" i="40"/>
  <c r="BH27" i="40"/>
  <c r="BD28" i="40"/>
  <c r="BC29" i="40"/>
  <c r="BD27" i="34"/>
  <c r="BC28" i="34"/>
  <c r="BG26" i="34"/>
  <c r="BH26" i="34"/>
  <c r="BF26" i="34"/>
  <c r="BI26" i="34"/>
  <c r="BG27" i="45"/>
  <c r="BI27" i="45"/>
  <c r="BH27" i="45"/>
  <c r="BF27" i="45"/>
  <c r="BD28" i="45"/>
  <c r="BC29" i="45"/>
  <c r="BC29" i="46"/>
  <c r="BD28" i="46"/>
  <c r="BH27" i="46"/>
  <c r="BG27" i="46"/>
  <c r="BF27" i="46"/>
  <c r="BI27" i="46"/>
  <c r="BC28" i="47"/>
  <c r="BD28" i="47" s="1"/>
  <c r="BH26" i="47"/>
  <c r="BI26" i="47"/>
  <c r="BG26" i="47"/>
  <c r="BF26" i="47"/>
  <c r="BD41" i="56" l="1"/>
  <c r="BC42" i="56"/>
  <c r="BI40" i="56"/>
  <c r="BH40" i="56"/>
  <c r="BG40" i="56"/>
  <c r="BF40" i="56"/>
  <c r="BG41" i="55"/>
  <c r="BI41" i="55"/>
  <c r="BH41" i="55"/>
  <c r="BF41" i="55"/>
  <c r="BC43" i="55"/>
  <c r="BD42" i="55"/>
  <c r="BF39" i="54"/>
  <c r="BH39" i="54"/>
  <c r="BG39" i="54"/>
  <c r="BI39" i="54"/>
  <c r="BC41" i="54"/>
  <c r="BD40" i="54"/>
  <c r="BD33" i="52"/>
  <c r="BC34" i="52"/>
  <c r="BH32" i="52"/>
  <c r="BI32" i="52"/>
  <c r="BG32" i="52"/>
  <c r="BF32" i="52"/>
  <c r="BD34" i="51"/>
  <c r="BC35" i="51"/>
  <c r="BH33" i="51"/>
  <c r="BF33" i="51"/>
  <c r="BI33" i="51"/>
  <c r="BG33" i="51"/>
  <c r="BC32" i="50"/>
  <c r="BD31" i="50"/>
  <c r="BF30" i="50"/>
  <c r="BI30" i="50"/>
  <c r="BG30" i="50"/>
  <c r="BH30" i="50"/>
  <c r="BH33" i="49"/>
  <c r="BG33" i="49"/>
  <c r="BI33" i="49"/>
  <c r="BF33" i="49"/>
  <c r="BD34" i="49"/>
  <c r="BC35" i="49"/>
  <c r="BF28" i="43"/>
  <c r="BI28" i="43"/>
  <c r="BH28" i="43"/>
  <c r="BG28" i="43"/>
  <c r="BC30" i="43"/>
  <c r="BD29" i="43"/>
  <c r="BC30" i="40"/>
  <c r="BD29" i="40"/>
  <c r="BI28" i="40"/>
  <c r="BF28" i="40"/>
  <c r="BH28" i="40"/>
  <c r="BG28" i="40"/>
  <c r="BI27" i="34"/>
  <c r="BH27" i="34"/>
  <c r="BG27" i="34"/>
  <c r="BF27" i="34"/>
  <c r="BC29" i="34"/>
  <c r="BD28" i="34"/>
  <c r="BD29" i="45"/>
  <c r="BC30" i="45"/>
  <c r="BI28" i="45"/>
  <c r="BH28" i="45"/>
  <c r="BG28" i="45"/>
  <c r="BF28" i="45"/>
  <c r="BF28" i="46"/>
  <c r="BI28" i="46"/>
  <c r="BH28" i="46"/>
  <c r="BG28" i="46"/>
  <c r="BD29" i="46"/>
  <c r="BC30" i="46"/>
  <c r="BC29" i="47"/>
  <c r="BD29" i="47" s="1"/>
  <c r="BI27" i="47"/>
  <c r="BF27" i="47"/>
  <c r="BG27" i="47"/>
  <c r="BH27" i="47"/>
  <c r="BC43" i="56" l="1"/>
  <c r="BD42" i="56"/>
  <c r="BF41" i="56"/>
  <c r="BI41" i="56"/>
  <c r="BH41" i="56"/>
  <c r="BG41" i="56"/>
  <c r="BH42" i="55"/>
  <c r="BF42" i="55"/>
  <c r="BG42" i="55"/>
  <c r="BI42" i="55"/>
  <c r="BD43" i="55"/>
  <c r="BC44" i="55"/>
  <c r="BG40" i="54"/>
  <c r="BI40" i="54"/>
  <c r="BH40" i="54"/>
  <c r="BF40" i="54"/>
  <c r="BC42" i="54"/>
  <c r="BD41" i="54"/>
  <c r="BI33" i="52"/>
  <c r="BF33" i="52"/>
  <c r="BG33" i="52"/>
  <c r="BH33" i="52"/>
  <c r="BC35" i="52"/>
  <c r="BD34" i="52"/>
  <c r="BI34" i="51"/>
  <c r="BH34" i="51"/>
  <c r="BF34" i="51"/>
  <c r="BG34" i="51"/>
  <c r="BD35" i="51"/>
  <c r="BC36" i="51"/>
  <c r="BG31" i="50"/>
  <c r="BI31" i="50"/>
  <c r="BF31" i="50"/>
  <c r="BH31" i="50"/>
  <c r="BC33" i="50"/>
  <c r="BD32" i="50"/>
  <c r="BD35" i="49"/>
  <c r="BC36" i="49"/>
  <c r="BI34" i="49"/>
  <c r="BH34" i="49"/>
  <c r="BF34" i="49"/>
  <c r="BG34" i="49"/>
  <c r="BH29" i="43"/>
  <c r="BG29" i="43"/>
  <c r="BF29" i="43"/>
  <c r="BI29" i="43"/>
  <c r="BD30" i="43"/>
  <c r="BC31" i="43"/>
  <c r="BG29" i="40"/>
  <c r="BI29" i="40"/>
  <c r="BH29" i="40"/>
  <c r="BF29" i="40"/>
  <c r="BD30" i="40"/>
  <c r="BC31" i="40"/>
  <c r="BC30" i="34"/>
  <c r="BD29" i="34"/>
  <c r="BG28" i="34"/>
  <c r="BI28" i="34"/>
  <c r="BH28" i="34"/>
  <c r="BF28" i="34"/>
  <c r="BC31" i="45"/>
  <c r="BD30" i="45"/>
  <c r="BG29" i="45"/>
  <c r="BI29" i="45"/>
  <c r="BF29" i="45"/>
  <c r="BH29" i="45"/>
  <c r="BD30" i="46"/>
  <c r="BC31" i="46"/>
  <c r="BH29" i="46"/>
  <c r="BG29" i="46"/>
  <c r="BF29" i="46"/>
  <c r="BI29" i="46"/>
  <c r="BF28" i="47"/>
  <c r="BG28" i="47"/>
  <c r="BI28" i="47"/>
  <c r="BH28" i="47"/>
  <c r="BC30" i="47"/>
  <c r="BD30" i="47" s="1"/>
  <c r="BG42" i="56" l="1"/>
  <c r="BH42" i="56"/>
  <c r="BF42" i="56"/>
  <c r="BI42" i="56"/>
  <c r="BC44" i="56"/>
  <c r="BD43" i="56"/>
  <c r="BC45" i="55"/>
  <c r="BD44" i="55"/>
  <c r="BI43" i="55"/>
  <c r="BG43" i="55"/>
  <c r="BH43" i="55"/>
  <c r="BF43" i="55"/>
  <c r="BH41" i="54"/>
  <c r="BF41" i="54"/>
  <c r="BG41" i="54"/>
  <c r="BI41" i="54"/>
  <c r="BD42" i="54"/>
  <c r="BC43" i="54"/>
  <c r="BC36" i="52"/>
  <c r="BD35" i="52"/>
  <c r="BF34" i="52"/>
  <c r="BG34" i="52"/>
  <c r="BI34" i="52"/>
  <c r="BH34" i="52"/>
  <c r="BF35" i="51"/>
  <c r="BH35" i="51"/>
  <c r="BI35" i="51"/>
  <c r="BG35" i="51"/>
  <c r="BC37" i="51"/>
  <c r="BD36" i="51"/>
  <c r="BH32" i="50"/>
  <c r="BG32" i="50"/>
  <c r="BF32" i="50"/>
  <c r="BI32" i="50"/>
  <c r="BD33" i="50"/>
  <c r="BC34" i="50"/>
  <c r="BF35" i="49"/>
  <c r="BI35" i="49"/>
  <c r="BH35" i="49"/>
  <c r="BG35" i="49"/>
  <c r="BC37" i="49"/>
  <c r="BD36" i="49"/>
  <c r="BD31" i="43"/>
  <c r="BC32" i="43"/>
  <c r="BG30" i="43"/>
  <c r="BH30" i="43"/>
  <c r="BF30" i="43"/>
  <c r="BI30" i="43"/>
  <c r="BD31" i="40"/>
  <c r="BC32" i="40"/>
  <c r="BG30" i="40"/>
  <c r="BF30" i="40"/>
  <c r="BI30" i="40"/>
  <c r="BH30" i="40"/>
  <c r="BI29" i="34"/>
  <c r="BH29" i="34"/>
  <c r="BG29" i="34"/>
  <c r="BF29" i="34"/>
  <c r="BC31" i="34"/>
  <c r="BD30" i="34"/>
  <c r="BG30" i="45"/>
  <c r="BF30" i="45"/>
  <c r="BH30" i="45"/>
  <c r="BI30" i="45"/>
  <c r="BD31" i="45"/>
  <c r="BC32" i="45"/>
  <c r="BD31" i="46"/>
  <c r="BC32" i="46"/>
  <c r="BG30" i="46"/>
  <c r="BH30" i="46"/>
  <c r="BF30" i="46"/>
  <c r="BI30" i="46"/>
  <c r="BG29" i="47"/>
  <c r="BH29" i="47"/>
  <c r="BF29" i="47"/>
  <c r="BI29" i="47"/>
  <c r="BC31" i="47"/>
  <c r="BD31" i="47" s="1"/>
  <c r="BH43" i="56" l="1"/>
  <c r="BI43" i="56"/>
  <c r="BG43" i="56"/>
  <c r="BF43" i="56"/>
  <c r="BD44" i="56"/>
  <c r="BC45" i="56"/>
  <c r="BF44" i="55"/>
  <c r="BH44" i="55"/>
  <c r="BG44" i="55"/>
  <c r="BI44" i="55"/>
  <c r="BC46" i="55"/>
  <c r="BD45" i="55"/>
  <c r="BC44" i="54"/>
  <c r="BD43" i="54"/>
  <c r="BI42" i="54"/>
  <c r="BG42" i="54"/>
  <c r="BH42" i="54"/>
  <c r="BF42" i="54"/>
  <c r="BG35" i="52"/>
  <c r="BH35" i="52"/>
  <c r="BF35" i="52"/>
  <c r="BI35" i="52"/>
  <c r="BC37" i="52"/>
  <c r="BD36" i="52"/>
  <c r="BC38" i="51"/>
  <c r="BD37" i="51"/>
  <c r="BG36" i="51"/>
  <c r="BH36" i="51"/>
  <c r="BI36" i="51"/>
  <c r="BF36" i="51"/>
  <c r="BD34" i="50"/>
  <c r="BC35" i="50"/>
  <c r="BI33" i="50"/>
  <c r="BH33" i="50"/>
  <c r="BG33" i="50"/>
  <c r="BF33" i="50"/>
  <c r="BH36" i="49"/>
  <c r="BG36" i="49"/>
  <c r="BF36" i="49"/>
  <c r="BI36" i="49"/>
  <c r="BD37" i="49"/>
  <c r="BC38" i="49"/>
  <c r="BC33" i="43"/>
  <c r="BD32" i="43"/>
  <c r="BI31" i="43"/>
  <c r="BH31" i="43"/>
  <c r="BG31" i="43"/>
  <c r="BF31" i="43"/>
  <c r="BC33" i="40"/>
  <c r="BD32" i="40"/>
  <c r="BI31" i="40"/>
  <c r="BG31" i="40"/>
  <c r="BF31" i="40"/>
  <c r="BH31" i="40"/>
  <c r="BG30" i="34"/>
  <c r="BI30" i="34"/>
  <c r="BF30" i="34"/>
  <c r="BH30" i="34"/>
  <c r="BD31" i="34"/>
  <c r="BC32" i="34"/>
  <c r="BC33" i="45"/>
  <c r="BD32" i="45"/>
  <c r="BI31" i="45"/>
  <c r="BG31" i="45"/>
  <c r="BH31" i="45"/>
  <c r="BF31" i="45"/>
  <c r="BC33" i="46"/>
  <c r="BD32" i="46"/>
  <c r="BI31" i="46"/>
  <c r="BH31" i="46"/>
  <c r="BG31" i="46"/>
  <c r="BF31" i="46"/>
  <c r="BC32" i="47"/>
  <c r="BD32" i="47" s="1"/>
  <c r="BH30" i="47"/>
  <c r="BI30" i="47"/>
  <c r="BG30" i="47"/>
  <c r="BF30" i="47"/>
  <c r="BD45" i="56" l="1"/>
  <c r="BC46" i="56"/>
  <c r="BI44" i="56"/>
  <c r="BF44" i="56"/>
  <c r="BH44" i="56"/>
  <c r="BG44" i="56"/>
  <c r="BG45" i="55"/>
  <c r="BF45" i="55"/>
  <c r="BI45" i="55"/>
  <c r="BH45" i="55"/>
  <c r="BD46" i="55"/>
  <c r="BC47" i="55"/>
  <c r="BF43" i="54"/>
  <c r="BH43" i="54"/>
  <c r="BG43" i="54"/>
  <c r="BI43" i="54"/>
  <c r="BD44" i="54"/>
  <c r="BC45" i="54"/>
  <c r="BC38" i="52"/>
  <c r="BD37" i="52"/>
  <c r="BF36" i="52"/>
  <c r="BG36" i="52"/>
  <c r="BH36" i="52"/>
  <c r="BI36" i="52"/>
  <c r="BC39" i="51"/>
  <c r="BD38" i="51"/>
  <c r="BH37" i="51"/>
  <c r="BI37" i="51"/>
  <c r="BF37" i="51"/>
  <c r="BG37" i="51"/>
  <c r="BC36" i="50"/>
  <c r="BD35" i="50"/>
  <c r="BF34" i="50"/>
  <c r="BI34" i="50"/>
  <c r="BH34" i="50"/>
  <c r="BG34" i="50"/>
  <c r="BC39" i="49"/>
  <c r="BD38" i="49"/>
  <c r="BI37" i="49"/>
  <c r="BH37" i="49"/>
  <c r="BG37" i="49"/>
  <c r="BF37" i="49"/>
  <c r="BG32" i="43"/>
  <c r="BI32" i="43"/>
  <c r="BH32" i="43"/>
  <c r="BF32" i="43"/>
  <c r="BD33" i="43"/>
  <c r="BC34" i="43"/>
  <c r="BG32" i="40"/>
  <c r="BH32" i="40"/>
  <c r="BF32" i="40"/>
  <c r="BI32" i="40"/>
  <c r="BD33" i="40"/>
  <c r="BC34" i="40"/>
  <c r="BD32" i="34"/>
  <c r="BC33" i="34"/>
  <c r="BI31" i="34"/>
  <c r="BH31" i="34"/>
  <c r="BF31" i="34"/>
  <c r="BG31" i="34"/>
  <c r="BG32" i="45"/>
  <c r="BH32" i="45"/>
  <c r="BI32" i="45"/>
  <c r="BF32" i="45"/>
  <c r="BD33" i="45"/>
  <c r="BC34" i="45"/>
  <c r="BG32" i="46"/>
  <c r="BI32" i="46"/>
  <c r="BH32" i="46"/>
  <c r="BF32" i="46"/>
  <c r="BD33" i="46"/>
  <c r="BC34" i="46"/>
  <c r="BI31" i="47"/>
  <c r="BF31" i="47"/>
  <c r="BG31" i="47"/>
  <c r="BH31" i="47"/>
  <c r="BC33" i="47"/>
  <c r="BD33" i="47" s="1"/>
  <c r="BC47" i="56" l="1"/>
  <c r="BD46" i="56"/>
  <c r="BF45" i="56"/>
  <c r="BI45" i="56"/>
  <c r="BH45" i="56"/>
  <c r="BG45" i="56"/>
  <c r="BD47" i="55"/>
  <c r="BC48" i="55"/>
  <c r="BI46" i="55"/>
  <c r="BH46" i="55"/>
  <c r="BG46" i="55"/>
  <c r="BF46" i="55"/>
  <c r="BC46" i="54"/>
  <c r="BD45" i="54"/>
  <c r="BG44" i="54"/>
  <c r="BI44" i="54"/>
  <c r="BH44" i="54"/>
  <c r="BF44" i="54"/>
  <c r="BG37" i="52"/>
  <c r="BI37" i="52"/>
  <c r="BF37" i="52"/>
  <c r="BH37" i="52"/>
  <c r="BD38" i="52"/>
  <c r="BC39" i="52"/>
  <c r="BC40" i="51"/>
  <c r="BD39" i="51"/>
  <c r="BI38" i="51"/>
  <c r="BF38" i="51"/>
  <c r="BH38" i="51"/>
  <c r="BG38" i="51"/>
  <c r="BG35" i="50"/>
  <c r="BI35" i="50"/>
  <c r="BF35" i="50"/>
  <c r="BH35" i="50"/>
  <c r="BC37" i="50"/>
  <c r="BD36" i="50"/>
  <c r="BF38" i="49"/>
  <c r="BG38" i="49"/>
  <c r="BI38" i="49"/>
  <c r="BH38" i="49"/>
  <c r="BC40" i="49"/>
  <c r="BD39" i="49"/>
  <c r="BD34" i="43"/>
  <c r="BC35" i="43"/>
  <c r="BI33" i="43"/>
  <c r="BH33" i="43"/>
  <c r="BG33" i="43"/>
  <c r="BF33" i="43"/>
  <c r="BC35" i="40"/>
  <c r="BD34" i="40"/>
  <c r="BI33" i="40"/>
  <c r="BH33" i="40"/>
  <c r="BG33" i="40"/>
  <c r="BF33" i="40"/>
  <c r="BD33" i="34"/>
  <c r="BC34" i="34"/>
  <c r="BG32" i="34"/>
  <c r="BF32" i="34"/>
  <c r="BH32" i="34"/>
  <c r="BI32" i="34"/>
  <c r="BC35" i="45"/>
  <c r="BD34" i="45"/>
  <c r="BI33" i="45"/>
  <c r="BH33" i="45"/>
  <c r="BF33" i="45"/>
  <c r="BG33" i="45"/>
  <c r="BD34" i="46"/>
  <c r="BC35" i="46"/>
  <c r="BI33" i="46"/>
  <c r="BH33" i="46"/>
  <c r="BG33" i="46"/>
  <c r="BF33" i="46"/>
  <c r="BH32" i="47"/>
  <c r="BG32" i="47"/>
  <c r="BI32" i="47"/>
  <c r="BF32" i="47"/>
  <c r="BC34" i="47"/>
  <c r="BD34" i="47" s="1"/>
  <c r="BG46" i="56" l="1"/>
  <c r="BF46" i="56"/>
  <c r="BI46" i="56"/>
  <c r="BH46" i="56"/>
  <c r="BC48" i="56"/>
  <c r="BD47" i="56"/>
  <c r="BC49" i="55"/>
  <c r="BD48" i="55"/>
  <c r="BF47" i="55"/>
  <c r="BI47" i="55"/>
  <c r="BH47" i="55"/>
  <c r="BG47" i="55"/>
  <c r="BF45" i="54"/>
  <c r="BH45" i="54"/>
  <c r="BI45" i="54"/>
  <c r="BG45" i="54"/>
  <c r="BC47" i="54"/>
  <c r="BD46" i="54"/>
  <c r="BH38" i="52"/>
  <c r="BF38" i="52"/>
  <c r="BI38" i="52"/>
  <c r="BG38" i="52"/>
  <c r="BD39" i="52"/>
  <c r="BC40" i="52"/>
  <c r="BH39" i="51"/>
  <c r="BF39" i="51"/>
  <c r="BG39" i="51"/>
  <c r="BI39" i="51"/>
  <c r="BD40" i="51"/>
  <c r="BC41" i="51"/>
  <c r="BH36" i="50"/>
  <c r="BF36" i="50"/>
  <c r="BG36" i="50"/>
  <c r="BI36" i="50"/>
  <c r="BD37" i="50"/>
  <c r="BC38" i="50"/>
  <c r="BD40" i="49"/>
  <c r="BC41" i="49"/>
  <c r="BG39" i="49"/>
  <c r="BI39" i="49"/>
  <c r="BH39" i="49"/>
  <c r="BF39" i="49"/>
  <c r="BD35" i="43"/>
  <c r="BC36" i="43"/>
  <c r="BG34" i="43"/>
  <c r="BI34" i="43"/>
  <c r="BF34" i="43"/>
  <c r="BH34" i="43"/>
  <c r="BG34" i="40"/>
  <c r="BI34" i="40"/>
  <c r="BH34" i="40"/>
  <c r="BF34" i="40"/>
  <c r="BD35" i="40"/>
  <c r="BC36" i="40"/>
  <c r="BD34" i="34"/>
  <c r="BC35" i="34"/>
  <c r="BI33" i="34"/>
  <c r="BF33" i="34"/>
  <c r="BH33" i="34"/>
  <c r="BG33" i="34"/>
  <c r="BG34" i="45"/>
  <c r="BI34" i="45"/>
  <c r="BH34" i="45"/>
  <c r="BF34" i="45"/>
  <c r="BD35" i="45"/>
  <c r="BC36" i="45"/>
  <c r="BD35" i="46"/>
  <c r="BC36" i="46"/>
  <c r="BG34" i="46"/>
  <c r="BI34" i="46"/>
  <c r="BF34" i="46"/>
  <c r="BH34" i="46"/>
  <c r="BC35" i="47"/>
  <c r="BD35" i="47" s="1"/>
  <c r="BI33" i="47"/>
  <c r="BF33" i="47"/>
  <c r="BH33" i="47"/>
  <c r="BG33" i="47"/>
  <c r="BH47" i="56" l="1"/>
  <c r="BG47" i="56"/>
  <c r="BI47" i="56"/>
  <c r="BF47" i="56"/>
  <c r="BD48" i="56"/>
  <c r="BC49" i="56"/>
  <c r="BG48" i="55"/>
  <c r="BF48" i="55"/>
  <c r="BI48" i="55"/>
  <c r="BH48" i="55"/>
  <c r="BC50" i="55"/>
  <c r="BD49" i="55"/>
  <c r="BH46" i="54"/>
  <c r="BG46" i="54"/>
  <c r="BF46" i="54"/>
  <c r="BI46" i="54"/>
  <c r="BD47" i="54"/>
  <c r="BC48" i="54"/>
  <c r="BI39" i="52"/>
  <c r="BG39" i="52"/>
  <c r="BH39" i="52"/>
  <c r="BF39" i="52"/>
  <c r="BD40" i="52"/>
  <c r="BC41" i="52"/>
  <c r="BC42" i="51"/>
  <c r="BD41" i="51"/>
  <c r="BI40" i="51"/>
  <c r="BG40" i="51"/>
  <c r="BH40" i="51"/>
  <c r="BF40" i="51"/>
  <c r="BD38" i="50"/>
  <c r="BC39" i="50"/>
  <c r="BI37" i="50"/>
  <c r="BH37" i="50"/>
  <c r="BG37" i="50"/>
  <c r="BF37" i="50"/>
  <c r="BD41" i="49"/>
  <c r="BC42" i="49"/>
  <c r="BH40" i="49"/>
  <c r="BI40" i="49"/>
  <c r="BG40" i="49"/>
  <c r="BF40" i="49"/>
  <c r="BD36" i="43"/>
  <c r="BC37" i="43"/>
  <c r="BI35" i="43"/>
  <c r="BF35" i="43"/>
  <c r="BG35" i="43"/>
  <c r="BH35" i="43"/>
  <c r="BD36" i="40"/>
  <c r="BC37" i="40"/>
  <c r="BI35" i="40"/>
  <c r="BF35" i="40"/>
  <c r="BG35" i="40"/>
  <c r="BH35" i="40"/>
  <c r="BD35" i="34"/>
  <c r="BC36" i="34"/>
  <c r="BG34" i="34"/>
  <c r="BF34" i="34"/>
  <c r="BH34" i="34"/>
  <c r="BI34" i="34"/>
  <c r="BD36" i="45"/>
  <c r="BC37" i="45"/>
  <c r="BI35" i="45"/>
  <c r="BG35" i="45"/>
  <c r="BF35" i="45"/>
  <c r="BH35" i="45"/>
  <c r="BD36" i="46"/>
  <c r="BC37" i="46"/>
  <c r="BI35" i="46"/>
  <c r="BF35" i="46"/>
  <c r="BG35" i="46"/>
  <c r="BH35" i="46"/>
  <c r="BF34" i="47"/>
  <c r="BG34" i="47"/>
  <c r="BH34" i="47"/>
  <c r="BI34" i="47"/>
  <c r="BC36" i="47"/>
  <c r="BD36" i="47" s="1"/>
  <c r="BD49" i="56" l="1"/>
  <c r="BC50" i="56"/>
  <c r="BI48" i="56"/>
  <c r="BH48" i="56"/>
  <c r="BG48" i="56"/>
  <c r="BF48" i="56"/>
  <c r="BH49" i="55"/>
  <c r="BG49" i="55"/>
  <c r="BI49" i="55"/>
  <c r="BF49" i="55"/>
  <c r="BD50" i="55"/>
  <c r="BC51" i="55"/>
  <c r="BD48" i="54"/>
  <c r="BC49" i="54"/>
  <c r="BI47" i="54"/>
  <c r="BH47" i="54"/>
  <c r="BF47" i="54"/>
  <c r="BG47" i="54"/>
  <c r="BF40" i="52"/>
  <c r="BI40" i="52"/>
  <c r="BG40" i="52"/>
  <c r="BH40" i="52"/>
  <c r="BC42" i="52"/>
  <c r="BD41" i="52"/>
  <c r="BF41" i="51"/>
  <c r="BH41" i="51"/>
  <c r="BG41" i="51"/>
  <c r="BI41" i="51"/>
  <c r="BC43" i="51"/>
  <c r="BD42" i="51"/>
  <c r="BC40" i="50"/>
  <c r="BD39" i="50"/>
  <c r="BF38" i="50"/>
  <c r="BI38" i="50"/>
  <c r="BH38" i="50"/>
  <c r="BG38" i="50"/>
  <c r="BC43" i="49"/>
  <c r="BD42" i="49"/>
  <c r="BI41" i="49"/>
  <c r="BG41" i="49"/>
  <c r="BF41" i="49"/>
  <c r="BH41" i="49"/>
  <c r="BD37" i="43"/>
  <c r="BC38" i="43"/>
  <c r="BG36" i="43"/>
  <c r="BF36" i="43"/>
  <c r="BI36" i="43"/>
  <c r="BH36" i="43"/>
  <c r="BD37" i="40"/>
  <c r="BC38" i="40"/>
  <c r="BG36" i="40"/>
  <c r="BH36" i="40"/>
  <c r="BF36" i="40"/>
  <c r="BI36" i="40"/>
  <c r="BC37" i="34"/>
  <c r="BD36" i="34"/>
  <c r="BI35" i="34"/>
  <c r="BG35" i="34"/>
  <c r="BH35" i="34"/>
  <c r="BF35" i="34"/>
  <c r="BD37" i="45"/>
  <c r="BC38" i="45"/>
  <c r="BG36" i="45"/>
  <c r="BI36" i="45"/>
  <c r="BH36" i="45"/>
  <c r="BF36" i="45"/>
  <c r="BD37" i="46"/>
  <c r="BC38" i="46"/>
  <c r="BG36" i="46"/>
  <c r="BF36" i="46"/>
  <c r="BI36" i="46"/>
  <c r="BH36" i="46"/>
  <c r="BG35" i="47"/>
  <c r="BI35" i="47"/>
  <c r="BF35" i="47"/>
  <c r="BH35" i="47"/>
  <c r="BC37" i="47"/>
  <c r="BD37" i="47" s="1"/>
  <c r="BC51" i="56" l="1"/>
  <c r="BD50" i="56"/>
  <c r="BF49" i="56"/>
  <c r="BI49" i="56"/>
  <c r="BG49" i="56"/>
  <c r="BH49" i="56"/>
  <c r="BD51" i="55"/>
  <c r="BC52" i="55"/>
  <c r="BI50" i="55"/>
  <c r="BH50" i="55"/>
  <c r="BG50" i="55"/>
  <c r="BF50" i="55"/>
  <c r="BC50" i="54"/>
  <c r="BD49" i="54"/>
  <c r="BF48" i="54"/>
  <c r="BI48" i="54"/>
  <c r="BG48" i="54"/>
  <c r="BH48" i="54"/>
  <c r="BC43" i="52"/>
  <c r="BD42" i="52"/>
  <c r="BG41" i="52"/>
  <c r="BF41" i="52"/>
  <c r="BH41" i="52"/>
  <c r="BI41" i="52"/>
  <c r="BG42" i="51"/>
  <c r="BI42" i="51"/>
  <c r="BH42" i="51"/>
  <c r="BF42" i="51"/>
  <c r="BC44" i="51"/>
  <c r="BD43" i="51"/>
  <c r="BG39" i="50"/>
  <c r="BF39" i="50"/>
  <c r="BI39" i="50"/>
  <c r="BH39" i="50"/>
  <c r="BC41" i="50"/>
  <c r="BD40" i="50"/>
  <c r="BF42" i="49"/>
  <c r="BI42" i="49"/>
  <c r="BH42" i="49"/>
  <c r="BG42" i="49"/>
  <c r="BC44" i="49"/>
  <c r="BD43" i="49"/>
  <c r="BI37" i="43"/>
  <c r="BG37" i="43"/>
  <c r="BF37" i="43"/>
  <c r="BH37" i="43"/>
  <c r="BC39" i="43"/>
  <c r="BD38" i="43"/>
  <c r="BC39" i="40"/>
  <c r="BD38" i="40"/>
  <c r="BI37" i="40"/>
  <c r="BF37" i="40"/>
  <c r="BH37" i="40"/>
  <c r="BG37" i="40"/>
  <c r="BG36" i="34"/>
  <c r="BH36" i="34"/>
  <c r="BF36" i="34"/>
  <c r="BI36" i="34"/>
  <c r="BD37" i="34"/>
  <c r="BC38" i="34"/>
  <c r="BC39" i="45"/>
  <c r="BD38" i="45"/>
  <c r="BI37" i="45"/>
  <c r="BF37" i="45"/>
  <c r="BH37" i="45"/>
  <c r="BG37" i="45"/>
  <c r="BC39" i="46"/>
  <c r="BD38" i="46"/>
  <c r="BI37" i="46"/>
  <c r="BG37" i="46"/>
  <c r="BF37" i="46"/>
  <c r="BH37" i="46"/>
  <c r="BH36" i="47"/>
  <c r="BF36" i="47"/>
  <c r="BI36" i="47"/>
  <c r="BG36" i="47"/>
  <c r="BC38" i="47"/>
  <c r="BD38" i="47" s="1"/>
  <c r="BG50" i="56" l="1"/>
  <c r="BF50" i="56"/>
  <c r="BI50" i="56"/>
  <c r="BH50" i="56"/>
  <c r="BC52" i="56"/>
  <c r="BD51" i="56"/>
  <c r="BC53" i="55"/>
  <c r="BD52" i="55"/>
  <c r="BF51" i="55"/>
  <c r="BI51" i="55"/>
  <c r="BH51" i="55"/>
  <c r="BG51" i="55"/>
  <c r="BG49" i="54"/>
  <c r="BF49" i="54"/>
  <c r="BH49" i="54"/>
  <c r="BI49" i="54"/>
  <c r="BC51" i="54"/>
  <c r="BD50" i="54"/>
  <c r="BH42" i="52"/>
  <c r="BG42" i="52"/>
  <c r="BI42" i="52"/>
  <c r="BF42" i="52"/>
  <c r="BD43" i="52"/>
  <c r="BC44" i="52"/>
  <c r="BD44" i="51"/>
  <c r="BC45" i="51"/>
  <c r="BH43" i="51"/>
  <c r="BF43" i="51"/>
  <c r="BG43" i="51"/>
  <c r="BI43" i="51"/>
  <c r="BH40" i="50"/>
  <c r="BG40" i="50"/>
  <c r="BI40" i="50"/>
  <c r="BF40" i="50"/>
  <c r="BD41" i="50"/>
  <c r="BC42" i="50"/>
  <c r="BG43" i="49"/>
  <c r="BF43" i="49"/>
  <c r="BI43" i="49"/>
  <c r="BH43" i="49"/>
  <c r="BC45" i="49"/>
  <c r="BD44" i="49"/>
  <c r="BD39" i="43"/>
  <c r="BC40" i="43"/>
  <c r="BG38" i="43"/>
  <c r="BH38" i="43"/>
  <c r="BF38" i="43"/>
  <c r="BI38" i="43"/>
  <c r="BG38" i="40"/>
  <c r="BF38" i="40"/>
  <c r="BH38" i="40"/>
  <c r="BI38" i="40"/>
  <c r="BD39" i="40"/>
  <c r="BC40" i="40"/>
  <c r="BC39" i="34"/>
  <c r="BD38" i="34"/>
  <c r="BI37" i="34"/>
  <c r="BH37" i="34"/>
  <c r="BF37" i="34"/>
  <c r="BG37" i="34"/>
  <c r="BG38" i="45"/>
  <c r="BF38" i="45"/>
  <c r="BI38" i="45"/>
  <c r="BH38" i="45"/>
  <c r="BD39" i="45"/>
  <c r="BC40" i="45"/>
  <c r="BG38" i="46"/>
  <c r="BH38" i="46"/>
  <c r="BF38" i="46"/>
  <c r="BI38" i="46"/>
  <c r="BD39" i="46"/>
  <c r="BC40" i="46"/>
  <c r="BC39" i="47"/>
  <c r="BD39" i="47" s="1"/>
  <c r="BH37" i="47"/>
  <c r="BI37" i="47"/>
  <c r="BG37" i="47"/>
  <c r="BF37" i="47"/>
  <c r="BH51" i="56" l="1"/>
  <c r="BG51" i="56"/>
  <c r="BI51" i="56"/>
  <c r="BF51" i="56"/>
  <c r="BD52" i="56"/>
  <c r="BC53" i="56"/>
  <c r="BG52" i="55"/>
  <c r="BF52" i="55"/>
  <c r="BI52" i="55"/>
  <c r="BH52" i="55"/>
  <c r="BC54" i="55"/>
  <c r="BD53" i="55"/>
  <c r="BH50" i="54"/>
  <c r="BG50" i="54"/>
  <c r="BF50" i="54"/>
  <c r="BI50" i="54"/>
  <c r="BD51" i="54"/>
  <c r="BC52" i="54"/>
  <c r="BC45" i="52"/>
  <c r="BD44" i="52"/>
  <c r="BI43" i="52"/>
  <c r="BF43" i="52"/>
  <c r="BH43" i="52"/>
  <c r="BG43" i="52"/>
  <c r="BC46" i="51"/>
  <c r="BD45" i="51"/>
  <c r="BI44" i="51"/>
  <c r="BG44" i="51"/>
  <c r="BH44" i="51"/>
  <c r="BF44" i="51"/>
  <c r="BD42" i="50"/>
  <c r="BC43" i="50"/>
  <c r="BI41" i="50"/>
  <c r="BG41" i="50"/>
  <c r="BH41" i="50"/>
  <c r="BF41" i="50"/>
  <c r="BH44" i="49"/>
  <c r="BG44" i="49"/>
  <c r="BF44" i="49"/>
  <c r="BI44" i="49"/>
  <c r="BD45" i="49"/>
  <c r="BC46" i="49"/>
  <c r="BI39" i="43"/>
  <c r="BH39" i="43"/>
  <c r="BG39" i="43"/>
  <c r="BF39" i="43"/>
  <c r="BC41" i="43"/>
  <c r="BD40" i="43"/>
  <c r="BD40" i="40"/>
  <c r="BC41" i="40"/>
  <c r="BI39" i="40"/>
  <c r="BG39" i="40"/>
  <c r="BH39" i="40"/>
  <c r="BF39" i="40"/>
  <c r="BG38" i="34"/>
  <c r="BI38" i="34"/>
  <c r="BH38" i="34"/>
  <c r="BF38" i="34"/>
  <c r="BD39" i="34"/>
  <c r="BC40" i="34"/>
  <c r="BC41" i="45"/>
  <c r="BD40" i="45"/>
  <c r="BI39" i="45"/>
  <c r="BG39" i="45"/>
  <c r="BF39" i="45"/>
  <c r="BH39" i="45"/>
  <c r="BC41" i="46"/>
  <c r="BD40" i="46"/>
  <c r="BI39" i="46"/>
  <c r="BH39" i="46"/>
  <c r="BG39" i="46"/>
  <c r="BF39" i="46"/>
  <c r="BC40" i="47"/>
  <c r="BD40" i="47" s="1"/>
  <c r="BI38" i="47"/>
  <c r="BF38" i="47"/>
  <c r="BG38" i="47"/>
  <c r="BH38" i="47"/>
  <c r="BD53" i="56" l="1"/>
  <c r="BC54" i="56"/>
  <c r="BI52" i="56"/>
  <c r="BH52" i="56"/>
  <c r="BG52" i="56"/>
  <c r="BF52" i="56"/>
  <c r="BH53" i="55"/>
  <c r="BG53" i="55"/>
  <c r="BI53" i="55"/>
  <c r="BF53" i="55"/>
  <c r="BD54" i="55"/>
  <c r="BC55" i="55"/>
  <c r="BD52" i="54"/>
  <c r="BC53" i="54"/>
  <c r="BI51" i="54"/>
  <c r="BH51" i="54"/>
  <c r="BF51" i="54"/>
  <c r="BG51" i="54"/>
  <c r="BF44" i="52"/>
  <c r="BG44" i="52"/>
  <c r="BH44" i="52"/>
  <c r="BI44" i="52"/>
  <c r="BC46" i="52"/>
  <c r="BD45" i="52"/>
  <c r="BF45" i="51"/>
  <c r="BG45" i="51"/>
  <c r="BI45" i="51"/>
  <c r="BH45" i="51"/>
  <c r="BC47" i="51"/>
  <c r="BD46" i="51"/>
  <c r="BC44" i="50"/>
  <c r="BD43" i="50"/>
  <c r="BF42" i="50"/>
  <c r="BH42" i="50"/>
  <c r="BI42" i="50"/>
  <c r="BG42" i="50"/>
  <c r="BD46" i="49"/>
  <c r="BC47" i="49"/>
  <c r="BI45" i="49"/>
  <c r="BF45" i="49"/>
  <c r="BH45" i="49"/>
  <c r="BG45" i="49"/>
  <c r="BD41" i="43"/>
  <c r="BC42" i="43"/>
  <c r="BG40" i="43"/>
  <c r="BI40" i="43"/>
  <c r="BH40" i="43"/>
  <c r="BF40" i="43"/>
  <c r="BD41" i="40"/>
  <c r="BC42" i="40"/>
  <c r="BG40" i="40"/>
  <c r="BH40" i="40"/>
  <c r="BI40" i="40"/>
  <c r="BF40" i="40"/>
  <c r="BD40" i="34"/>
  <c r="BC41" i="34"/>
  <c r="BI39" i="34"/>
  <c r="BF39" i="34"/>
  <c r="BH39" i="34"/>
  <c r="BG39" i="34"/>
  <c r="BG40" i="45"/>
  <c r="BH40" i="45"/>
  <c r="BI40" i="45"/>
  <c r="BF40" i="45"/>
  <c r="BD41" i="45"/>
  <c r="BC42" i="45"/>
  <c r="BG40" i="46"/>
  <c r="BI40" i="46"/>
  <c r="BH40" i="46"/>
  <c r="BF40" i="46"/>
  <c r="BD41" i="46"/>
  <c r="BC42" i="46"/>
  <c r="BF39" i="47"/>
  <c r="BG39" i="47"/>
  <c r="BI39" i="47"/>
  <c r="BH39" i="47"/>
  <c r="BC41" i="47"/>
  <c r="BD41" i="47" s="1"/>
  <c r="BC55" i="56" l="1"/>
  <c r="BD54" i="56"/>
  <c r="BF53" i="56"/>
  <c r="BI53" i="56"/>
  <c r="BH53" i="56"/>
  <c r="BG53" i="56"/>
  <c r="BD55" i="55"/>
  <c r="BC56" i="55"/>
  <c r="BI54" i="55"/>
  <c r="BH54" i="55"/>
  <c r="BG54" i="55"/>
  <c r="BF54" i="55"/>
  <c r="BC54" i="54"/>
  <c r="BD53" i="54"/>
  <c r="BF52" i="54"/>
  <c r="BI52" i="54"/>
  <c r="BG52" i="54"/>
  <c r="BH52" i="54"/>
  <c r="BC47" i="52"/>
  <c r="BD46" i="52"/>
  <c r="BG45" i="52"/>
  <c r="BI45" i="52"/>
  <c r="BF45" i="52"/>
  <c r="BH45" i="52"/>
  <c r="BG46" i="51"/>
  <c r="BI46" i="51"/>
  <c r="BF46" i="51"/>
  <c r="BH46" i="51"/>
  <c r="BD47" i="51"/>
  <c r="BC48" i="51"/>
  <c r="BG43" i="50"/>
  <c r="BF43" i="50"/>
  <c r="BI43" i="50"/>
  <c r="BH43" i="50"/>
  <c r="BC45" i="50"/>
  <c r="BD44" i="50"/>
  <c r="BC48" i="49"/>
  <c r="BD47" i="49"/>
  <c r="BF46" i="49"/>
  <c r="BI46" i="49"/>
  <c r="BH46" i="49"/>
  <c r="BG46" i="49"/>
  <c r="BI41" i="43"/>
  <c r="BH41" i="43"/>
  <c r="BG41" i="43"/>
  <c r="BF41" i="43"/>
  <c r="BD42" i="43"/>
  <c r="BC43" i="43"/>
  <c r="BI41" i="40"/>
  <c r="BH41" i="40"/>
  <c r="BF41" i="40"/>
  <c r="BG41" i="40"/>
  <c r="BC43" i="40"/>
  <c r="BD42" i="40"/>
  <c r="BD41" i="34"/>
  <c r="BC42" i="34"/>
  <c r="BG40" i="34"/>
  <c r="BH40" i="34"/>
  <c r="BF40" i="34"/>
  <c r="BI40" i="34"/>
  <c r="BC43" i="45"/>
  <c r="BD42" i="45"/>
  <c r="BI41" i="45"/>
  <c r="BH41" i="45"/>
  <c r="BG41" i="45"/>
  <c r="BF41" i="45"/>
  <c r="BD42" i="46"/>
  <c r="BC43" i="46"/>
  <c r="BI41" i="46"/>
  <c r="BH41" i="46"/>
  <c r="BF41" i="46"/>
  <c r="BG41" i="46"/>
  <c r="BG40" i="47"/>
  <c r="BH40" i="47"/>
  <c r="BF40" i="47"/>
  <c r="BI40" i="47"/>
  <c r="BC42" i="47"/>
  <c r="BD42" i="47" s="1"/>
  <c r="BG54" i="56" l="1"/>
  <c r="BF54" i="56"/>
  <c r="BI54" i="56"/>
  <c r="BH54" i="56"/>
  <c r="BC56" i="56"/>
  <c r="BD55" i="56"/>
  <c r="BC57" i="55"/>
  <c r="BD56" i="55"/>
  <c r="BF55" i="55"/>
  <c r="BI55" i="55"/>
  <c r="BH55" i="55"/>
  <c r="BG55" i="55"/>
  <c r="BG53" i="54"/>
  <c r="BF53" i="54"/>
  <c r="BH53" i="54"/>
  <c r="BI53" i="54"/>
  <c r="BC55" i="54"/>
  <c r="BD54" i="54"/>
  <c r="BH46" i="52"/>
  <c r="BF46" i="52"/>
  <c r="BG46" i="52"/>
  <c r="BI46" i="52"/>
  <c r="BD47" i="52"/>
  <c r="BC48" i="52"/>
  <c r="BH47" i="51"/>
  <c r="BG47" i="51"/>
  <c r="BI47" i="51"/>
  <c r="BF47" i="51"/>
  <c r="BD48" i="51"/>
  <c r="BC49" i="51"/>
  <c r="BH44" i="50"/>
  <c r="BG44" i="50"/>
  <c r="BF44" i="50"/>
  <c r="BI44" i="50"/>
  <c r="BD45" i="50"/>
  <c r="BC46" i="50"/>
  <c r="BG47" i="49"/>
  <c r="BF47" i="49"/>
  <c r="BI47" i="49"/>
  <c r="BH47" i="49"/>
  <c r="BC49" i="49"/>
  <c r="BD48" i="49"/>
  <c r="BG42" i="43"/>
  <c r="BI42" i="43"/>
  <c r="BF42" i="43"/>
  <c r="BH42" i="43"/>
  <c r="BD43" i="43"/>
  <c r="BC44" i="43"/>
  <c r="BG42" i="40"/>
  <c r="BI42" i="40"/>
  <c r="BF42" i="40"/>
  <c r="BH42" i="40"/>
  <c r="BD43" i="40"/>
  <c r="BC44" i="40"/>
  <c r="BC43" i="34"/>
  <c r="BD42" i="34"/>
  <c r="BI41" i="34"/>
  <c r="BF41" i="34"/>
  <c r="BH41" i="34"/>
  <c r="BG41" i="34"/>
  <c r="BG42" i="45"/>
  <c r="BI42" i="45"/>
  <c r="BH42" i="45"/>
  <c r="BF42" i="45"/>
  <c r="BD43" i="45"/>
  <c r="BC44" i="45"/>
  <c r="BD43" i="46"/>
  <c r="BC44" i="46"/>
  <c r="BG42" i="46"/>
  <c r="BI42" i="46"/>
  <c r="BF42" i="46"/>
  <c r="BH42" i="46"/>
  <c r="BC43" i="47"/>
  <c r="BD43" i="47" s="1"/>
  <c r="BH41" i="47"/>
  <c r="BI41" i="47"/>
  <c r="BF41" i="47"/>
  <c r="BG41" i="47"/>
  <c r="BH55" i="56" l="1"/>
  <c r="BG55" i="56"/>
  <c r="BI55" i="56"/>
  <c r="BF55" i="56"/>
  <c r="BD56" i="56"/>
  <c r="BC57" i="56"/>
  <c r="BG56" i="55"/>
  <c r="BF56" i="55"/>
  <c r="BI56" i="55"/>
  <c r="BH56" i="55"/>
  <c r="BC58" i="55"/>
  <c r="BD57" i="55"/>
  <c r="BH54" i="54"/>
  <c r="BG54" i="54"/>
  <c r="BF54" i="54"/>
  <c r="BI54" i="54"/>
  <c r="BD55" i="54"/>
  <c r="BC56" i="54"/>
  <c r="BC49" i="52"/>
  <c r="BD48" i="52"/>
  <c r="BI47" i="52"/>
  <c r="BG47" i="52"/>
  <c r="BF47" i="52"/>
  <c r="BH47" i="52"/>
  <c r="BC50" i="51"/>
  <c r="BD49" i="51"/>
  <c r="BI48" i="51"/>
  <c r="BG48" i="51"/>
  <c r="BF48" i="51"/>
  <c r="BH48" i="51"/>
  <c r="BD46" i="50"/>
  <c r="BC47" i="50"/>
  <c r="BI45" i="50"/>
  <c r="BH45" i="50"/>
  <c r="BG45" i="50"/>
  <c r="BF45" i="50"/>
  <c r="BH48" i="49"/>
  <c r="BG48" i="49"/>
  <c r="BI48" i="49"/>
  <c r="BF48" i="49"/>
  <c r="BD49" i="49"/>
  <c r="BC50" i="49"/>
  <c r="BD44" i="43"/>
  <c r="BC45" i="43"/>
  <c r="BI43" i="43"/>
  <c r="BF43" i="43"/>
  <c r="BH43" i="43"/>
  <c r="BG43" i="43"/>
  <c r="BI43" i="40"/>
  <c r="BG43" i="40"/>
  <c r="BH43" i="40"/>
  <c r="BF43" i="40"/>
  <c r="BD44" i="40"/>
  <c r="BC45" i="40"/>
  <c r="BG42" i="34"/>
  <c r="BF42" i="34"/>
  <c r="BH42" i="34"/>
  <c r="BI42" i="34"/>
  <c r="BD43" i="34"/>
  <c r="BC44" i="34"/>
  <c r="BI43" i="45"/>
  <c r="BH43" i="45"/>
  <c r="BG43" i="45"/>
  <c r="BF43" i="45"/>
  <c r="BD44" i="45"/>
  <c r="BC45" i="45"/>
  <c r="BD44" i="46"/>
  <c r="BC45" i="46"/>
  <c r="BI43" i="46"/>
  <c r="BF43" i="46"/>
  <c r="BH43" i="46"/>
  <c r="BG43" i="46"/>
  <c r="BC44" i="47"/>
  <c r="BD44" i="47" s="1"/>
  <c r="BI42" i="47"/>
  <c r="BF42" i="47"/>
  <c r="BG42" i="47"/>
  <c r="BH42" i="47"/>
  <c r="BD57" i="56" l="1"/>
  <c r="BC58" i="56"/>
  <c r="BI56" i="56"/>
  <c r="BH56" i="56"/>
  <c r="BG56" i="56"/>
  <c r="BF56" i="56"/>
  <c r="BH57" i="55"/>
  <c r="BG57" i="55"/>
  <c r="BF57" i="55"/>
  <c r="BI57" i="55"/>
  <c r="BD58" i="55"/>
  <c r="BC59" i="55"/>
  <c r="BI55" i="54"/>
  <c r="BH55" i="54"/>
  <c r="BF55" i="54"/>
  <c r="BG55" i="54"/>
  <c r="BD56" i="54"/>
  <c r="BC57" i="54"/>
  <c r="BF48" i="52"/>
  <c r="BH48" i="52"/>
  <c r="BI48" i="52"/>
  <c r="BG48" i="52"/>
  <c r="BC50" i="52"/>
  <c r="BD49" i="52"/>
  <c r="BF49" i="51"/>
  <c r="BI49" i="51"/>
  <c r="BG49" i="51"/>
  <c r="BH49" i="51"/>
  <c r="BC51" i="51"/>
  <c r="BD50" i="51"/>
  <c r="BC48" i="50"/>
  <c r="BD47" i="50"/>
  <c r="BF46" i="50"/>
  <c r="BH46" i="50"/>
  <c r="BI46" i="50"/>
  <c r="BG46" i="50"/>
  <c r="BD50" i="49"/>
  <c r="BC51" i="49"/>
  <c r="BI49" i="49"/>
  <c r="BH49" i="49"/>
  <c r="BF49" i="49"/>
  <c r="BG49" i="49"/>
  <c r="BD45" i="43"/>
  <c r="BC46" i="43"/>
  <c r="BG44" i="43"/>
  <c r="BF44" i="43"/>
  <c r="BH44" i="43"/>
  <c r="BI44" i="43"/>
  <c r="BG44" i="40"/>
  <c r="BI44" i="40"/>
  <c r="BH44" i="40"/>
  <c r="BF44" i="40"/>
  <c r="BD45" i="40"/>
  <c r="BC46" i="40"/>
  <c r="BD44" i="34"/>
  <c r="BC45" i="34"/>
  <c r="BI43" i="34"/>
  <c r="BG43" i="34"/>
  <c r="BH43" i="34"/>
  <c r="BF43" i="34"/>
  <c r="BD45" i="45"/>
  <c r="BC46" i="45"/>
  <c r="BG44" i="45"/>
  <c r="BI44" i="45"/>
  <c r="BH44" i="45"/>
  <c r="BF44" i="45"/>
  <c r="BD45" i="46"/>
  <c r="BC46" i="46"/>
  <c r="BG44" i="46"/>
  <c r="BF44" i="46"/>
  <c r="BH44" i="46"/>
  <c r="BI44" i="46"/>
  <c r="BF43" i="47"/>
  <c r="BG43" i="47"/>
  <c r="BH43" i="47"/>
  <c r="BI43" i="47"/>
  <c r="BC45" i="47"/>
  <c r="BD45" i="47" s="1"/>
  <c r="BC59" i="56" l="1"/>
  <c r="BD58" i="56"/>
  <c r="BF57" i="56"/>
  <c r="BI57" i="56"/>
  <c r="BG57" i="56"/>
  <c r="BH57" i="56"/>
  <c r="BD59" i="55"/>
  <c r="BC60" i="55"/>
  <c r="BI58" i="55"/>
  <c r="BH58" i="55"/>
  <c r="BG58" i="55"/>
  <c r="BF58" i="55"/>
  <c r="BC58" i="54"/>
  <c r="BD57" i="54"/>
  <c r="BF56" i="54"/>
  <c r="BI56" i="54"/>
  <c r="BG56" i="54"/>
  <c r="BH56" i="54"/>
  <c r="BG49" i="52"/>
  <c r="BI49" i="52"/>
  <c r="BF49" i="52"/>
  <c r="BH49" i="52"/>
  <c r="BC51" i="52"/>
  <c r="BD50" i="52"/>
  <c r="BC52" i="51"/>
  <c r="BD51" i="51"/>
  <c r="BG50" i="51"/>
  <c r="BF50" i="51"/>
  <c r="BI50" i="51"/>
  <c r="BH50" i="51"/>
  <c r="BG47" i="50"/>
  <c r="BI47" i="50"/>
  <c r="BF47" i="50"/>
  <c r="BH47" i="50"/>
  <c r="BC49" i="50"/>
  <c r="BD48" i="50"/>
  <c r="BC52" i="49"/>
  <c r="BD51" i="49"/>
  <c r="BF50" i="49"/>
  <c r="BI50" i="49"/>
  <c r="BH50" i="49"/>
  <c r="BG50" i="49"/>
  <c r="BD46" i="43"/>
  <c r="BC47" i="43"/>
  <c r="BI45" i="43"/>
  <c r="BG45" i="43"/>
  <c r="BF45" i="43"/>
  <c r="BH45" i="43"/>
  <c r="BC47" i="40"/>
  <c r="BD46" i="40"/>
  <c r="BI45" i="40"/>
  <c r="BF45" i="40"/>
  <c r="BH45" i="40"/>
  <c r="BG45" i="40"/>
  <c r="BD45" i="34"/>
  <c r="BC46" i="34"/>
  <c r="BG44" i="34"/>
  <c r="BH44" i="34"/>
  <c r="BI44" i="34"/>
  <c r="BF44" i="34"/>
  <c r="BC47" i="45"/>
  <c r="BD46" i="45"/>
  <c r="BI45" i="45"/>
  <c r="BF45" i="45"/>
  <c r="BG45" i="45"/>
  <c r="BH45" i="45"/>
  <c r="BD46" i="46"/>
  <c r="BC47" i="46"/>
  <c r="BI45" i="46"/>
  <c r="BG45" i="46"/>
  <c r="BF45" i="46"/>
  <c r="BH45" i="46"/>
  <c r="BG44" i="47"/>
  <c r="BH44" i="47"/>
  <c r="BF44" i="47"/>
  <c r="BI44" i="47"/>
  <c r="BC46" i="47"/>
  <c r="BD46" i="47" s="1"/>
  <c r="BG58" i="56" l="1"/>
  <c r="BF58" i="56"/>
  <c r="BI58" i="56"/>
  <c r="BH58" i="56"/>
  <c r="BC60" i="56"/>
  <c r="BD59" i="56"/>
  <c r="BC61" i="55"/>
  <c r="BD60" i="55"/>
  <c r="BF59" i="55"/>
  <c r="BI59" i="55"/>
  <c r="BH59" i="55"/>
  <c r="BG59" i="55"/>
  <c r="BG57" i="54"/>
  <c r="BF57" i="54"/>
  <c r="BH57" i="54"/>
  <c r="BI57" i="54"/>
  <c r="BC59" i="54"/>
  <c r="BD58" i="54"/>
  <c r="BH50" i="52"/>
  <c r="BF50" i="52"/>
  <c r="BI50" i="52"/>
  <c r="BG50" i="52"/>
  <c r="BD51" i="52"/>
  <c r="BC52" i="52"/>
  <c r="BH51" i="51"/>
  <c r="BG51" i="51"/>
  <c r="BI51" i="51"/>
  <c r="BF51" i="51"/>
  <c r="BD52" i="51"/>
  <c r="BC53" i="51"/>
  <c r="BH48" i="50"/>
  <c r="BF48" i="50"/>
  <c r="BG48" i="50"/>
  <c r="BI48" i="50"/>
  <c r="BD49" i="50"/>
  <c r="BC50" i="50"/>
  <c r="BG51" i="49"/>
  <c r="BF51" i="49"/>
  <c r="BI51" i="49"/>
  <c r="BH51" i="49"/>
  <c r="BC53" i="49"/>
  <c r="BD52" i="49"/>
  <c r="BD47" i="43"/>
  <c r="BC48" i="43"/>
  <c r="BG46" i="43"/>
  <c r="BH46" i="43"/>
  <c r="BF46" i="43"/>
  <c r="BI46" i="43"/>
  <c r="BG46" i="40"/>
  <c r="BF46" i="40"/>
  <c r="BI46" i="40"/>
  <c r="BH46" i="40"/>
  <c r="BD47" i="40"/>
  <c r="BC48" i="40"/>
  <c r="BC47" i="34"/>
  <c r="BD46" i="34"/>
  <c r="BI45" i="34"/>
  <c r="BH45" i="34"/>
  <c r="BF45" i="34"/>
  <c r="BG45" i="34"/>
  <c r="BG46" i="45"/>
  <c r="BF46" i="45"/>
  <c r="BI46" i="45"/>
  <c r="BH46" i="45"/>
  <c r="BD47" i="45"/>
  <c r="BC48" i="45"/>
  <c r="BD47" i="46"/>
  <c r="BC48" i="46"/>
  <c r="BG46" i="46"/>
  <c r="BH46" i="46"/>
  <c r="BF46" i="46"/>
  <c r="BI46" i="46"/>
  <c r="BC47" i="47"/>
  <c r="BD47" i="47" s="1"/>
  <c r="BH45" i="47"/>
  <c r="BI45" i="47"/>
  <c r="BG45" i="47"/>
  <c r="BF45" i="47"/>
  <c r="BH59" i="56" l="1"/>
  <c r="BG59" i="56"/>
  <c r="BF59" i="56"/>
  <c r="BI59" i="56"/>
  <c r="BD60" i="56"/>
  <c r="BC61" i="56"/>
  <c r="BG60" i="55"/>
  <c r="BF60" i="55"/>
  <c r="BI60" i="55"/>
  <c r="BH60" i="55"/>
  <c r="BC62" i="55"/>
  <c r="BD61" i="55"/>
  <c r="BH58" i="54"/>
  <c r="BG58" i="54"/>
  <c r="BF58" i="54"/>
  <c r="BI58" i="54"/>
  <c r="BD59" i="54"/>
  <c r="BC60" i="54"/>
  <c r="BC53" i="52"/>
  <c r="BD52" i="52"/>
  <c r="BI51" i="52"/>
  <c r="BG51" i="52"/>
  <c r="BF51" i="52"/>
  <c r="BH51" i="52"/>
  <c r="BI52" i="51"/>
  <c r="BG52" i="51"/>
  <c r="BF52" i="51"/>
  <c r="BH52" i="51"/>
  <c r="BC54" i="51"/>
  <c r="BD53" i="51"/>
  <c r="BD50" i="50"/>
  <c r="BC51" i="50"/>
  <c r="BI49" i="50"/>
  <c r="BG49" i="50"/>
  <c r="BH49" i="50"/>
  <c r="BF49" i="50"/>
  <c r="BH52" i="49"/>
  <c r="BG52" i="49"/>
  <c r="BI52" i="49"/>
  <c r="BF52" i="49"/>
  <c r="BD53" i="49"/>
  <c r="BC54" i="49"/>
  <c r="BC49" i="43"/>
  <c r="BD48" i="43"/>
  <c r="BI47" i="43"/>
  <c r="BH47" i="43"/>
  <c r="BG47" i="43"/>
  <c r="BF47" i="43"/>
  <c r="BC49" i="40"/>
  <c r="BD48" i="40"/>
  <c r="BI47" i="40"/>
  <c r="BH47" i="40"/>
  <c r="BG47" i="40"/>
  <c r="BF47" i="40"/>
  <c r="BG46" i="34"/>
  <c r="BI46" i="34"/>
  <c r="BF46" i="34"/>
  <c r="BH46" i="34"/>
  <c r="BD47" i="34"/>
  <c r="BC48" i="34"/>
  <c r="BC49" i="45"/>
  <c r="BD48" i="45"/>
  <c r="BI47" i="45"/>
  <c r="BF47" i="45"/>
  <c r="BG47" i="45"/>
  <c r="BH47" i="45"/>
  <c r="BC49" i="46"/>
  <c r="BD48" i="46"/>
  <c r="BI47" i="46"/>
  <c r="BH47" i="46"/>
  <c r="BG47" i="46"/>
  <c r="BF47" i="46"/>
  <c r="BF46" i="47"/>
  <c r="BG46" i="47"/>
  <c r="BH46" i="47"/>
  <c r="BI46" i="47"/>
  <c r="BC48" i="47"/>
  <c r="BD48" i="47" s="1"/>
  <c r="BD61" i="56" l="1"/>
  <c r="BC62" i="56"/>
  <c r="BI60" i="56"/>
  <c r="BH60" i="56"/>
  <c r="BF60" i="56"/>
  <c r="BG60" i="56"/>
  <c r="BH61" i="55"/>
  <c r="BG61" i="55"/>
  <c r="BF61" i="55"/>
  <c r="BI61" i="55"/>
  <c r="BD62" i="55"/>
  <c r="BC63" i="55"/>
  <c r="BD63" i="55" s="1"/>
  <c r="BD60" i="54"/>
  <c r="BC61" i="54"/>
  <c r="BI59" i="54"/>
  <c r="BH59" i="54"/>
  <c r="BF59" i="54"/>
  <c r="BG59" i="54"/>
  <c r="BF52" i="52"/>
  <c r="BH52" i="52"/>
  <c r="BI52" i="52"/>
  <c r="BG52" i="52"/>
  <c r="BC54" i="52"/>
  <c r="BD53" i="52"/>
  <c r="BF53" i="51"/>
  <c r="BG53" i="51"/>
  <c r="BI53" i="51"/>
  <c r="BH53" i="51"/>
  <c r="BC55" i="51"/>
  <c r="BD54" i="51"/>
  <c r="BC52" i="50"/>
  <c r="BD51" i="50"/>
  <c r="BF50" i="50"/>
  <c r="BH50" i="50"/>
  <c r="BI50" i="50"/>
  <c r="BG50" i="50"/>
  <c r="BD54" i="49"/>
  <c r="BC55" i="49"/>
  <c r="BI53" i="49"/>
  <c r="BH53" i="49"/>
  <c r="BG53" i="49"/>
  <c r="BF53" i="49"/>
  <c r="BG48" i="43"/>
  <c r="BI48" i="43"/>
  <c r="BH48" i="43"/>
  <c r="BF48" i="43"/>
  <c r="BD49" i="43"/>
  <c r="BC50" i="43"/>
  <c r="BG48" i="40"/>
  <c r="BF48" i="40"/>
  <c r="BH48" i="40"/>
  <c r="BI48" i="40"/>
  <c r="BD49" i="40"/>
  <c r="BC50" i="40"/>
  <c r="BD48" i="34"/>
  <c r="BC49" i="34"/>
  <c r="BI47" i="34"/>
  <c r="BG47" i="34"/>
  <c r="BH47" i="34"/>
  <c r="BF47" i="34"/>
  <c r="BG48" i="45"/>
  <c r="BF48" i="45"/>
  <c r="BH48" i="45"/>
  <c r="BI48" i="45"/>
  <c r="BD49" i="45"/>
  <c r="BC50" i="45"/>
  <c r="BG48" i="46"/>
  <c r="BI48" i="46"/>
  <c r="BH48" i="46"/>
  <c r="BF48" i="46"/>
  <c r="BD49" i="46"/>
  <c r="BC50" i="46"/>
  <c r="BG47" i="47"/>
  <c r="BH47" i="47"/>
  <c r="BI47" i="47"/>
  <c r="BF47" i="47"/>
  <c r="BC49" i="47"/>
  <c r="BD49" i="47" s="1"/>
  <c r="BC63" i="56" l="1"/>
  <c r="BD63" i="56" s="1"/>
  <c r="BD62" i="56"/>
  <c r="BF61" i="56"/>
  <c r="BI61" i="56"/>
  <c r="BH61" i="56"/>
  <c r="BG61" i="56"/>
  <c r="BF63" i="55"/>
  <c r="BI63" i="55"/>
  <c r="BH63" i="55"/>
  <c r="BG63" i="55"/>
  <c r="BI62" i="55"/>
  <c r="BH62" i="55"/>
  <c r="BG62" i="55"/>
  <c r="BF62" i="55"/>
  <c r="BC62" i="54"/>
  <c r="BD61" i="54"/>
  <c r="BF60" i="54"/>
  <c r="BI60" i="54"/>
  <c r="BG60" i="54"/>
  <c r="BH60" i="54"/>
  <c r="BG53" i="52"/>
  <c r="BI53" i="52"/>
  <c r="BF53" i="52"/>
  <c r="BH53" i="52"/>
  <c r="BC55" i="52"/>
  <c r="BD54" i="52"/>
  <c r="BG54" i="51"/>
  <c r="BI54" i="51"/>
  <c r="BF54" i="51"/>
  <c r="BH54" i="51"/>
  <c r="BD55" i="51"/>
  <c r="BC56" i="51"/>
  <c r="BG51" i="50"/>
  <c r="BF51" i="50"/>
  <c r="BI51" i="50"/>
  <c r="BH51" i="50"/>
  <c r="BC53" i="50"/>
  <c r="BD52" i="50"/>
  <c r="BC56" i="49"/>
  <c r="BD55" i="49"/>
  <c r="BF54" i="49"/>
  <c r="BI54" i="49"/>
  <c r="BH54" i="49"/>
  <c r="BG54" i="49"/>
  <c r="BI49" i="43"/>
  <c r="BH49" i="43"/>
  <c r="BG49" i="43"/>
  <c r="BF49" i="43"/>
  <c r="BD50" i="43"/>
  <c r="BC51" i="43"/>
  <c r="BC51" i="40"/>
  <c r="BD50" i="40"/>
  <c r="BI49" i="40"/>
  <c r="BH49" i="40"/>
  <c r="BF49" i="40"/>
  <c r="BG49" i="40"/>
  <c r="BD49" i="34"/>
  <c r="BC50" i="34"/>
  <c r="BG48" i="34"/>
  <c r="BI48" i="34"/>
  <c r="BH48" i="34"/>
  <c r="BF48" i="34"/>
  <c r="BC51" i="45"/>
  <c r="BD50" i="45"/>
  <c r="BI49" i="45"/>
  <c r="BG49" i="45"/>
  <c r="BH49" i="45"/>
  <c r="BF49" i="45"/>
  <c r="BD50" i="46"/>
  <c r="BC51" i="46"/>
  <c r="BI49" i="46"/>
  <c r="BH49" i="46"/>
  <c r="BG49" i="46"/>
  <c r="BF49" i="46"/>
  <c r="BC50" i="47"/>
  <c r="BD50" i="47" s="1"/>
  <c r="BH48" i="47"/>
  <c r="BI48" i="47"/>
  <c r="BF48" i="47"/>
  <c r="BG48" i="47"/>
  <c r="BG62" i="56" l="1"/>
  <c r="BF62" i="56"/>
  <c r="BI62" i="56"/>
  <c r="BH62" i="56"/>
  <c r="BF63" i="56"/>
  <c r="BI63" i="56"/>
  <c r="BH63" i="56"/>
  <c r="BG63" i="56"/>
  <c r="BG61" i="54"/>
  <c r="BF61" i="54"/>
  <c r="BH61" i="54"/>
  <c r="BI61" i="54"/>
  <c r="BC63" i="54"/>
  <c r="BD63" i="54" s="1"/>
  <c r="BD62" i="54"/>
  <c r="BH54" i="52"/>
  <c r="BF54" i="52"/>
  <c r="BI54" i="52"/>
  <c r="BG54" i="52"/>
  <c r="BD55" i="52"/>
  <c r="BC56" i="52"/>
  <c r="BC57" i="51"/>
  <c r="BD56" i="51"/>
  <c r="BH55" i="51"/>
  <c r="BG55" i="51"/>
  <c r="BI55" i="51"/>
  <c r="BF55" i="51"/>
  <c r="BH52" i="50"/>
  <c r="BF52" i="50"/>
  <c r="BG52" i="50"/>
  <c r="BI52" i="50"/>
  <c r="BD53" i="50"/>
  <c r="BC54" i="50"/>
  <c r="BG55" i="49"/>
  <c r="BF55" i="49"/>
  <c r="BH55" i="49"/>
  <c r="BI55" i="49"/>
  <c r="BC57" i="49"/>
  <c r="BD56" i="49"/>
  <c r="BD51" i="43"/>
  <c r="BC52" i="43"/>
  <c r="BG50" i="43"/>
  <c r="BI50" i="43"/>
  <c r="BF50" i="43"/>
  <c r="BH50" i="43"/>
  <c r="BG50" i="40"/>
  <c r="BF50" i="40"/>
  <c r="BI50" i="40"/>
  <c r="BH50" i="40"/>
  <c r="BD51" i="40"/>
  <c r="BC52" i="40"/>
  <c r="BC51" i="34"/>
  <c r="BD50" i="34"/>
  <c r="BI49" i="34"/>
  <c r="BF49" i="34"/>
  <c r="BG49" i="34"/>
  <c r="BH49" i="34"/>
  <c r="BG50" i="45"/>
  <c r="BH50" i="45"/>
  <c r="BI50" i="45"/>
  <c r="BF50" i="45"/>
  <c r="BD51" i="45"/>
  <c r="BC52" i="45"/>
  <c r="BD51" i="46"/>
  <c r="BC52" i="46"/>
  <c r="BG50" i="46"/>
  <c r="BI50" i="46"/>
  <c r="BF50" i="46"/>
  <c r="BH50" i="46"/>
  <c r="BC51" i="47"/>
  <c r="BD51" i="47" s="1"/>
  <c r="BI49" i="47"/>
  <c r="BF49" i="47"/>
  <c r="BH49" i="47"/>
  <c r="BG49" i="47"/>
  <c r="BH62" i="54" l="1"/>
  <c r="BG62" i="54"/>
  <c r="BF62" i="54"/>
  <c r="BI62" i="54"/>
  <c r="BI63" i="54"/>
  <c r="BH63" i="54"/>
  <c r="BG63" i="54"/>
  <c r="BF63" i="54"/>
  <c r="BC57" i="52"/>
  <c r="BD56" i="52"/>
  <c r="BI55" i="52"/>
  <c r="BG55" i="52"/>
  <c r="BF55" i="52"/>
  <c r="BH55" i="52"/>
  <c r="BI56" i="51"/>
  <c r="BG56" i="51"/>
  <c r="BF56" i="51"/>
  <c r="BH56" i="51"/>
  <c r="BD57" i="51"/>
  <c r="BC58" i="51"/>
  <c r="BD54" i="50"/>
  <c r="BC55" i="50"/>
  <c r="BI53" i="50"/>
  <c r="BH53" i="50"/>
  <c r="BG53" i="50"/>
  <c r="BF53" i="50"/>
  <c r="BH56" i="49"/>
  <c r="BG56" i="49"/>
  <c r="BI56" i="49"/>
  <c r="BF56" i="49"/>
  <c r="BD57" i="49"/>
  <c r="BC58" i="49"/>
  <c r="BD52" i="43"/>
  <c r="BC53" i="43"/>
  <c r="BI51" i="43"/>
  <c r="BF51" i="43"/>
  <c r="BH51" i="43"/>
  <c r="BG51" i="43"/>
  <c r="BC53" i="40"/>
  <c r="BD52" i="40"/>
  <c r="BI51" i="40"/>
  <c r="BH51" i="40"/>
  <c r="BF51" i="40"/>
  <c r="BG51" i="40"/>
  <c r="BG50" i="34"/>
  <c r="BF50" i="34"/>
  <c r="BI50" i="34"/>
  <c r="BH50" i="34"/>
  <c r="BD51" i="34"/>
  <c r="BC52" i="34"/>
  <c r="BC53" i="45"/>
  <c r="BD52" i="45"/>
  <c r="BI51" i="45"/>
  <c r="BH51" i="45"/>
  <c r="BG51" i="45"/>
  <c r="BF51" i="45"/>
  <c r="BC53" i="46"/>
  <c r="BD52" i="46"/>
  <c r="BI51" i="46"/>
  <c r="BF51" i="46"/>
  <c r="BG51" i="46"/>
  <c r="BH51" i="46"/>
  <c r="BF50" i="47"/>
  <c r="BG50" i="47"/>
  <c r="BH50" i="47"/>
  <c r="BI50" i="47"/>
  <c r="BC52" i="47"/>
  <c r="BD52" i="47" s="1"/>
  <c r="BF56" i="52" l="1"/>
  <c r="BH56" i="52"/>
  <c r="BI56" i="52"/>
  <c r="BG56" i="52"/>
  <c r="BC58" i="52"/>
  <c r="BD57" i="52"/>
  <c r="BH57" i="51"/>
  <c r="BF57" i="51"/>
  <c r="BI57" i="51"/>
  <c r="BG57" i="51"/>
  <c r="BD58" i="51"/>
  <c r="BC59" i="51"/>
  <c r="BC56" i="50"/>
  <c r="BD55" i="50"/>
  <c r="BF54" i="50"/>
  <c r="BH54" i="50"/>
  <c r="BI54" i="50"/>
  <c r="BG54" i="50"/>
  <c r="BD58" i="49"/>
  <c r="BC59" i="49"/>
  <c r="BI57" i="49"/>
  <c r="BH57" i="49"/>
  <c r="BF57" i="49"/>
  <c r="BG57" i="49"/>
  <c r="BD53" i="43"/>
  <c r="BC54" i="43"/>
  <c r="BG52" i="43"/>
  <c r="BF52" i="43"/>
  <c r="BH52" i="43"/>
  <c r="BI52" i="43"/>
  <c r="BG52" i="40"/>
  <c r="BF52" i="40"/>
  <c r="BI52" i="40"/>
  <c r="BH52" i="40"/>
  <c r="BD53" i="40"/>
  <c r="BC54" i="40"/>
  <c r="BC53" i="34"/>
  <c r="BD52" i="34"/>
  <c r="BI51" i="34"/>
  <c r="BG51" i="34"/>
  <c r="BF51" i="34"/>
  <c r="BH51" i="34"/>
  <c r="BG52" i="45"/>
  <c r="BI52" i="45"/>
  <c r="BH52" i="45"/>
  <c r="BF52" i="45"/>
  <c r="BD53" i="45"/>
  <c r="BC54" i="45"/>
  <c r="BG52" i="46"/>
  <c r="BH52" i="46"/>
  <c r="BI52" i="46"/>
  <c r="BF52" i="46"/>
  <c r="BD53" i="46"/>
  <c r="BC54" i="46"/>
  <c r="BG51" i="47"/>
  <c r="BH51" i="47"/>
  <c r="BI51" i="47"/>
  <c r="BF51" i="47"/>
  <c r="BC53" i="47"/>
  <c r="BD53" i="47" s="1"/>
  <c r="BG57" i="52" l="1"/>
  <c r="BI57" i="52"/>
  <c r="BF57" i="52"/>
  <c r="BH57" i="52"/>
  <c r="BC59" i="52"/>
  <c r="BD58" i="52"/>
  <c r="BI58" i="51"/>
  <c r="BG58" i="51"/>
  <c r="BF58" i="51"/>
  <c r="BH58" i="51"/>
  <c r="BD59" i="51"/>
  <c r="BC60" i="51"/>
  <c r="BG55" i="50"/>
  <c r="BI55" i="50"/>
  <c r="BF55" i="50"/>
  <c r="BH55" i="50"/>
  <c r="BC57" i="50"/>
  <c r="BD56" i="50"/>
  <c r="BC60" i="49"/>
  <c r="BD59" i="49"/>
  <c r="BF58" i="49"/>
  <c r="BI58" i="49"/>
  <c r="BH58" i="49"/>
  <c r="BG58" i="49"/>
  <c r="BD54" i="43"/>
  <c r="BC55" i="43"/>
  <c r="BI53" i="43"/>
  <c r="BG53" i="43"/>
  <c r="BF53" i="43"/>
  <c r="BH53" i="43"/>
  <c r="BC55" i="40"/>
  <c r="BD54" i="40"/>
  <c r="BI53" i="40"/>
  <c r="BH53" i="40"/>
  <c r="BF53" i="40"/>
  <c r="BG53" i="40"/>
  <c r="BG52" i="34"/>
  <c r="BH52" i="34"/>
  <c r="BI52" i="34"/>
  <c r="BF52" i="34"/>
  <c r="BD53" i="34"/>
  <c r="BC54" i="34"/>
  <c r="BD54" i="45"/>
  <c r="BC55" i="45"/>
  <c r="BI53" i="45"/>
  <c r="BF53" i="45"/>
  <c r="BH53" i="45"/>
  <c r="BG53" i="45"/>
  <c r="BD54" i="46"/>
  <c r="BC55" i="46"/>
  <c r="BI53" i="46"/>
  <c r="BF53" i="46"/>
  <c r="BG53" i="46"/>
  <c r="BH53" i="46"/>
  <c r="BC54" i="47"/>
  <c r="BD54" i="47" s="1"/>
  <c r="BH52" i="47"/>
  <c r="BI52" i="47"/>
  <c r="BF52" i="47"/>
  <c r="BG52" i="47"/>
  <c r="BH58" i="52" l="1"/>
  <c r="BF58" i="52"/>
  <c r="BI58" i="52"/>
  <c r="BG58" i="52"/>
  <c r="BC60" i="52"/>
  <c r="BD59" i="52"/>
  <c r="BG59" i="51"/>
  <c r="BI59" i="51"/>
  <c r="BH59" i="51"/>
  <c r="BF59" i="51"/>
  <c r="BD60" i="51"/>
  <c r="BC61" i="51"/>
  <c r="BH56" i="50"/>
  <c r="BG56" i="50"/>
  <c r="BF56" i="50"/>
  <c r="BI56" i="50"/>
  <c r="BD57" i="50"/>
  <c r="BC58" i="50"/>
  <c r="BG59" i="49"/>
  <c r="BF59" i="49"/>
  <c r="BI59" i="49"/>
  <c r="BH59" i="49"/>
  <c r="BD60" i="49"/>
  <c r="BC61" i="49"/>
  <c r="BD55" i="43"/>
  <c r="BC56" i="43"/>
  <c r="BG54" i="43"/>
  <c r="BH54" i="43"/>
  <c r="BF54" i="43"/>
  <c r="BI54" i="43"/>
  <c r="BG54" i="40"/>
  <c r="BF54" i="40"/>
  <c r="BI54" i="40"/>
  <c r="BH54" i="40"/>
  <c r="BD55" i="40"/>
  <c r="BC56" i="40"/>
  <c r="BD54" i="34"/>
  <c r="BC55" i="34"/>
  <c r="BI53" i="34"/>
  <c r="BF53" i="34"/>
  <c r="BG53" i="34"/>
  <c r="BH53" i="34"/>
  <c r="BD55" i="45"/>
  <c r="BC56" i="45"/>
  <c r="BG54" i="45"/>
  <c r="BF54" i="45"/>
  <c r="BH54" i="45"/>
  <c r="BI54" i="45"/>
  <c r="BD55" i="46"/>
  <c r="BC56" i="46"/>
  <c r="BG54" i="46"/>
  <c r="BH54" i="46"/>
  <c r="BI54" i="46"/>
  <c r="BF54" i="46"/>
  <c r="BC55" i="47"/>
  <c r="BD55" i="47" s="1"/>
  <c r="BI53" i="47"/>
  <c r="BF53" i="47"/>
  <c r="BH53" i="47"/>
  <c r="BG53" i="47"/>
  <c r="BF59" i="52" l="1"/>
  <c r="BH59" i="52"/>
  <c r="BI59" i="52"/>
  <c r="BG59" i="52"/>
  <c r="BC61" i="52"/>
  <c r="BD60" i="52"/>
  <c r="BI60" i="51"/>
  <c r="BG60" i="51"/>
  <c r="BF60" i="51"/>
  <c r="BH60" i="51"/>
  <c r="BC62" i="51"/>
  <c r="BD61" i="51"/>
  <c r="BD58" i="50"/>
  <c r="BC59" i="50"/>
  <c r="BI57" i="50"/>
  <c r="BH57" i="50"/>
  <c r="BG57" i="50"/>
  <c r="BF57" i="50"/>
  <c r="BC62" i="49"/>
  <c r="BD61" i="49"/>
  <c r="BI60" i="49"/>
  <c r="BH60" i="49"/>
  <c r="BF60" i="49"/>
  <c r="BG60" i="49"/>
  <c r="BC57" i="43"/>
  <c r="BD56" i="43"/>
  <c r="BI55" i="43"/>
  <c r="BH55" i="43"/>
  <c r="BG55" i="43"/>
  <c r="BF55" i="43"/>
  <c r="BI55" i="40"/>
  <c r="BH55" i="40"/>
  <c r="BG55" i="40"/>
  <c r="BF55" i="40"/>
  <c r="BC57" i="40"/>
  <c r="BD56" i="40"/>
  <c r="BD55" i="34"/>
  <c r="BC56" i="34"/>
  <c r="BG54" i="34"/>
  <c r="BH54" i="34"/>
  <c r="BI54" i="34"/>
  <c r="BF54" i="34"/>
  <c r="BD56" i="45"/>
  <c r="BC57" i="45"/>
  <c r="BI55" i="45"/>
  <c r="BF55" i="45"/>
  <c r="BG55" i="45"/>
  <c r="BH55" i="45"/>
  <c r="BD56" i="46"/>
  <c r="BC57" i="46"/>
  <c r="BI55" i="46"/>
  <c r="BF55" i="46"/>
  <c r="BH55" i="46"/>
  <c r="BG55" i="46"/>
  <c r="BF54" i="47"/>
  <c r="BG54" i="47"/>
  <c r="BH54" i="47"/>
  <c r="BI54" i="47"/>
  <c r="BC56" i="47"/>
  <c r="BD56" i="47" s="1"/>
  <c r="BH60" i="52" l="1"/>
  <c r="BF60" i="52"/>
  <c r="BI60" i="52"/>
  <c r="BG60" i="52"/>
  <c r="BC62" i="52"/>
  <c r="BD61" i="52"/>
  <c r="BG61" i="51"/>
  <c r="BI61" i="51"/>
  <c r="BH61" i="51"/>
  <c r="BF61" i="51"/>
  <c r="BC63" i="51"/>
  <c r="BD63" i="51" s="1"/>
  <c r="BD62" i="51"/>
  <c r="BC60" i="50"/>
  <c r="BD59" i="50"/>
  <c r="BF58" i="50"/>
  <c r="BH58" i="50"/>
  <c r="BI58" i="50"/>
  <c r="BG58" i="50"/>
  <c r="BG61" i="49"/>
  <c r="BF61" i="49"/>
  <c r="BH61" i="49"/>
  <c r="BI61" i="49"/>
  <c r="BC63" i="49"/>
  <c r="BD63" i="49" s="1"/>
  <c r="BD62" i="49"/>
  <c r="BG56" i="43"/>
  <c r="BI56" i="43"/>
  <c r="BH56" i="43"/>
  <c r="BF56" i="43"/>
  <c r="BD57" i="43"/>
  <c r="BC58" i="43"/>
  <c r="BG56" i="40"/>
  <c r="BF56" i="40"/>
  <c r="BH56" i="40"/>
  <c r="BI56" i="40"/>
  <c r="BD57" i="40"/>
  <c r="BC58" i="40"/>
  <c r="BD56" i="34"/>
  <c r="BC57" i="34"/>
  <c r="BI55" i="34"/>
  <c r="BF55" i="34"/>
  <c r="BH55" i="34"/>
  <c r="BG55" i="34"/>
  <c r="BD57" i="45"/>
  <c r="BC58" i="45"/>
  <c r="BG56" i="45"/>
  <c r="BF56" i="45"/>
  <c r="BH56" i="45"/>
  <c r="BI56" i="45"/>
  <c r="BD57" i="46"/>
  <c r="BC58" i="46"/>
  <c r="BG56" i="46"/>
  <c r="BH56" i="46"/>
  <c r="BF56" i="46"/>
  <c r="BI56" i="46"/>
  <c r="BG55" i="47"/>
  <c r="BH55" i="47"/>
  <c r="BI55" i="47"/>
  <c r="BF55" i="47"/>
  <c r="BC57" i="47"/>
  <c r="BD57" i="47" s="1"/>
  <c r="BF61" i="52" l="1"/>
  <c r="BH61" i="52"/>
  <c r="BI61" i="52"/>
  <c r="BG61" i="52"/>
  <c r="BC63" i="52"/>
  <c r="BD63" i="52" s="1"/>
  <c r="BD62" i="52"/>
  <c r="BH62" i="51"/>
  <c r="BF62" i="51"/>
  <c r="BG62" i="51"/>
  <c r="BI62" i="51"/>
  <c r="BI63" i="51"/>
  <c r="BG63" i="51"/>
  <c r="BH63" i="51"/>
  <c r="BF63" i="51"/>
  <c r="BG59" i="50"/>
  <c r="BF59" i="50"/>
  <c r="BI59" i="50"/>
  <c r="BH59" i="50"/>
  <c r="BD60" i="50"/>
  <c r="BC61" i="50"/>
  <c r="BH62" i="49"/>
  <c r="BG62" i="49"/>
  <c r="BI62" i="49"/>
  <c r="BF62" i="49"/>
  <c r="BI63" i="49"/>
  <c r="BH63" i="49"/>
  <c r="BF63" i="49"/>
  <c r="BG63" i="49"/>
  <c r="BD58" i="43"/>
  <c r="BC59" i="43"/>
  <c r="BI57" i="43"/>
  <c r="BH57" i="43"/>
  <c r="BG57" i="43"/>
  <c r="BF57" i="43"/>
  <c r="BI57" i="40"/>
  <c r="BH57" i="40"/>
  <c r="BF57" i="40"/>
  <c r="BG57" i="40"/>
  <c r="BC59" i="40"/>
  <c r="BD58" i="40"/>
  <c r="BD57" i="34"/>
  <c r="BC58" i="34"/>
  <c r="BG56" i="34"/>
  <c r="BH56" i="34"/>
  <c r="BF56" i="34"/>
  <c r="BI56" i="34"/>
  <c r="BC59" i="45"/>
  <c r="BD58" i="45"/>
  <c r="BI57" i="45"/>
  <c r="BG57" i="45"/>
  <c r="BH57" i="45"/>
  <c r="BF57" i="45"/>
  <c r="BC59" i="46"/>
  <c r="BD58" i="46"/>
  <c r="BI57" i="46"/>
  <c r="BF57" i="46"/>
  <c r="BH57" i="46"/>
  <c r="BG57" i="46"/>
  <c r="BC58" i="47"/>
  <c r="BD58" i="47" s="1"/>
  <c r="BH56" i="47"/>
  <c r="BI56" i="47"/>
  <c r="BF56" i="47"/>
  <c r="BG56" i="47"/>
  <c r="BG62" i="52" l="1"/>
  <c r="BI62" i="52"/>
  <c r="BF62" i="52"/>
  <c r="BH62" i="52"/>
  <c r="BH63" i="52"/>
  <c r="BF63" i="52"/>
  <c r="BI63" i="52"/>
  <c r="BG63" i="52"/>
  <c r="BC62" i="50"/>
  <c r="BD61" i="50"/>
  <c r="BI60" i="50"/>
  <c r="BH60" i="50"/>
  <c r="BG60" i="50"/>
  <c r="BF60" i="50"/>
  <c r="BD59" i="43"/>
  <c r="BC60" i="43"/>
  <c r="BG58" i="43"/>
  <c r="BI58" i="43"/>
  <c r="BH58" i="43"/>
  <c r="BF58" i="43"/>
  <c r="BG58" i="40"/>
  <c r="BF58" i="40"/>
  <c r="BH58" i="40"/>
  <c r="BI58" i="40"/>
  <c r="BD59" i="40"/>
  <c r="BC60" i="40"/>
  <c r="BC59" i="34"/>
  <c r="BD58" i="34"/>
  <c r="BI57" i="34"/>
  <c r="BF57" i="34"/>
  <c r="BG57" i="34"/>
  <c r="BH57" i="34"/>
  <c r="BG58" i="45"/>
  <c r="BH58" i="45"/>
  <c r="BI58" i="45"/>
  <c r="BF58" i="45"/>
  <c r="BD59" i="45"/>
  <c r="BC60" i="45"/>
  <c r="BG58" i="46"/>
  <c r="BH58" i="46"/>
  <c r="BF58" i="46"/>
  <c r="BI58" i="46"/>
  <c r="BD59" i="46"/>
  <c r="BC60" i="46"/>
  <c r="BC59" i="47"/>
  <c r="BD59" i="47" s="1"/>
  <c r="BI57" i="47"/>
  <c r="BF57" i="47"/>
  <c r="BH57" i="47"/>
  <c r="BG57" i="47"/>
  <c r="BG61" i="50" l="1"/>
  <c r="BF61" i="50"/>
  <c r="BI61" i="50"/>
  <c r="BH61" i="50"/>
  <c r="BC63" i="50"/>
  <c r="BD63" i="50" s="1"/>
  <c r="BD62" i="50"/>
  <c r="BD60" i="43"/>
  <c r="BC61" i="43"/>
  <c r="BI59" i="43"/>
  <c r="BF59" i="43"/>
  <c r="BH59" i="43"/>
  <c r="BG59" i="43"/>
  <c r="BC61" i="40"/>
  <c r="BD60" i="40"/>
  <c r="BI59" i="40"/>
  <c r="BH59" i="40"/>
  <c r="BF59" i="40"/>
  <c r="BG59" i="40"/>
  <c r="BG58" i="34"/>
  <c r="BH58" i="34"/>
  <c r="BF58" i="34"/>
  <c r="BI58" i="34"/>
  <c r="BD59" i="34"/>
  <c r="BC60" i="34"/>
  <c r="BC61" i="45"/>
  <c r="BD60" i="45"/>
  <c r="BI59" i="45"/>
  <c r="BH59" i="45"/>
  <c r="BF59" i="45"/>
  <c r="BG59" i="45"/>
  <c r="BI59" i="46"/>
  <c r="BF59" i="46"/>
  <c r="BH59" i="46"/>
  <c r="BG59" i="46"/>
  <c r="BC61" i="46"/>
  <c r="BD60" i="46"/>
  <c r="BF58" i="47"/>
  <c r="BG58" i="47"/>
  <c r="BH58" i="47"/>
  <c r="BI58" i="47"/>
  <c r="BC60" i="47"/>
  <c r="BD60" i="47" s="1"/>
  <c r="BH62" i="50" l="1"/>
  <c r="BF62" i="50"/>
  <c r="BG62" i="50"/>
  <c r="BI62" i="50"/>
  <c r="BI63" i="50"/>
  <c r="BG63" i="50"/>
  <c r="BH63" i="50"/>
  <c r="BF63" i="50"/>
  <c r="BD61" i="43"/>
  <c r="BC62" i="43"/>
  <c r="BG60" i="43"/>
  <c r="BF60" i="43"/>
  <c r="BH60" i="43"/>
  <c r="BI60" i="43"/>
  <c r="BG60" i="40"/>
  <c r="BF60" i="40"/>
  <c r="BI60" i="40"/>
  <c r="BH60" i="40"/>
  <c r="BD61" i="40"/>
  <c r="BC62" i="40"/>
  <c r="BC61" i="34"/>
  <c r="BD60" i="34"/>
  <c r="BI59" i="34"/>
  <c r="BF59" i="34"/>
  <c r="BG59" i="34"/>
  <c r="BH59" i="34"/>
  <c r="BG60" i="45"/>
  <c r="BF60" i="45"/>
  <c r="BI60" i="45"/>
  <c r="BH60" i="45"/>
  <c r="BD61" i="45"/>
  <c r="BC62" i="45"/>
  <c r="BG60" i="46"/>
  <c r="BH60" i="46"/>
  <c r="BI60" i="46"/>
  <c r="BF60" i="46"/>
  <c r="BD61" i="46"/>
  <c r="BC62" i="46"/>
  <c r="BG59" i="47"/>
  <c r="BH59" i="47"/>
  <c r="BI59" i="47"/>
  <c r="BF59" i="47"/>
  <c r="BC61" i="47"/>
  <c r="BD61" i="47" s="1"/>
  <c r="BD62" i="43" l="1"/>
  <c r="BC63" i="43"/>
  <c r="BD63" i="43" s="1"/>
  <c r="BI61" i="43"/>
  <c r="BG61" i="43"/>
  <c r="BF61" i="43"/>
  <c r="BH61" i="43"/>
  <c r="BC63" i="40"/>
  <c r="BD63" i="40" s="1"/>
  <c r="BD62" i="40"/>
  <c r="BI61" i="40"/>
  <c r="BH61" i="40"/>
  <c r="BF61" i="40"/>
  <c r="BG61" i="40"/>
  <c r="BG60" i="34"/>
  <c r="BH60" i="34"/>
  <c r="BI60" i="34"/>
  <c r="BF60" i="34"/>
  <c r="BD61" i="34"/>
  <c r="BC62" i="34"/>
  <c r="BC63" i="45"/>
  <c r="BD63" i="45" s="1"/>
  <c r="BD62" i="45"/>
  <c r="BI61" i="45"/>
  <c r="BH61" i="45"/>
  <c r="BF61" i="45"/>
  <c r="BG61" i="45"/>
  <c r="BC63" i="46"/>
  <c r="BD63" i="46" s="1"/>
  <c r="BD62" i="46"/>
  <c r="BI61" i="46"/>
  <c r="BF61" i="46"/>
  <c r="BG61" i="46"/>
  <c r="BH61" i="46"/>
  <c r="BC62" i="47"/>
  <c r="BD62" i="47" s="1"/>
  <c r="BI60" i="47"/>
  <c r="BF60" i="47"/>
  <c r="BG60" i="47"/>
  <c r="BH60" i="47"/>
  <c r="BI63" i="43" l="1"/>
  <c r="BH63" i="43"/>
  <c r="BG63" i="43"/>
  <c r="BF63" i="43"/>
  <c r="BG62" i="43"/>
  <c r="BH62" i="43"/>
  <c r="BF62" i="43"/>
  <c r="BI62" i="43"/>
  <c r="BG62" i="40"/>
  <c r="BF62" i="40"/>
  <c r="BH62" i="40"/>
  <c r="BI62" i="40"/>
  <c r="BI63" i="40"/>
  <c r="BH63" i="40"/>
  <c r="BG63" i="40"/>
  <c r="BF63" i="40"/>
  <c r="BD62" i="34"/>
  <c r="BC63" i="34"/>
  <c r="BD63" i="34" s="1"/>
  <c r="BI61" i="34"/>
  <c r="BF61" i="34"/>
  <c r="BG61" i="34"/>
  <c r="BH61" i="34"/>
  <c r="BG62" i="45"/>
  <c r="BF62" i="45"/>
  <c r="BH62" i="45"/>
  <c r="BI62" i="45"/>
  <c r="BI63" i="45"/>
  <c r="BH63" i="45"/>
  <c r="BG63" i="45"/>
  <c r="BF63" i="45"/>
  <c r="BG62" i="46"/>
  <c r="BH62" i="46"/>
  <c r="BI62" i="46"/>
  <c r="BF62" i="46"/>
  <c r="BI63" i="46"/>
  <c r="BF63" i="46"/>
  <c r="BH63" i="46"/>
  <c r="BG63" i="46"/>
  <c r="BF62" i="47"/>
  <c r="BC63" i="47"/>
  <c r="BD63" i="47" s="1"/>
  <c r="BG61" i="47"/>
  <c r="BH61" i="47"/>
  <c r="BF61" i="47"/>
  <c r="BI61" i="47"/>
  <c r="BG62" i="47"/>
  <c r="BI63" i="34" l="1"/>
  <c r="BF63" i="34"/>
  <c r="BH63" i="34"/>
  <c r="BG63" i="34"/>
  <c r="BG62" i="34"/>
  <c r="BH62" i="34"/>
  <c r="BF62" i="34"/>
  <c r="BI62" i="34"/>
  <c r="BI62" i="47"/>
  <c r="BH62" i="47"/>
  <c r="BI63" i="47"/>
  <c r="BG63" i="47"/>
  <c r="BF63" i="47"/>
  <c r="BH63" i="47"/>
  <c r="AH67" i="40" l="1"/>
  <c r="AH66" i="40"/>
  <c r="AH65" i="40"/>
  <c r="AG67" i="40"/>
  <c r="AG66" i="40"/>
  <c r="AG65" i="40"/>
  <c r="AF67" i="40" l="1"/>
  <c r="AF66" i="40"/>
  <c r="AF65" i="40"/>
  <c r="G61" i="40"/>
  <c r="G60" i="40"/>
  <c r="L16" i="40" a="1"/>
  <c r="L16" i="40" s="1"/>
  <c r="L13" i="40"/>
  <c r="L12" i="40"/>
  <c r="L11" i="40"/>
  <c r="L10" i="40"/>
  <c r="L9" i="40"/>
  <c r="L8" i="40"/>
  <c r="AF7" i="40"/>
  <c r="AF8" i="40" s="1"/>
  <c r="AF9" i="40" s="1"/>
  <c r="AF10" i="40" s="1"/>
  <c r="AF11" i="40" s="1"/>
  <c r="AF12" i="40" s="1"/>
  <c r="AF13" i="40" s="1"/>
  <c r="AF14" i="40" s="1"/>
  <c r="AF15" i="40" s="1"/>
  <c r="AF16" i="40" s="1"/>
  <c r="AF17" i="40" s="1"/>
  <c r="AF18" i="40" s="1"/>
  <c r="AF19" i="40" s="1"/>
  <c r="AF20" i="40" s="1"/>
  <c r="AF21" i="40" s="1"/>
  <c r="AF22" i="40" s="1"/>
  <c r="AF23" i="40" s="1"/>
  <c r="AF24" i="40" s="1"/>
  <c r="AF25" i="40" s="1"/>
  <c r="AF26" i="40" s="1"/>
  <c r="AF27" i="40" s="1"/>
  <c r="AF28" i="40" s="1"/>
  <c r="AF29" i="40" s="1"/>
  <c r="AF30" i="40" s="1"/>
  <c r="AF31" i="40" s="1"/>
  <c r="AF32" i="40" s="1"/>
  <c r="AF33" i="40" s="1"/>
  <c r="AF34" i="40" s="1"/>
  <c r="AF35" i="40" s="1"/>
  <c r="AF36" i="40" s="1"/>
  <c r="AF37" i="40" s="1"/>
  <c r="AF38" i="40" s="1"/>
  <c r="AF39" i="40" s="1"/>
  <c r="AF40" i="40" s="1"/>
  <c r="AF41" i="40" s="1"/>
  <c r="AF42" i="40" s="1"/>
  <c r="AF43" i="40" s="1"/>
  <c r="AF44" i="40" s="1"/>
  <c r="AF45" i="40" s="1"/>
  <c r="AF46" i="40" s="1"/>
  <c r="AF47" i="40" s="1"/>
  <c r="AF48" i="40" s="1"/>
  <c r="AF49" i="40" s="1"/>
  <c r="AF50" i="40" s="1"/>
  <c r="AF51" i="40" s="1"/>
  <c r="AF52" i="40" s="1"/>
  <c r="AF53" i="40" s="1"/>
  <c r="AF54" i="40" s="1"/>
  <c r="AF55" i="40" s="1"/>
  <c r="AF56" i="40" s="1"/>
  <c r="AF57" i="40" s="1"/>
  <c r="AF58" i="40" s="1"/>
  <c r="AF59" i="40" s="1"/>
  <c r="AF60" i="40" s="1"/>
  <c r="AF61" i="40" s="1"/>
  <c r="AF62" i="40" s="1"/>
  <c r="AF63" i="40" s="1"/>
  <c r="AF64" i="40" s="1"/>
  <c r="AK4" i="40"/>
  <c r="G3" i="40"/>
  <c r="AJ2" i="40"/>
  <c r="E2" i="40"/>
  <c r="E3" i="40" s="1"/>
  <c r="G14" i="40"/>
  <c r="AJ61" i="40"/>
  <c r="AK2" i="40" l="1"/>
  <c r="AL4" i="40"/>
  <c r="AL2" i="40" s="1"/>
  <c r="AL61" i="40"/>
  <c r="AK61" i="40"/>
  <c r="L14" i="40"/>
  <c r="M10" i="40" s="1"/>
  <c r="G10" i="40"/>
  <c r="AJ57" i="40"/>
  <c r="G16" i="40"/>
  <c r="G9" i="40"/>
  <c r="G54" i="40"/>
  <c r="AJ59" i="40"/>
  <c r="AJ47" i="40"/>
  <c r="AJ9" i="40"/>
  <c r="G21" i="40"/>
  <c r="G25" i="40"/>
  <c r="AJ38" i="40"/>
  <c r="AJ15" i="40"/>
  <c r="G27" i="40"/>
  <c r="E14" i="40"/>
  <c r="AJ16" i="40"/>
  <c r="G39" i="40"/>
  <c r="G40" i="40"/>
  <c r="AJ46" i="40"/>
  <c r="AJ50" i="40"/>
  <c r="G58" i="40"/>
  <c r="G17" i="40"/>
  <c r="AJ27" i="40"/>
  <c r="G38" i="40"/>
  <c r="G63" i="40"/>
  <c r="G15" i="40"/>
  <c r="AJ58" i="40"/>
  <c r="G24" i="40"/>
  <c r="AJ63" i="40"/>
  <c r="AJ12" i="40"/>
  <c r="AJ13" i="40"/>
  <c r="G51" i="40"/>
  <c r="G26" i="40"/>
  <c r="G42" i="40"/>
  <c r="G48" i="40"/>
  <c r="AJ36" i="40"/>
  <c r="AJ51" i="40"/>
  <c r="AJ26" i="40"/>
  <c r="G7" i="40"/>
  <c r="AJ56" i="40"/>
  <c r="G64" i="40"/>
  <c r="AJ7" i="40"/>
  <c r="G11" i="40"/>
  <c r="AJ14" i="40"/>
  <c r="AJ17" i="40"/>
  <c r="AJ18" i="40"/>
  <c r="AJ10" i="40"/>
  <c r="AJ44" i="40"/>
  <c r="G18" i="40"/>
  <c r="G23" i="40"/>
  <c r="G47" i="40"/>
  <c r="AJ49" i="40"/>
  <c r="AJ54" i="40"/>
  <c r="G45" i="40"/>
  <c r="AJ60" i="40"/>
  <c r="G19" i="40"/>
  <c r="AJ52" i="40"/>
  <c r="AJ62" i="40"/>
  <c r="G59" i="40"/>
  <c r="AJ42" i="40"/>
  <c r="AJ39" i="40"/>
  <c r="G49" i="40"/>
  <c r="AJ43" i="40"/>
  <c r="G22" i="40"/>
  <c r="AJ24" i="40"/>
  <c r="AJ33" i="40"/>
  <c r="G31" i="40"/>
  <c r="G41" i="40"/>
  <c r="AJ20" i="40"/>
  <c r="AJ21" i="40"/>
  <c r="AJ67" i="40"/>
  <c r="G43" i="40"/>
  <c r="AJ66" i="40"/>
  <c r="AJ48" i="40"/>
  <c r="G30" i="40"/>
  <c r="AJ65" i="40"/>
  <c r="G37" i="40"/>
  <c r="G52" i="40"/>
  <c r="AJ35" i="40"/>
  <c r="AJ29" i="40"/>
  <c r="G36" i="40"/>
  <c r="AJ8" i="40"/>
  <c r="AJ34" i="40"/>
  <c r="G29" i="40"/>
  <c r="AJ22" i="40"/>
  <c r="AJ37" i="40"/>
  <c r="G13" i="40"/>
  <c r="AJ28" i="40"/>
  <c r="G53" i="40"/>
  <c r="AJ55" i="40"/>
  <c r="G56" i="40"/>
  <c r="AJ25" i="40"/>
  <c r="AJ41" i="40"/>
  <c r="G35" i="40"/>
  <c r="AJ40" i="40"/>
  <c r="AJ64" i="40"/>
  <c r="G33" i="40"/>
  <c r="AJ32" i="40"/>
  <c r="AJ53" i="40"/>
  <c r="G12" i="40"/>
  <c r="G55" i="40"/>
  <c r="AJ23" i="40"/>
  <c r="G57" i="40"/>
  <c r="G32" i="40"/>
  <c r="AJ31" i="40"/>
  <c r="G50" i="40"/>
  <c r="G28" i="40"/>
  <c r="AJ30" i="40"/>
  <c r="AJ11" i="40"/>
  <c r="G44" i="40"/>
  <c r="AJ45" i="40"/>
  <c r="G62" i="40"/>
  <c r="G65" i="40"/>
  <c r="G34" i="40"/>
  <c r="G46" i="40"/>
  <c r="G8" i="40"/>
  <c r="AJ19" i="40"/>
  <c r="G20" i="40"/>
  <c r="AG61" i="40" l="1"/>
  <c r="AH61" i="40"/>
  <c r="AL60" i="40"/>
  <c r="AL66" i="40"/>
  <c r="AL67" i="40"/>
  <c r="AK60" i="40"/>
  <c r="AK66" i="40"/>
  <c r="AK67" i="40"/>
  <c r="AM61" i="40"/>
  <c r="M13" i="40"/>
  <c r="M9" i="40"/>
  <c r="M14" i="40"/>
  <c r="C79" i="40"/>
  <c r="Y14" i="40"/>
  <c r="L5" i="40"/>
  <c r="M12" i="40"/>
  <c r="M11" i="40"/>
  <c r="M8" i="40"/>
  <c r="AL39" i="40"/>
  <c r="AK9" i="40"/>
  <c r="AL62" i="40"/>
  <c r="AK11" i="40"/>
  <c r="AK40" i="40"/>
  <c r="E53" i="40"/>
  <c r="AL51" i="40"/>
  <c r="AL31" i="40"/>
  <c r="AL30" i="40"/>
  <c r="E27" i="40"/>
  <c r="AL35" i="40"/>
  <c r="AL53" i="40"/>
  <c r="AK50" i="40"/>
  <c r="E35" i="40"/>
  <c r="AL8" i="40"/>
  <c r="AK42" i="40"/>
  <c r="E65" i="40"/>
  <c r="AK32" i="40"/>
  <c r="AK46" i="40"/>
  <c r="AK62" i="40"/>
  <c r="AK21" i="40"/>
  <c r="E11" i="40"/>
  <c r="E33" i="40"/>
  <c r="E39" i="40"/>
  <c r="AL13" i="40"/>
  <c r="E50" i="40"/>
  <c r="E7" i="40"/>
  <c r="AL56" i="40"/>
  <c r="AL64" i="40"/>
  <c r="AL28" i="40"/>
  <c r="E23" i="40"/>
  <c r="AK53" i="40"/>
  <c r="AK10" i="40"/>
  <c r="AK15" i="40"/>
  <c r="AK29" i="40"/>
  <c r="AL14" i="40"/>
  <c r="AK27" i="40"/>
  <c r="E45" i="40"/>
  <c r="E57" i="40"/>
  <c r="E38" i="40"/>
  <c r="E40" i="40"/>
  <c r="AL63" i="40"/>
  <c r="E51" i="40"/>
  <c r="E43" i="40"/>
  <c r="AL57" i="40"/>
  <c r="AL52" i="40"/>
  <c r="E32" i="40"/>
  <c r="AL44" i="40"/>
  <c r="AL11" i="40"/>
  <c r="E20" i="40"/>
  <c r="E24" i="40"/>
  <c r="AK47" i="40"/>
  <c r="AL37" i="40"/>
  <c r="AK20" i="40"/>
  <c r="AK25" i="40"/>
  <c r="AL42" i="40"/>
  <c r="AK58" i="40"/>
  <c r="AL36" i="40"/>
  <c r="AL59" i="40"/>
  <c r="AK37" i="40"/>
  <c r="AK36" i="40"/>
  <c r="E58" i="40"/>
  <c r="AK8" i="40"/>
  <c r="AK51" i="40"/>
  <c r="E59" i="40"/>
  <c r="AK63" i="40"/>
  <c r="E46" i="40"/>
  <c r="E54" i="40"/>
  <c r="AK7" i="40"/>
  <c r="E41" i="40"/>
  <c r="E64" i="40"/>
  <c r="E28" i="40"/>
  <c r="AL40" i="40"/>
  <c r="AL45" i="40"/>
  <c r="AL32" i="40"/>
  <c r="AL7" i="40"/>
  <c r="E8" i="40"/>
  <c r="E15" i="40"/>
  <c r="E49" i="40"/>
  <c r="AL10" i="40"/>
  <c r="E47" i="40"/>
  <c r="AK24" i="40"/>
  <c r="E34" i="40"/>
  <c r="E56" i="40"/>
  <c r="AK26" i="40"/>
  <c r="E25" i="40"/>
  <c r="AL26" i="40"/>
  <c r="AK23" i="40"/>
  <c r="AK38" i="40"/>
  <c r="AK39" i="40"/>
  <c r="AK22" i="40"/>
  <c r="AL47" i="40"/>
  <c r="E12" i="40"/>
  <c r="AL20" i="40"/>
  <c r="E52" i="40"/>
  <c r="AK16" i="40"/>
  <c r="AL23" i="40"/>
  <c r="AK31" i="40"/>
  <c r="AL49" i="40"/>
  <c r="AK49" i="40"/>
  <c r="AL50" i="40"/>
  <c r="AL24" i="40"/>
  <c r="AK41" i="40"/>
  <c r="AK14" i="40"/>
  <c r="E22" i="40"/>
  <c r="E31" i="40"/>
  <c r="E10" i="40"/>
  <c r="E17" i="40"/>
  <c r="E29" i="40"/>
  <c r="AK43" i="40"/>
  <c r="AL15" i="40"/>
  <c r="E37" i="40"/>
  <c r="E42" i="40"/>
  <c r="AK34" i="40"/>
  <c r="AK54" i="40"/>
  <c r="E26" i="40"/>
  <c r="AL21" i="40"/>
  <c r="E36" i="40"/>
  <c r="AK19" i="40"/>
  <c r="E21" i="40"/>
  <c r="AK48" i="40"/>
  <c r="AL12" i="40"/>
  <c r="E18" i="40"/>
  <c r="AL54" i="40"/>
  <c r="AK45" i="40"/>
  <c r="AK55" i="40"/>
  <c r="AL55" i="40"/>
  <c r="AK35" i="40"/>
  <c r="E48" i="40"/>
  <c r="E16" i="40"/>
  <c r="AL16" i="40"/>
  <c r="AK18" i="40"/>
  <c r="AK52" i="40"/>
  <c r="E30" i="40"/>
  <c r="AL48" i="40"/>
  <c r="AL25" i="40"/>
  <c r="AL9" i="40"/>
  <c r="AK64" i="40"/>
  <c r="E55" i="40"/>
  <c r="AK65" i="40"/>
  <c r="E62" i="40"/>
  <c r="E44" i="40"/>
  <c r="AL46" i="40"/>
  <c r="AL41" i="40"/>
  <c r="AK12" i="40"/>
  <c r="E19" i="40"/>
  <c r="AK30" i="40"/>
  <c r="AK44" i="40"/>
  <c r="E13" i="40"/>
  <c r="AK17" i="40"/>
  <c r="AL43" i="40"/>
  <c r="AL65" i="40"/>
  <c r="E63" i="40"/>
  <c r="AK28" i="40"/>
  <c r="AL38" i="40"/>
  <c r="AL19" i="40"/>
  <c r="AL33" i="40"/>
  <c r="AL27" i="40"/>
  <c r="AK13" i="40"/>
  <c r="AK33" i="40"/>
  <c r="AL34" i="40"/>
  <c r="AL58" i="40"/>
  <c r="AL18" i="40"/>
  <c r="AK57" i="40"/>
  <c r="AL17" i="40"/>
  <c r="AK59" i="40"/>
  <c r="AL29" i="40"/>
  <c r="AL22" i="40"/>
  <c r="AK56" i="40"/>
  <c r="E9" i="40"/>
  <c r="AG11" i="40" l="1"/>
  <c r="AH11" i="40"/>
  <c r="AH15" i="40"/>
  <c r="AG15" i="40"/>
  <c r="AG40" i="40"/>
  <c r="AH40" i="40"/>
  <c r="AM32" i="40"/>
  <c r="AM16" i="40"/>
  <c r="AH16" i="40"/>
  <c r="AG16" i="40"/>
  <c r="AM36" i="40"/>
  <c r="AG35" i="40"/>
  <c r="AH35" i="40"/>
  <c r="AG36" i="40"/>
  <c r="AH36" i="40"/>
  <c r="AG31" i="40"/>
  <c r="AH31" i="40"/>
  <c r="AM20" i="40"/>
  <c r="AM11" i="40"/>
  <c r="AM39" i="40"/>
  <c r="AM27" i="40"/>
  <c r="AM15" i="40"/>
  <c r="AM23" i="40"/>
  <c r="AM24" i="40"/>
  <c r="AH19" i="40"/>
  <c r="AG19" i="40"/>
  <c r="AH32" i="40"/>
  <c r="AG32" i="40"/>
  <c r="AH27" i="40"/>
  <c r="AG27" i="40"/>
  <c r="AM14" i="40"/>
  <c r="AH28" i="40"/>
  <c r="AG28" i="40"/>
  <c r="AH20" i="40"/>
  <c r="AG20" i="40"/>
  <c r="AM35" i="40"/>
  <c r="AM28" i="40"/>
  <c r="AM19" i="40"/>
  <c r="AH39" i="40"/>
  <c r="AG39" i="40"/>
  <c r="AH24" i="40"/>
  <c r="AG24" i="40"/>
  <c r="AH23" i="40"/>
  <c r="AG23" i="40"/>
  <c r="AM31" i="40"/>
  <c r="AM40" i="40"/>
  <c r="AH14" i="40"/>
  <c r="AG14" i="40"/>
  <c r="AH60" i="40"/>
  <c r="AG60" i="40"/>
  <c r="AH9" i="40"/>
  <c r="AH58" i="40"/>
  <c r="AH52" i="40"/>
  <c r="AH50" i="40"/>
  <c r="AH33" i="40"/>
  <c r="AH49" i="40"/>
  <c r="AH22" i="40"/>
  <c r="AH54" i="40"/>
  <c r="AH37" i="40"/>
  <c r="AH48" i="40"/>
  <c r="AH59" i="40"/>
  <c r="AH26" i="40"/>
  <c r="AH42" i="40"/>
  <c r="AH17" i="40"/>
  <c r="AH25" i="40"/>
  <c r="AH45" i="40"/>
  <c r="AH18" i="40"/>
  <c r="AH38" i="40"/>
  <c r="AH10" i="40"/>
  <c r="AH46" i="40"/>
  <c r="AH44" i="40"/>
  <c r="AH51" i="40"/>
  <c r="AH8" i="40"/>
  <c r="AH12" i="40"/>
  <c r="AH53" i="40"/>
  <c r="AH47" i="40"/>
  <c r="AH21" i="40"/>
  <c r="AH57" i="40"/>
  <c r="AH41" i="40"/>
  <c r="AH34" i="40"/>
  <c r="AH55" i="40"/>
  <c r="AH13" i="40"/>
  <c r="AH56" i="40"/>
  <c r="AH43" i="40"/>
  <c r="AH29" i="40"/>
  <c r="AH30" i="40"/>
  <c r="AH62" i="40"/>
  <c r="AH63" i="40"/>
  <c r="AH64" i="40"/>
  <c r="AH7" i="40"/>
  <c r="AG9" i="40"/>
  <c r="AG58" i="40"/>
  <c r="AG52" i="40"/>
  <c r="AG50" i="40"/>
  <c r="AG33" i="40"/>
  <c r="AG49" i="40"/>
  <c r="AG7" i="40"/>
  <c r="AG22" i="40"/>
  <c r="AG54" i="40"/>
  <c r="AG37" i="40"/>
  <c r="AG48" i="40"/>
  <c r="AG59" i="40"/>
  <c r="AG26" i="40"/>
  <c r="AG42" i="40"/>
  <c r="AG17" i="40"/>
  <c r="AG25" i="40"/>
  <c r="AG45" i="40"/>
  <c r="AG18" i="40"/>
  <c r="AG38" i="40"/>
  <c r="AG10" i="40"/>
  <c r="AG46" i="40"/>
  <c r="AG44" i="40"/>
  <c r="AG51" i="40"/>
  <c r="AG8" i="40"/>
  <c r="AG12" i="40"/>
  <c r="AG53" i="40"/>
  <c r="AG47" i="40"/>
  <c r="AG21" i="40"/>
  <c r="AG57" i="40"/>
  <c r="AG41" i="40"/>
  <c r="AG34" i="40"/>
  <c r="AG55" i="40"/>
  <c r="AG13" i="40"/>
  <c r="AG56" i="40"/>
  <c r="AG43" i="40"/>
  <c r="AG29" i="40"/>
  <c r="AG30" i="40"/>
  <c r="AG62" i="40"/>
  <c r="AG63" i="40"/>
  <c r="AG64" i="40"/>
  <c r="AM66" i="40"/>
  <c r="AM60" i="40"/>
  <c r="AM67" i="40"/>
  <c r="AM53" i="40"/>
  <c r="R16" i="40" a="1"/>
  <c r="R16" i="40" s="1"/>
  <c r="U13" i="40"/>
  <c r="O13" i="40"/>
  <c r="R11" i="40"/>
  <c r="U9" i="40"/>
  <c r="O9" i="40"/>
  <c r="R10" i="40"/>
  <c r="U8" i="40"/>
  <c r="R12" i="40"/>
  <c r="O11" i="40"/>
  <c r="R13" i="40"/>
  <c r="O12" i="40"/>
  <c r="O16" i="40" a="1"/>
  <c r="O16" i="40" s="1"/>
  <c r="U16" i="40" a="1"/>
  <c r="U16" i="40" s="1"/>
  <c r="O10" i="40"/>
  <c r="O8" i="40"/>
  <c r="R9" i="40"/>
  <c r="U11" i="40"/>
  <c r="U10" i="40"/>
  <c r="R8" i="40"/>
  <c r="U12" i="40"/>
  <c r="AM10" i="40"/>
  <c r="AM13" i="40"/>
  <c r="AM21" i="40"/>
  <c r="AM52" i="40"/>
  <c r="AM51" i="40"/>
  <c r="AM50" i="40"/>
  <c r="AM33" i="40"/>
  <c r="AM49" i="40"/>
  <c r="AM7" i="40"/>
  <c r="AM38" i="40"/>
  <c r="AM55" i="40"/>
  <c r="AM58" i="40"/>
  <c r="AM37" i="40"/>
  <c r="AM48" i="40"/>
  <c r="AM43" i="40"/>
  <c r="AM42" i="40"/>
  <c r="AM45" i="40"/>
  <c r="AM18" i="40"/>
  <c r="AM47" i="40"/>
  <c r="AM54" i="40"/>
  <c r="AM64" i="40"/>
  <c r="AM44" i="40"/>
  <c r="AM25" i="40"/>
  <c r="AM62" i="40"/>
  <c r="AM8" i="40"/>
  <c r="AM12" i="40"/>
  <c r="AM17" i="40"/>
  <c r="AM9" i="40"/>
  <c r="AM22" i="40"/>
  <c r="AM57" i="40"/>
  <c r="AM41" i="40"/>
  <c r="AM34" i="40"/>
  <c r="AM65" i="40"/>
  <c r="AM63" i="40"/>
  <c r="AM46" i="40"/>
  <c r="AM56" i="40"/>
  <c r="AM59" i="40"/>
  <c r="AM26" i="40"/>
  <c r="AM29" i="40"/>
  <c r="AM30" i="40"/>
  <c r="AL11" i="7"/>
  <c r="AL21" i="7"/>
  <c r="AL31" i="7"/>
  <c r="V11" i="40" l="1"/>
  <c r="V9" i="40"/>
  <c r="S13" i="40"/>
  <c r="AA11" i="40"/>
  <c r="AA9" i="40"/>
  <c r="AA10" i="40"/>
  <c r="AA13" i="40"/>
  <c r="R14" i="40"/>
  <c r="S12" i="40" s="1"/>
  <c r="O14" i="40"/>
  <c r="P10" i="40" s="1"/>
  <c r="AA8" i="40"/>
  <c r="AA12" i="40"/>
  <c r="U14" i="40"/>
  <c r="V8" i="40" s="1"/>
  <c r="P9" i="40" l="1"/>
  <c r="P13" i="40"/>
  <c r="S11" i="40"/>
  <c r="P12" i="40"/>
  <c r="P8" i="40"/>
  <c r="V14" i="40"/>
  <c r="U5" i="40"/>
  <c r="AA14" i="40"/>
  <c r="S8" i="40"/>
  <c r="V10" i="40"/>
  <c r="O5" i="40"/>
  <c r="P14" i="40"/>
  <c r="S9" i="40"/>
  <c r="S10" i="40"/>
  <c r="P11" i="40"/>
  <c r="S14" i="40"/>
  <c r="R5" i="40"/>
  <c r="V12" i="40"/>
  <c r="V13" i="40"/>
  <c r="L16" i="34" l="1" a="1"/>
  <c r="L16" i="34" s="1"/>
  <c r="AJ2" i="34"/>
  <c r="L13" i="34" l="1"/>
  <c r="L12" i="34"/>
  <c r="L11" i="34"/>
  <c r="L10" i="34"/>
  <c r="L9" i="34"/>
  <c r="L8" i="34"/>
  <c r="E2" i="34"/>
  <c r="E3" i="34" s="1"/>
  <c r="G61" i="34"/>
  <c r="G60" i="34"/>
  <c r="G3" i="34"/>
  <c r="B7" i="38"/>
  <c r="B8" i="38" s="1"/>
  <c r="B9" i="38" s="1"/>
  <c r="B10" i="38" s="1"/>
  <c r="B11" i="38" s="1"/>
  <c r="B12" i="38" s="1"/>
  <c r="B13" i="38" s="1"/>
  <c r="B14" i="38" s="1"/>
  <c r="B15" i="38" s="1"/>
  <c r="B16" i="38" s="1"/>
  <c r="B17" i="38" s="1"/>
  <c r="B18" i="38" s="1"/>
  <c r="B19" i="38" s="1"/>
  <c r="B20" i="38" s="1"/>
  <c r="B21" i="38" s="1"/>
  <c r="B22" i="38" s="1"/>
  <c r="B23" i="38" s="1"/>
  <c r="B24" i="38" s="1"/>
  <c r="B25" i="38" s="1"/>
  <c r="B26" i="38" s="1"/>
  <c r="B27" i="38" s="1"/>
  <c r="B28" i="38" s="1"/>
  <c r="B29" i="38" s="1"/>
  <c r="B30" i="38" s="1"/>
  <c r="B31" i="38" s="1"/>
  <c r="B32" i="38" s="1"/>
  <c r="B33" i="38" s="1"/>
  <c r="B34" i="38" s="1"/>
  <c r="B35" i="38" s="1"/>
  <c r="B36" i="38" s="1"/>
  <c r="B37" i="38" s="1"/>
  <c r="B38" i="38" s="1"/>
  <c r="B39" i="38" s="1"/>
  <c r="G57" i="34"/>
  <c r="G55" i="34"/>
  <c r="B40" i="38" l="1"/>
  <c r="B41" i="38" s="1"/>
  <c r="B42" i="38" s="1"/>
  <c r="B43" i="38" s="1"/>
  <c r="B44" i="38" s="1"/>
  <c r="B45" i="38" s="1"/>
  <c r="B46" i="38" s="1"/>
  <c r="B47" i="38" s="1"/>
  <c r="B48" i="38" s="1"/>
  <c r="B49" i="38" s="1"/>
  <c r="B50" i="38" s="1"/>
  <c r="B51" i="38" s="1"/>
  <c r="B52" i="38" s="1"/>
  <c r="B53" i="38" s="1"/>
  <c r="B54" i="38" s="1"/>
  <c r="B55" i="38" s="1"/>
  <c r="B56" i="38" s="1"/>
  <c r="B57" i="38" s="1"/>
  <c r="B58" i="38" s="1"/>
  <c r="B59" i="38" s="1"/>
  <c r="B60" i="38" s="1"/>
  <c r="B61" i="38" s="1"/>
  <c r="B63" i="38" s="1"/>
  <c r="B64" i="38" s="1"/>
  <c r="B65" i="38" s="1"/>
  <c r="B66" i="38" s="1"/>
  <c r="B67" i="38" s="1"/>
  <c r="B68" i="38" s="1"/>
  <c r="G50" i="34"/>
  <c r="G42" i="34"/>
  <c r="G21" i="34"/>
  <c r="G35" i="34"/>
  <c r="G18" i="34"/>
  <c r="G65" i="34"/>
  <c r="G56" i="34"/>
  <c r="G48" i="34"/>
  <c r="G47" i="34"/>
  <c r="G28" i="34"/>
  <c r="G27" i="34"/>
  <c r="G26" i="34"/>
  <c r="G41" i="34"/>
  <c r="G29" i="34"/>
  <c r="G45" i="34"/>
  <c r="E57" i="34"/>
  <c r="G64" i="34"/>
  <c r="G16" i="34"/>
  <c r="G14" i="34"/>
  <c r="G51" i="34"/>
  <c r="G36" i="34"/>
  <c r="E55" i="34"/>
  <c r="G63" i="34"/>
  <c r="G49" i="34"/>
  <c r="G40" i="34"/>
  <c r="G43" i="34"/>
  <c r="G34" i="34"/>
  <c r="G24" i="34"/>
  <c r="G53" i="34"/>
  <c r="G54" i="34"/>
  <c r="G19" i="34"/>
  <c r="G17" i="34"/>
  <c r="G59" i="34"/>
  <c r="G31" i="34"/>
  <c r="G33" i="34"/>
  <c r="G9" i="34"/>
  <c r="G58" i="34"/>
  <c r="G7" i="34"/>
  <c r="G44" i="34"/>
  <c r="G8" i="34"/>
  <c r="G20" i="34"/>
  <c r="G10" i="34"/>
  <c r="G62" i="34"/>
  <c r="G30" i="34"/>
  <c r="G46" i="34"/>
  <c r="G12" i="34"/>
  <c r="G52" i="34"/>
  <c r="G32" i="34"/>
  <c r="G23" i="34"/>
  <c r="G25" i="34"/>
  <c r="G38" i="34"/>
  <c r="G22" i="34"/>
  <c r="G13" i="34"/>
  <c r="G39" i="34"/>
  <c r="G15" i="34"/>
  <c r="G11" i="34"/>
  <c r="G37" i="34"/>
  <c r="BT62" i="5" l="1"/>
  <c r="BS62" i="5"/>
  <c r="BR62" i="5"/>
  <c r="BT61" i="5"/>
  <c r="BT63" i="5" s="1"/>
  <c r="BS61" i="5"/>
  <c r="BS63" i="5" s="1"/>
  <c r="BR61" i="5"/>
  <c r="BR63" i="5" s="1"/>
  <c r="BU57" i="5"/>
  <c r="BT57" i="5"/>
  <c r="BS57" i="5"/>
  <c r="BR57" i="5"/>
  <c r="BU56" i="5"/>
  <c r="BU58" i="5" s="1"/>
  <c r="BT56" i="5"/>
  <c r="BS56" i="5"/>
  <c r="BR56" i="5"/>
  <c r="BU47" i="5"/>
  <c r="BT47" i="5"/>
  <c r="BS47" i="5"/>
  <c r="BR47" i="5"/>
  <c r="BU46" i="5"/>
  <c r="BU52" i="5" s="1"/>
  <c r="T13" i="9" s="1"/>
  <c r="BT46" i="5"/>
  <c r="BT52" i="5" s="1"/>
  <c r="BS46" i="5"/>
  <c r="BS52" i="5" s="1"/>
  <c r="BR46" i="5"/>
  <c r="BR52" i="5" s="1"/>
  <c r="BU45" i="5"/>
  <c r="BT45" i="5"/>
  <c r="BS45" i="5"/>
  <c r="BR45" i="5"/>
  <c r="BU44" i="5"/>
  <c r="BU51" i="5" s="1"/>
  <c r="T12" i="9" s="1"/>
  <c r="BT44" i="5"/>
  <c r="BT51" i="5" s="1"/>
  <c r="BT53" i="5" s="1"/>
  <c r="BS44" i="5"/>
  <c r="BS51" i="5" s="1"/>
  <c r="BS53" i="5" s="1"/>
  <c r="BR44" i="5"/>
  <c r="BR51" i="5" s="1"/>
  <c r="BR53" i="5" s="1"/>
  <c r="BU43" i="5"/>
  <c r="BT43" i="5"/>
  <c r="BS43" i="5"/>
  <c r="BR43" i="5"/>
  <c r="BU42" i="5"/>
  <c r="BU50" i="5" s="1"/>
  <c r="T11" i="9" s="1"/>
  <c r="BT42" i="5"/>
  <c r="BT50" i="5" s="1"/>
  <c r="BS42" i="5"/>
  <c r="BS50" i="5" s="1"/>
  <c r="BR42" i="5"/>
  <c r="BR50" i="5" s="1"/>
  <c r="E39" i="34"/>
  <c r="E40" i="34"/>
  <c r="E22" i="34"/>
  <c r="E27" i="34"/>
  <c r="E37" i="34"/>
  <c r="E26" i="34"/>
  <c r="E9" i="34"/>
  <c r="E30" i="34"/>
  <c r="E53" i="34"/>
  <c r="E51" i="34"/>
  <c r="E16" i="34"/>
  <c r="E15" i="34"/>
  <c r="E62" i="34"/>
  <c r="E34" i="34"/>
  <c r="E43" i="34"/>
  <c r="E10" i="34"/>
  <c r="E32" i="34"/>
  <c r="E56" i="34"/>
  <c r="E35" i="34"/>
  <c r="E24" i="34"/>
  <c r="E41" i="34"/>
  <c r="E36" i="34"/>
  <c r="E59" i="34"/>
  <c r="E21" i="34"/>
  <c r="E44" i="34"/>
  <c r="E45" i="34"/>
  <c r="E19" i="34"/>
  <c r="E20" i="34"/>
  <c r="E38" i="34"/>
  <c r="E12" i="34"/>
  <c r="E54" i="34"/>
  <c r="E50" i="34"/>
  <c r="E42" i="34"/>
  <c r="E52" i="34"/>
  <c r="E33" i="34"/>
  <c r="E31" i="34"/>
  <c r="E7" i="34"/>
  <c r="E49" i="34"/>
  <c r="E14" i="34"/>
  <c r="E28" i="34"/>
  <c r="E17" i="34"/>
  <c r="E25" i="34"/>
  <c r="E63" i="34"/>
  <c r="E58" i="34"/>
  <c r="E48" i="34"/>
  <c r="E23" i="34"/>
  <c r="E64" i="34"/>
  <c r="E29" i="34"/>
  <c r="E65" i="34"/>
  <c r="E13" i="34"/>
  <c r="E11" i="34"/>
  <c r="E47" i="34"/>
  <c r="E46" i="34"/>
  <c r="E8" i="34"/>
  <c r="E18" i="34"/>
  <c r="BR58" i="5" l="1"/>
  <c r="BU61" i="5"/>
  <c r="T11" i="10" s="1"/>
  <c r="BT58" i="5"/>
  <c r="O16" i="34" a="1"/>
  <c r="O16" i="34" s="1"/>
  <c r="U11" i="34"/>
  <c r="R12" i="34"/>
  <c r="R13" i="34"/>
  <c r="S13" i="34" s="1"/>
  <c r="O13" i="34"/>
  <c r="U10" i="34"/>
  <c r="U13" i="34"/>
  <c r="R10" i="34"/>
  <c r="O11" i="34"/>
  <c r="O8" i="34"/>
  <c r="U12" i="34"/>
  <c r="R11" i="34"/>
  <c r="R8" i="34"/>
  <c r="O10" i="34"/>
  <c r="U9" i="34"/>
  <c r="V9" i="34" s="1"/>
  <c r="U8" i="34"/>
  <c r="R9" i="34"/>
  <c r="O9" i="34"/>
  <c r="O12" i="34"/>
  <c r="U16" i="34" a="1"/>
  <c r="U16" i="34" s="1"/>
  <c r="R16" i="34" a="1"/>
  <c r="R16" i="34" s="1"/>
  <c r="V11" i="34"/>
  <c r="BU62" i="5"/>
  <c r="T12" i="10" s="1"/>
  <c r="T14" i="9"/>
  <c r="BU53" i="5"/>
  <c r="BS58" i="5"/>
  <c r="AI31" i="7"/>
  <c r="AI21" i="7"/>
  <c r="AI11" i="7"/>
  <c r="T14" i="10" l="1"/>
  <c r="T13" i="10" s="1"/>
  <c r="AA12" i="34"/>
  <c r="O14" i="34"/>
  <c r="P12" i="34" s="1"/>
  <c r="AA10" i="34"/>
  <c r="AA9" i="34"/>
  <c r="AA8" i="34"/>
  <c r="AA11" i="34"/>
  <c r="AA13" i="34"/>
  <c r="R14" i="34"/>
  <c r="R5" i="34" s="1"/>
  <c r="U14" i="34"/>
  <c r="V8" i="34" s="1"/>
  <c r="BU63" i="5"/>
  <c r="O5" i="34" l="1"/>
  <c r="P8" i="34"/>
  <c r="V10" i="34"/>
  <c r="S14" i="34"/>
  <c r="P10" i="34"/>
  <c r="P9" i="34"/>
  <c r="V12" i="34"/>
  <c r="U5" i="34"/>
  <c r="V13" i="34"/>
  <c r="V14" i="34"/>
  <c r="P11" i="34"/>
  <c r="P14" i="34"/>
  <c r="P13" i="34"/>
  <c r="S12" i="34"/>
  <c r="S11" i="34"/>
  <c r="S8" i="34"/>
  <c r="S10" i="34"/>
  <c r="S9" i="34"/>
  <c r="AK4" i="34"/>
  <c r="AJ35" i="34"/>
  <c r="AJ47" i="34"/>
  <c r="AJ7" i="34"/>
  <c r="AK2" i="34" l="1"/>
  <c r="AL4" i="34"/>
  <c r="AL2" i="34" s="1"/>
  <c r="AJ58" i="34"/>
  <c r="AJ52" i="34"/>
  <c r="AJ56" i="34"/>
  <c r="AJ63" i="34"/>
  <c r="AJ53" i="34"/>
  <c r="AJ64" i="34"/>
  <c r="AJ22" i="34"/>
  <c r="AJ19" i="34"/>
  <c r="AJ41" i="34"/>
  <c r="AJ23" i="34"/>
  <c r="AJ30" i="34"/>
  <c r="AJ13" i="34"/>
  <c r="AJ48" i="34"/>
  <c r="AJ54" i="34"/>
  <c r="AJ11" i="34"/>
  <c r="AJ57" i="34"/>
  <c r="AJ38" i="34"/>
  <c r="AJ39" i="34"/>
  <c r="AJ51" i="34"/>
  <c r="AJ59" i="34"/>
  <c r="AJ12" i="34"/>
  <c r="AJ37" i="34"/>
  <c r="AJ65" i="34"/>
  <c r="AJ61" i="34"/>
  <c r="AJ43" i="34"/>
  <c r="AJ60" i="34"/>
  <c r="AJ26" i="34"/>
  <c r="AJ20" i="34"/>
  <c r="AJ15" i="34"/>
  <c r="AJ66" i="34"/>
  <c r="AJ17" i="34"/>
  <c r="AJ31" i="34"/>
  <c r="AJ16" i="34"/>
  <c r="AJ8" i="34"/>
  <c r="AJ28" i="34"/>
  <c r="AJ50" i="34"/>
  <c r="AJ33" i="34"/>
  <c r="AL35" i="34"/>
  <c r="AJ9" i="34"/>
  <c r="AJ55" i="34"/>
  <c r="AJ18" i="34"/>
  <c r="AJ46" i="34"/>
  <c r="AJ42" i="34"/>
  <c r="AJ34" i="34"/>
  <c r="AJ40" i="34"/>
  <c r="AJ67" i="34"/>
  <c r="AJ21" i="34"/>
  <c r="AJ24" i="34"/>
  <c r="AJ62" i="34"/>
  <c r="AJ45" i="34"/>
  <c r="AK35" i="34"/>
  <c r="AJ49" i="34"/>
  <c r="AJ10" i="34"/>
  <c r="AH35" i="34" l="1"/>
  <c r="AG35" i="34"/>
  <c r="AM35" i="34"/>
  <c r="AL66" i="34"/>
  <c r="AK66" i="34"/>
  <c r="AL61" i="34"/>
  <c r="AK61" i="34"/>
  <c r="AL67" i="34"/>
  <c r="AK67" i="34"/>
  <c r="AL60" i="34"/>
  <c r="AK60" i="34"/>
  <c r="AK57" i="34"/>
  <c r="AK59" i="34"/>
  <c r="AK53" i="34"/>
  <c r="AJ44" i="34"/>
  <c r="AL30" i="34"/>
  <c r="AJ29" i="34"/>
  <c r="AK30" i="34"/>
  <c r="AK17" i="34"/>
  <c r="AK12" i="34"/>
  <c r="AL16" i="34"/>
  <c r="AL13" i="34"/>
  <c r="AL53" i="34"/>
  <c r="AL10" i="34"/>
  <c r="AL15" i="34"/>
  <c r="AL63" i="34"/>
  <c r="AK54" i="34"/>
  <c r="AL40" i="34"/>
  <c r="AL22" i="34"/>
  <c r="AL56" i="34"/>
  <c r="AL59" i="34"/>
  <c r="AL11" i="34"/>
  <c r="AL50" i="34"/>
  <c r="AL51" i="34"/>
  <c r="AL54" i="34"/>
  <c r="AL20" i="34"/>
  <c r="AJ14" i="34"/>
  <c r="AK56" i="34"/>
  <c r="AL23" i="34"/>
  <c r="AL26" i="34"/>
  <c r="AK58" i="34"/>
  <c r="AL48" i="34"/>
  <c r="AL38" i="34"/>
  <c r="AL41" i="34"/>
  <c r="AK15" i="34"/>
  <c r="AK47" i="34"/>
  <c r="AL17" i="34"/>
  <c r="AK19" i="34"/>
  <c r="AK9" i="34"/>
  <c r="AK46" i="34"/>
  <c r="AL62" i="34"/>
  <c r="AL8" i="34"/>
  <c r="AK50" i="34"/>
  <c r="AL39" i="34"/>
  <c r="AL31" i="34"/>
  <c r="AK40" i="34"/>
  <c r="AK10" i="34"/>
  <c r="AL58" i="34"/>
  <c r="AK52" i="34"/>
  <c r="AK41" i="34"/>
  <c r="AK64" i="34"/>
  <c r="AK7" i="34"/>
  <c r="AK62" i="34"/>
  <c r="AL47" i="34"/>
  <c r="AK45" i="34"/>
  <c r="AK37" i="34"/>
  <c r="AL45" i="34"/>
  <c r="AK22" i="34"/>
  <c r="AK13" i="34"/>
  <c r="AL55" i="34"/>
  <c r="AJ36" i="34"/>
  <c r="AL12" i="34"/>
  <c r="AK65" i="34"/>
  <c r="AL24" i="34"/>
  <c r="AK24" i="34"/>
  <c r="AL52" i="34"/>
  <c r="AL65" i="34"/>
  <c r="AK21" i="34"/>
  <c r="AK49" i="34"/>
  <c r="AL46" i="34"/>
  <c r="AK16" i="34"/>
  <c r="AK34" i="34"/>
  <c r="AK23" i="34"/>
  <c r="AK20" i="34"/>
  <c r="AL34" i="34"/>
  <c r="AK63" i="34"/>
  <c r="AL28" i="34"/>
  <c r="AK8" i="34"/>
  <c r="AK51" i="34"/>
  <c r="AK39" i="34"/>
  <c r="AK38" i="34"/>
  <c r="AL21" i="34"/>
  <c r="AL7" i="34"/>
  <c r="AL33" i="34"/>
  <c r="AL19" i="34"/>
  <c r="AK33" i="34"/>
  <c r="AK42" i="34"/>
  <c r="AK28" i="34"/>
  <c r="AL37" i="34"/>
  <c r="AL42" i="34"/>
  <c r="AL9" i="34"/>
  <c r="AL49" i="34"/>
  <c r="AL43" i="34"/>
  <c r="AK26" i="34"/>
  <c r="AK11" i="34"/>
  <c r="AK31" i="34"/>
  <c r="AK43" i="34"/>
  <c r="AK18" i="34"/>
  <c r="AL18" i="34"/>
  <c r="AK48" i="34"/>
  <c r="AJ25" i="34"/>
  <c r="AL64" i="34"/>
  <c r="AK55" i="34"/>
  <c r="AJ32" i="34"/>
  <c r="AL57" i="34"/>
  <c r="AJ27" i="34"/>
  <c r="AG7" i="34" l="1"/>
  <c r="AH7" i="34"/>
  <c r="AM7" i="34"/>
  <c r="AH47" i="34"/>
  <c r="AG47" i="34"/>
  <c r="AM47" i="34"/>
  <c r="AG62" i="34"/>
  <c r="AH62" i="34"/>
  <c r="AG16" i="34"/>
  <c r="AH16" i="34"/>
  <c r="AH57" i="34"/>
  <c r="AG57" i="34"/>
  <c r="AH59" i="34"/>
  <c r="AG59" i="34"/>
  <c r="AH26" i="34"/>
  <c r="AG26" i="34"/>
  <c r="AH45" i="34"/>
  <c r="AG45" i="34"/>
  <c r="AH9" i="34"/>
  <c r="AG9" i="34"/>
  <c r="AH20" i="34"/>
  <c r="AG20" i="34"/>
  <c r="AH13" i="34"/>
  <c r="AG13" i="34"/>
  <c r="AH38" i="34"/>
  <c r="AG38" i="34"/>
  <c r="AG30" i="34"/>
  <c r="AH30" i="34"/>
  <c r="AH28" i="34"/>
  <c r="AG28" i="34"/>
  <c r="AH17" i="34"/>
  <c r="AG17" i="34"/>
  <c r="AG12" i="34"/>
  <c r="AH12" i="34"/>
  <c r="AH31" i="34"/>
  <c r="AG31" i="34"/>
  <c r="AH10" i="34"/>
  <c r="AG10" i="34"/>
  <c r="AH56" i="34"/>
  <c r="AG56" i="34"/>
  <c r="AG58" i="34"/>
  <c r="AH58" i="34"/>
  <c r="AH33" i="34"/>
  <c r="AG33" i="34"/>
  <c r="AH21" i="34"/>
  <c r="AG21" i="34"/>
  <c r="AH51" i="34"/>
  <c r="AG51" i="34"/>
  <c r="AH55" i="34"/>
  <c r="AG55" i="34"/>
  <c r="AH64" i="34"/>
  <c r="AG64" i="34"/>
  <c r="AH48" i="34"/>
  <c r="AG48" i="34"/>
  <c r="AH18" i="34"/>
  <c r="AG18" i="34"/>
  <c r="AG54" i="34"/>
  <c r="AH54" i="34"/>
  <c r="AH41" i="34"/>
  <c r="AG41" i="34"/>
  <c r="AH40" i="34"/>
  <c r="AG40" i="34"/>
  <c r="AH22" i="34"/>
  <c r="AG22" i="34"/>
  <c r="AH53" i="34"/>
  <c r="AG53" i="34"/>
  <c r="AH63" i="34"/>
  <c r="AG63" i="34"/>
  <c r="AG46" i="34"/>
  <c r="AH46" i="34"/>
  <c r="AH37" i="34"/>
  <c r="AG37" i="34"/>
  <c r="AH15" i="34"/>
  <c r="AG15" i="34"/>
  <c r="AH52" i="34"/>
  <c r="AG52" i="34"/>
  <c r="AH24" i="34"/>
  <c r="AG24" i="34"/>
  <c r="AG50" i="34"/>
  <c r="AH50" i="34"/>
  <c r="AH23" i="34"/>
  <c r="AG23" i="34"/>
  <c r="AH34" i="34"/>
  <c r="AG34" i="34"/>
  <c r="AG8" i="34"/>
  <c r="AH8" i="34"/>
  <c r="AH11" i="34"/>
  <c r="AG11" i="34"/>
  <c r="AH49" i="34"/>
  <c r="AG49" i="34"/>
  <c r="AH42" i="34"/>
  <c r="AG42" i="34"/>
  <c r="AH39" i="34"/>
  <c r="AG39" i="34"/>
  <c r="AH43" i="34"/>
  <c r="AG43" i="34"/>
  <c r="AH19" i="34"/>
  <c r="AG19" i="34"/>
  <c r="AM39" i="34"/>
  <c r="AM61" i="34"/>
  <c r="AM67" i="34"/>
  <c r="AM60" i="34"/>
  <c r="AM66" i="34"/>
  <c r="AM55" i="34"/>
  <c r="AM59" i="34"/>
  <c r="AM19" i="34"/>
  <c r="AM43" i="34"/>
  <c r="AM51" i="34"/>
  <c r="AM31" i="34"/>
  <c r="AM63" i="34"/>
  <c r="AM15" i="34"/>
  <c r="AM11" i="34"/>
  <c r="AM23" i="34"/>
  <c r="AM49" i="34"/>
  <c r="AM52" i="34"/>
  <c r="AM8" i="34"/>
  <c r="AM10" i="34"/>
  <c r="AM9" i="34"/>
  <c r="AM12" i="34"/>
  <c r="AM13" i="34"/>
  <c r="AM34" i="34"/>
  <c r="AM45" i="34"/>
  <c r="AM65" i="34"/>
  <c r="AM17" i="34"/>
  <c r="AM20" i="34"/>
  <c r="AM22" i="34"/>
  <c r="AM37" i="34"/>
  <c r="AM40" i="34"/>
  <c r="AM42" i="34"/>
  <c r="AM41" i="34"/>
  <c r="AM46" i="34"/>
  <c r="AM64" i="34"/>
  <c r="AM33" i="34"/>
  <c r="AM38" i="34"/>
  <c r="AM53" i="34"/>
  <c r="AM56" i="34"/>
  <c r="AM58" i="34"/>
  <c r="AM57" i="34"/>
  <c r="AM62" i="34"/>
  <c r="AM16" i="34"/>
  <c r="AM18" i="34"/>
  <c r="AM54" i="34"/>
  <c r="AM21" i="34"/>
  <c r="AM24" i="34"/>
  <c r="AM26" i="34"/>
  <c r="AM28" i="34"/>
  <c r="AM30" i="34"/>
  <c r="AM48" i="34"/>
  <c r="AM50" i="34"/>
  <c r="AL14" i="34"/>
  <c r="AK29" i="34"/>
  <c r="AK36" i="34"/>
  <c r="AK32" i="34"/>
  <c r="AL25" i="34"/>
  <c r="AL36" i="34"/>
  <c r="AK44" i="34"/>
  <c r="AK27" i="34"/>
  <c r="AL27" i="34"/>
  <c r="AL32" i="34"/>
  <c r="AL29" i="34"/>
  <c r="AK14" i="34"/>
  <c r="AK25" i="34"/>
  <c r="AL44" i="34"/>
  <c r="AH29" i="34" l="1"/>
  <c r="AG29" i="34"/>
  <c r="AH27" i="34"/>
  <c r="AG27" i="34"/>
  <c r="AH44" i="34"/>
  <c r="AG44" i="34"/>
  <c r="AH32" i="34"/>
  <c r="AG32" i="34"/>
  <c r="AH36" i="34"/>
  <c r="AG36" i="34"/>
  <c r="AH25" i="34"/>
  <c r="AG25" i="34"/>
  <c r="AH14" i="34"/>
  <c r="AG14" i="34"/>
  <c r="AM36" i="34"/>
  <c r="AM44" i="34"/>
  <c r="AM32" i="34"/>
  <c r="AM29" i="34"/>
  <c r="AM25" i="34"/>
  <c r="AM14" i="34"/>
  <c r="AM27" i="34"/>
  <c r="AF67" i="34"/>
  <c r="AF66" i="34"/>
  <c r="AF65" i="34"/>
  <c r="AF7" i="34"/>
  <c r="AF8" i="34" s="1"/>
  <c r="AF9" i="34" s="1"/>
  <c r="AF10" i="34" s="1"/>
  <c r="AF11" i="34" s="1"/>
  <c r="AF12" i="34" s="1"/>
  <c r="AF13" i="34" s="1"/>
  <c r="AF14" i="34" s="1"/>
  <c r="AF15" i="34" s="1"/>
  <c r="AF16" i="34" s="1"/>
  <c r="AF17" i="34" s="1"/>
  <c r="AF18" i="34" s="1"/>
  <c r="AF19" i="34" s="1"/>
  <c r="AF20" i="34" s="1"/>
  <c r="AF21" i="34" s="1"/>
  <c r="AF22" i="34" s="1"/>
  <c r="AF23" i="34" s="1"/>
  <c r="AF24" i="34" s="1"/>
  <c r="AF25" i="34" s="1"/>
  <c r="AF26" i="34" s="1"/>
  <c r="AF27" i="34" s="1"/>
  <c r="AF28" i="34" s="1"/>
  <c r="AF29" i="34" s="1"/>
  <c r="AF30" i="34" s="1"/>
  <c r="AF31" i="34" s="1"/>
  <c r="AF32" i="34" s="1"/>
  <c r="AF33" i="34" s="1"/>
  <c r="AF34" i="34" s="1"/>
  <c r="AF35" i="34" s="1"/>
  <c r="AF36" i="34" s="1"/>
  <c r="AF37" i="34" s="1"/>
  <c r="AF38" i="34" s="1"/>
  <c r="AF39" i="34" s="1"/>
  <c r="AF40" i="34" s="1"/>
  <c r="AF41" i="34" s="1"/>
  <c r="AF42" i="34" s="1"/>
  <c r="AF43" i="34" s="1"/>
  <c r="AF44" i="34" s="1"/>
  <c r="AF45" i="34" s="1"/>
  <c r="AF46" i="34" s="1"/>
  <c r="AF47" i="34" s="1"/>
  <c r="AF48" i="34" s="1"/>
  <c r="AF49" i="34" s="1"/>
  <c r="AF50" i="34" s="1"/>
  <c r="AF51" i="34" s="1"/>
  <c r="AF52" i="34" s="1"/>
  <c r="AF53" i="34" s="1"/>
  <c r="AF54" i="34" s="1"/>
  <c r="AF55" i="34" s="1"/>
  <c r="AF56" i="34" s="1"/>
  <c r="AF57" i="34" s="1"/>
  <c r="AF58" i="34" s="1"/>
  <c r="AF59" i="34" s="1"/>
  <c r="AF60" i="34" s="1"/>
  <c r="AF61" i="34" s="1"/>
  <c r="AF62" i="34" s="1"/>
  <c r="AF63" i="34" s="1"/>
  <c r="AF64" i="34" s="1"/>
  <c r="L14" i="34" l="1"/>
  <c r="L5" i="34" l="1"/>
  <c r="M13" i="34"/>
  <c r="M8" i="34"/>
  <c r="M10" i="34"/>
  <c r="M12" i="34"/>
  <c r="M9" i="34"/>
  <c r="M11" i="34"/>
  <c r="Y14" i="34"/>
  <c r="C79" i="34"/>
  <c r="M14" i="34"/>
  <c r="BQ12" i="7"/>
  <c r="BM12" i="7"/>
  <c r="BQ22" i="7" l="1"/>
  <c r="BQ13" i="7"/>
  <c r="AA14" i="34"/>
  <c r="E16" i="10"/>
  <c r="F16" i="10" s="1"/>
  <c r="G16" i="10" s="1"/>
  <c r="H16" i="10" s="1"/>
  <c r="I16" i="10" s="1"/>
  <c r="J16" i="10" s="1"/>
  <c r="K16" i="10" s="1"/>
  <c r="L16" i="10" s="1"/>
  <c r="T16" i="10" s="1"/>
  <c r="AV62" i="5"/>
  <c r="AU62" i="5"/>
  <c r="AT62" i="5"/>
  <c r="AV61" i="5"/>
  <c r="AV63" i="5" s="1"/>
  <c r="AU61" i="5"/>
  <c r="AU63" i="5" s="1"/>
  <c r="AT61" i="5"/>
  <c r="AT63" i="5" s="1"/>
  <c r="AW57" i="5"/>
  <c r="AV57" i="5"/>
  <c r="AU57" i="5"/>
  <c r="AT57" i="5"/>
  <c r="AW56" i="5"/>
  <c r="AV56" i="5"/>
  <c r="AU56" i="5"/>
  <c r="AU58" i="5" s="1"/>
  <c r="AT56" i="5"/>
  <c r="AT58" i="5" s="1"/>
  <c r="AW47" i="5"/>
  <c r="AV47" i="5"/>
  <c r="AU47" i="5"/>
  <c r="AT47" i="5"/>
  <c r="AW46" i="5"/>
  <c r="AV46" i="5"/>
  <c r="AV52" i="5" s="1"/>
  <c r="AU46" i="5"/>
  <c r="AU52" i="5" s="1"/>
  <c r="AT46" i="5"/>
  <c r="AT52" i="5" s="1"/>
  <c r="AW45" i="5"/>
  <c r="AV45" i="5"/>
  <c r="AU45" i="5"/>
  <c r="AT45" i="5"/>
  <c r="AW44" i="5"/>
  <c r="AV44" i="5"/>
  <c r="AV51" i="5" s="1"/>
  <c r="AV53" i="5" s="1"/>
  <c r="AU44" i="5"/>
  <c r="AU51" i="5" s="1"/>
  <c r="AU53" i="5" s="1"/>
  <c r="AT44" i="5"/>
  <c r="AT51" i="5" s="1"/>
  <c r="AT53" i="5" s="1"/>
  <c r="AW43" i="5"/>
  <c r="AV43" i="5"/>
  <c r="AU43" i="5"/>
  <c r="AT43" i="5"/>
  <c r="AW42" i="5"/>
  <c r="AV42" i="5"/>
  <c r="AV50" i="5" s="1"/>
  <c r="AU42" i="5"/>
  <c r="AU50" i="5" s="1"/>
  <c r="AT42" i="5"/>
  <c r="AT50" i="5" s="1"/>
  <c r="AS40" i="5"/>
  <c r="AR40" i="5"/>
  <c r="AQ40" i="5"/>
  <c r="AP40" i="5"/>
  <c r="AN40" i="5"/>
  <c r="AM40" i="5"/>
  <c r="AL40" i="5"/>
  <c r="AK40" i="5"/>
  <c r="AJ40" i="5"/>
  <c r="AI40" i="5"/>
  <c r="AH40" i="5"/>
  <c r="AG40" i="5"/>
  <c r="AF40" i="5"/>
  <c r="AE40" i="5"/>
  <c r="AD40" i="5"/>
  <c r="AC40" i="5"/>
  <c r="AB40" i="5"/>
  <c r="AA40" i="5"/>
  <c r="Z40" i="5"/>
  <c r="Y40" i="5"/>
  <c r="X40" i="5"/>
  <c r="W40" i="5"/>
  <c r="V40" i="5"/>
  <c r="U40" i="5"/>
  <c r="T40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AO40" i="5"/>
  <c r="AS47" i="5"/>
  <c r="AR47" i="5"/>
  <c r="AQ47" i="5"/>
  <c r="AP47" i="5"/>
  <c r="AO47" i="5"/>
  <c r="AN47" i="5"/>
  <c r="AM47" i="5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AS46" i="5"/>
  <c r="AS52" i="5" s="1"/>
  <c r="M13" i="9" s="1"/>
  <c r="AR46" i="5"/>
  <c r="AR52" i="5" s="1"/>
  <c r="AQ46" i="5"/>
  <c r="AQ52" i="5" s="1"/>
  <c r="AP46" i="5"/>
  <c r="AP52" i="5" s="1"/>
  <c r="AO46" i="5"/>
  <c r="AN46" i="5"/>
  <c r="AN52" i="5" s="1"/>
  <c r="AM46" i="5"/>
  <c r="AM52" i="5" s="1"/>
  <c r="AL46" i="5"/>
  <c r="AL52" i="5" s="1"/>
  <c r="AK46" i="5"/>
  <c r="AJ46" i="5"/>
  <c r="AJ52" i="5" s="1"/>
  <c r="AI46" i="5"/>
  <c r="AI52" i="5" s="1"/>
  <c r="AH46" i="5"/>
  <c r="AH52" i="5" s="1"/>
  <c r="AG46" i="5"/>
  <c r="AF46" i="5"/>
  <c r="AF52" i="5" s="1"/>
  <c r="AE46" i="5"/>
  <c r="AE52" i="5" s="1"/>
  <c r="AD46" i="5"/>
  <c r="AD52" i="5" s="1"/>
  <c r="AC46" i="5"/>
  <c r="AB46" i="5"/>
  <c r="AB52" i="5" s="1"/>
  <c r="AA46" i="5"/>
  <c r="AA52" i="5" s="1"/>
  <c r="Z46" i="5"/>
  <c r="Z52" i="5" s="1"/>
  <c r="Y46" i="5"/>
  <c r="X46" i="5"/>
  <c r="X52" i="5" s="1"/>
  <c r="W46" i="5"/>
  <c r="W52" i="5" s="1"/>
  <c r="V46" i="5"/>
  <c r="V52" i="5" s="1"/>
  <c r="U46" i="5"/>
  <c r="T46" i="5"/>
  <c r="T52" i="5" s="1"/>
  <c r="S46" i="5"/>
  <c r="S52" i="5" s="1"/>
  <c r="R46" i="5"/>
  <c r="R52" i="5" s="1"/>
  <c r="Q46" i="5"/>
  <c r="P46" i="5"/>
  <c r="P52" i="5" s="1"/>
  <c r="O46" i="5"/>
  <c r="O52" i="5" s="1"/>
  <c r="N46" i="5"/>
  <c r="N52" i="5" s="1"/>
  <c r="M46" i="5"/>
  <c r="L46" i="5"/>
  <c r="L52" i="5" s="1"/>
  <c r="K46" i="5"/>
  <c r="K52" i="5" s="1"/>
  <c r="J46" i="5"/>
  <c r="J52" i="5" s="1"/>
  <c r="I46" i="5"/>
  <c r="H46" i="5"/>
  <c r="H52" i="5" s="1"/>
  <c r="G46" i="5"/>
  <c r="G52" i="5" s="1"/>
  <c r="F46" i="5"/>
  <c r="F52" i="5" s="1"/>
  <c r="AS45" i="5"/>
  <c r="AR45" i="5"/>
  <c r="AQ45" i="5"/>
  <c r="AP45" i="5"/>
  <c r="AO45" i="5"/>
  <c r="AN45" i="5"/>
  <c r="AM45" i="5"/>
  <c r="AL45" i="5"/>
  <c r="AK45" i="5"/>
  <c r="AJ45" i="5"/>
  <c r="AI45" i="5"/>
  <c r="AH45" i="5"/>
  <c r="AG45" i="5"/>
  <c r="AF45" i="5"/>
  <c r="AE45" i="5"/>
  <c r="AD45" i="5"/>
  <c r="AC45" i="5"/>
  <c r="AB45" i="5"/>
  <c r="AA45" i="5"/>
  <c r="Z45" i="5"/>
  <c r="Y45" i="5"/>
  <c r="X45" i="5"/>
  <c r="W45" i="5"/>
  <c r="V45" i="5"/>
  <c r="U45" i="5"/>
  <c r="T45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AS44" i="5"/>
  <c r="AS51" i="5" s="1"/>
  <c r="M12" i="9" s="1"/>
  <c r="AR44" i="5"/>
  <c r="AR51" i="5" s="1"/>
  <c r="AR53" i="5" s="1"/>
  <c r="AQ44" i="5"/>
  <c r="AQ51" i="5" s="1"/>
  <c r="AQ53" i="5" s="1"/>
  <c r="AP44" i="5"/>
  <c r="AP51" i="5" s="1"/>
  <c r="AP53" i="5" s="1"/>
  <c r="AO44" i="5"/>
  <c r="AN44" i="5"/>
  <c r="AN51" i="5" s="1"/>
  <c r="AN53" i="5" s="1"/>
  <c r="AM44" i="5"/>
  <c r="AM51" i="5" s="1"/>
  <c r="AM53" i="5" s="1"/>
  <c r="AL44" i="5"/>
  <c r="AL51" i="5" s="1"/>
  <c r="AL53" i="5" s="1"/>
  <c r="AK44" i="5"/>
  <c r="AJ44" i="5"/>
  <c r="AJ51" i="5" s="1"/>
  <c r="AJ53" i="5" s="1"/>
  <c r="AI44" i="5"/>
  <c r="AI51" i="5" s="1"/>
  <c r="AI53" i="5" s="1"/>
  <c r="AH44" i="5"/>
  <c r="AH51" i="5" s="1"/>
  <c r="AH53" i="5" s="1"/>
  <c r="AG44" i="5"/>
  <c r="AF44" i="5"/>
  <c r="AF51" i="5" s="1"/>
  <c r="AF53" i="5" s="1"/>
  <c r="AE44" i="5"/>
  <c r="AE51" i="5" s="1"/>
  <c r="AE53" i="5" s="1"/>
  <c r="AD44" i="5"/>
  <c r="AD51" i="5" s="1"/>
  <c r="AD53" i="5" s="1"/>
  <c r="AC44" i="5"/>
  <c r="AB44" i="5"/>
  <c r="AB51" i="5" s="1"/>
  <c r="AB53" i="5" s="1"/>
  <c r="AA44" i="5"/>
  <c r="AA51" i="5" s="1"/>
  <c r="AA53" i="5" s="1"/>
  <c r="Z44" i="5"/>
  <c r="Z51" i="5" s="1"/>
  <c r="Z53" i="5" s="1"/>
  <c r="Y44" i="5"/>
  <c r="X44" i="5"/>
  <c r="X51" i="5" s="1"/>
  <c r="X53" i="5" s="1"/>
  <c r="W44" i="5"/>
  <c r="W51" i="5" s="1"/>
  <c r="W53" i="5" s="1"/>
  <c r="V44" i="5"/>
  <c r="V51" i="5" s="1"/>
  <c r="V53" i="5" s="1"/>
  <c r="U44" i="5"/>
  <c r="T44" i="5"/>
  <c r="T51" i="5" s="1"/>
  <c r="T53" i="5" s="1"/>
  <c r="S44" i="5"/>
  <c r="S51" i="5" s="1"/>
  <c r="S53" i="5" s="1"/>
  <c r="R44" i="5"/>
  <c r="R51" i="5" s="1"/>
  <c r="R53" i="5" s="1"/>
  <c r="Q44" i="5"/>
  <c r="P44" i="5"/>
  <c r="P51" i="5" s="1"/>
  <c r="P53" i="5" s="1"/>
  <c r="O44" i="5"/>
  <c r="O51" i="5" s="1"/>
  <c r="O53" i="5" s="1"/>
  <c r="N44" i="5"/>
  <c r="N51" i="5" s="1"/>
  <c r="N53" i="5" s="1"/>
  <c r="M44" i="5"/>
  <c r="L44" i="5"/>
  <c r="L51" i="5" s="1"/>
  <c r="L53" i="5" s="1"/>
  <c r="K44" i="5"/>
  <c r="K51" i="5" s="1"/>
  <c r="K53" i="5" s="1"/>
  <c r="J44" i="5"/>
  <c r="J51" i="5" s="1"/>
  <c r="J53" i="5" s="1"/>
  <c r="I44" i="5"/>
  <c r="H44" i="5"/>
  <c r="H51" i="5" s="1"/>
  <c r="H53" i="5" s="1"/>
  <c r="G44" i="5"/>
  <c r="G51" i="5" s="1"/>
  <c r="G53" i="5" s="1"/>
  <c r="F44" i="5"/>
  <c r="F51" i="5" s="1"/>
  <c r="F53" i="5" s="1"/>
  <c r="AS43" i="5"/>
  <c r="AR43" i="5"/>
  <c r="AQ43" i="5"/>
  <c r="AP43" i="5"/>
  <c r="AO43" i="5"/>
  <c r="AN43" i="5"/>
  <c r="AM43" i="5"/>
  <c r="AL43" i="5"/>
  <c r="AK43" i="5"/>
  <c r="AJ43" i="5"/>
  <c r="AI43" i="5"/>
  <c r="AH43" i="5"/>
  <c r="AG43" i="5"/>
  <c r="AF43" i="5"/>
  <c r="AE43" i="5"/>
  <c r="AD43" i="5"/>
  <c r="AC43" i="5"/>
  <c r="AB43" i="5"/>
  <c r="AA43" i="5"/>
  <c r="Z43" i="5"/>
  <c r="Y43" i="5"/>
  <c r="X43" i="5"/>
  <c r="W43" i="5"/>
  <c r="V43" i="5"/>
  <c r="U43" i="5"/>
  <c r="T43" i="5"/>
  <c r="S43" i="5"/>
  <c r="R43" i="5"/>
  <c r="Q43" i="5"/>
  <c r="P43" i="5"/>
  <c r="O43" i="5"/>
  <c r="N43" i="5"/>
  <c r="M43" i="5"/>
  <c r="L43" i="5"/>
  <c r="K43" i="5"/>
  <c r="J43" i="5"/>
  <c r="I43" i="5"/>
  <c r="H43" i="5"/>
  <c r="G43" i="5"/>
  <c r="F43" i="5"/>
  <c r="AS42" i="5"/>
  <c r="AS50" i="5" s="1"/>
  <c r="M11" i="9" s="1"/>
  <c r="AR42" i="5"/>
  <c r="AR50" i="5" s="1"/>
  <c r="AQ42" i="5"/>
  <c r="AQ50" i="5" s="1"/>
  <c r="AP42" i="5"/>
  <c r="AP50" i="5" s="1"/>
  <c r="AO42" i="5"/>
  <c r="AN42" i="5"/>
  <c r="AN50" i="5" s="1"/>
  <c r="AM42" i="5"/>
  <c r="AM50" i="5" s="1"/>
  <c r="AL42" i="5"/>
  <c r="AL50" i="5" s="1"/>
  <c r="AK42" i="5"/>
  <c r="AJ42" i="5"/>
  <c r="AJ50" i="5" s="1"/>
  <c r="AI42" i="5"/>
  <c r="AI50" i="5" s="1"/>
  <c r="AH42" i="5"/>
  <c r="AH50" i="5" s="1"/>
  <c r="AG42" i="5"/>
  <c r="AG50" i="5" s="1"/>
  <c r="AF42" i="5"/>
  <c r="AF50" i="5" s="1"/>
  <c r="AE42" i="5"/>
  <c r="AE50" i="5" s="1"/>
  <c r="AD42" i="5"/>
  <c r="AD50" i="5" s="1"/>
  <c r="AC42" i="5"/>
  <c r="AB42" i="5"/>
  <c r="AB50" i="5" s="1"/>
  <c r="AA42" i="5"/>
  <c r="AA50" i="5" s="1"/>
  <c r="Z42" i="5"/>
  <c r="Z50" i="5" s="1"/>
  <c r="Y42" i="5"/>
  <c r="X42" i="5"/>
  <c r="X50" i="5" s="1"/>
  <c r="W42" i="5"/>
  <c r="W50" i="5" s="1"/>
  <c r="V42" i="5"/>
  <c r="V50" i="5" s="1"/>
  <c r="U42" i="5"/>
  <c r="U50" i="5" s="1"/>
  <c r="T42" i="5"/>
  <c r="T50" i="5" s="1"/>
  <c r="S42" i="5"/>
  <c r="S50" i="5" s="1"/>
  <c r="R42" i="5"/>
  <c r="R50" i="5" s="1"/>
  <c r="Q42" i="5"/>
  <c r="P42" i="5"/>
  <c r="P50" i="5" s="1"/>
  <c r="O42" i="5"/>
  <c r="O50" i="5" s="1"/>
  <c r="N42" i="5"/>
  <c r="N50" i="5" s="1"/>
  <c r="M42" i="5"/>
  <c r="L42" i="5"/>
  <c r="L50" i="5" s="1"/>
  <c r="K42" i="5"/>
  <c r="K50" i="5" s="1"/>
  <c r="J42" i="5"/>
  <c r="J50" i="5" s="1"/>
  <c r="I42" i="5"/>
  <c r="H42" i="5"/>
  <c r="H50" i="5" s="1"/>
  <c r="G42" i="5"/>
  <c r="G50" i="5" s="1"/>
  <c r="F42" i="5"/>
  <c r="F50" i="5" s="1"/>
  <c r="E47" i="5"/>
  <c r="E46" i="5"/>
  <c r="E45" i="5"/>
  <c r="E44" i="5"/>
  <c r="E43" i="5"/>
  <c r="E42" i="5"/>
  <c r="D57" i="5"/>
  <c r="C57" i="5"/>
  <c r="B57" i="5"/>
  <c r="D56" i="5"/>
  <c r="C56" i="5"/>
  <c r="B56" i="5"/>
  <c r="AR62" i="5"/>
  <c r="AQ62" i="5"/>
  <c r="AP62" i="5"/>
  <c r="AN62" i="5"/>
  <c r="AM62" i="5"/>
  <c r="AL62" i="5"/>
  <c r="AJ62" i="5"/>
  <c r="AI62" i="5"/>
  <c r="AH62" i="5"/>
  <c r="AF62" i="5"/>
  <c r="AE62" i="5"/>
  <c r="AD62" i="5"/>
  <c r="AB62" i="5"/>
  <c r="AA62" i="5"/>
  <c r="Z62" i="5"/>
  <c r="X62" i="5"/>
  <c r="W62" i="5"/>
  <c r="V62" i="5"/>
  <c r="T62" i="5"/>
  <c r="S62" i="5"/>
  <c r="R62" i="5"/>
  <c r="P62" i="5"/>
  <c r="O62" i="5"/>
  <c r="N62" i="5"/>
  <c r="L62" i="5"/>
  <c r="K62" i="5"/>
  <c r="J62" i="5"/>
  <c r="H62" i="5"/>
  <c r="G62" i="5"/>
  <c r="F62" i="5"/>
  <c r="AR61" i="5"/>
  <c r="AR63" i="5" s="1"/>
  <c r="AQ61" i="5"/>
  <c r="AQ63" i="5" s="1"/>
  <c r="AP61" i="5"/>
  <c r="AP63" i="5" s="1"/>
  <c r="AN61" i="5"/>
  <c r="AN63" i="5" s="1"/>
  <c r="AM61" i="5"/>
  <c r="AM63" i="5" s="1"/>
  <c r="AL61" i="5"/>
  <c r="AL63" i="5" s="1"/>
  <c r="AJ61" i="5"/>
  <c r="AJ63" i="5" s="1"/>
  <c r="AI61" i="5"/>
  <c r="AI63" i="5" s="1"/>
  <c r="AH61" i="5"/>
  <c r="AH63" i="5" s="1"/>
  <c r="AF61" i="5"/>
  <c r="AF63" i="5" s="1"/>
  <c r="AE61" i="5"/>
  <c r="AE63" i="5" s="1"/>
  <c r="AD61" i="5"/>
  <c r="AD63" i="5" s="1"/>
  <c r="AB61" i="5"/>
  <c r="AB63" i="5" s="1"/>
  <c r="AA61" i="5"/>
  <c r="AA63" i="5" s="1"/>
  <c r="Z61" i="5"/>
  <c r="Z63" i="5" s="1"/>
  <c r="X61" i="5"/>
  <c r="X63" i="5" s="1"/>
  <c r="W61" i="5"/>
  <c r="W63" i="5" s="1"/>
  <c r="V61" i="5"/>
  <c r="V63" i="5" s="1"/>
  <c r="T61" i="5"/>
  <c r="T63" i="5" s="1"/>
  <c r="S61" i="5"/>
  <c r="S63" i="5" s="1"/>
  <c r="R61" i="5"/>
  <c r="R63" i="5" s="1"/>
  <c r="P61" i="5"/>
  <c r="P63" i="5" s="1"/>
  <c r="O61" i="5"/>
  <c r="O63" i="5" s="1"/>
  <c r="N61" i="5"/>
  <c r="N63" i="5" s="1"/>
  <c r="L61" i="5"/>
  <c r="L63" i="5" s="1"/>
  <c r="K61" i="5"/>
  <c r="K63" i="5" s="1"/>
  <c r="J61" i="5"/>
  <c r="J63" i="5" s="1"/>
  <c r="H61" i="5"/>
  <c r="H63" i="5" s="1"/>
  <c r="G61" i="5"/>
  <c r="G63" i="5" s="1"/>
  <c r="F61" i="5"/>
  <c r="F63" i="5" s="1"/>
  <c r="AO57" i="5"/>
  <c r="AN57" i="5"/>
  <c r="AM57" i="5"/>
  <c r="AL57" i="5"/>
  <c r="AK57" i="5"/>
  <c r="AJ57" i="5"/>
  <c r="AI57" i="5"/>
  <c r="AH57" i="5"/>
  <c r="AG57" i="5"/>
  <c r="AF57" i="5"/>
  <c r="AE57" i="5"/>
  <c r="AD57" i="5"/>
  <c r="AC57" i="5"/>
  <c r="AB57" i="5"/>
  <c r="AA57" i="5"/>
  <c r="Z57" i="5"/>
  <c r="Y57" i="5"/>
  <c r="X57" i="5"/>
  <c r="W57" i="5"/>
  <c r="V57" i="5"/>
  <c r="U57" i="5"/>
  <c r="T57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E57" i="5"/>
  <c r="AO56" i="5"/>
  <c r="AN56" i="5"/>
  <c r="AM56" i="5"/>
  <c r="AL56" i="5"/>
  <c r="AK56" i="5"/>
  <c r="AJ56" i="5"/>
  <c r="AI56" i="5"/>
  <c r="AH56" i="5"/>
  <c r="AG56" i="5"/>
  <c r="AF56" i="5"/>
  <c r="AE56" i="5"/>
  <c r="AD56" i="5"/>
  <c r="AC56" i="5"/>
  <c r="AB56" i="5"/>
  <c r="AA56" i="5"/>
  <c r="Z56" i="5"/>
  <c r="Y56" i="5"/>
  <c r="X56" i="5"/>
  <c r="W56" i="5"/>
  <c r="V56" i="5"/>
  <c r="U56" i="5"/>
  <c r="T56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F56" i="5"/>
  <c r="E56" i="5"/>
  <c r="AR57" i="5"/>
  <c r="AR56" i="5"/>
  <c r="C68" i="28"/>
  <c r="E67" i="28"/>
  <c r="E66" i="28"/>
  <c r="E65" i="28"/>
  <c r="E64" i="28"/>
  <c r="E63" i="28"/>
  <c r="E62" i="28"/>
  <c r="E61" i="28"/>
  <c r="E60" i="28"/>
  <c r="E59" i="28"/>
  <c r="E58" i="28"/>
  <c r="E57" i="28"/>
  <c r="E56" i="28"/>
  <c r="E55" i="28"/>
  <c r="E54" i="28"/>
  <c r="E53" i="28"/>
  <c r="E52" i="28"/>
  <c r="E50" i="28"/>
  <c r="E49" i="28"/>
  <c r="E48" i="28"/>
  <c r="E47" i="28"/>
  <c r="E46" i="28"/>
  <c r="E45" i="28"/>
  <c r="E44" i="28"/>
  <c r="E42" i="28"/>
  <c r="E41" i="28"/>
  <c r="E39" i="28"/>
  <c r="E38" i="28"/>
  <c r="E37" i="28"/>
  <c r="E36" i="28"/>
  <c r="E35" i="28"/>
  <c r="E34" i="28"/>
  <c r="E33" i="28"/>
  <c r="E19" i="28"/>
  <c r="E32" i="28"/>
  <c r="E31" i="28"/>
  <c r="E30" i="28"/>
  <c r="AD35" i="28"/>
  <c r="E29" i="28"/>
  <c r="AD34" i="28"/>
  <c r="E28" i="28"/>
  <c r="AD33" i="28"/>
  <c r="E27" i="28"/>
  <c r="AD32" i="28"/>
  <c r="E43" i="28"/>
  <c r="AD31" i="28"/>
  <c r="E40" i="28"/>
  <c r="AD30" i="28"/>
  <c r="E26" i="28"/>
  <c r="E25" i="28"/>
  <c r="AF28" i="28"/>
  <c r="E24" i="28"/>
  <c r="E23" i="28"/>
  <c r="E22" i="28"/>
  <c r="AD24" i="28"/>
  <c r="AD23" i="28"/>
  <c r="E21" i="28"/>
  <c r="AD22" i="28"/>
  <c r="E20" i="28"/>
  <c r="AD21" i="28"/>
  <c r="E18" i="28"/>
  <c r="AD20" i="28"/>
  <c r="E17" i="28"/>
  <c r="AD19" i="28"/>
  <c r="E16" i="28"/>
  <c r="E15" i="28"/>
  <c r="AF17" i="28"/>
  <c r="E14" i="28"/>
  <c r="E13" i="28"/>
  <c r="AD13" i="28"/>
  <c r="E12" i="28"/>
  <c r="AD12" i="28"/>
  <c r="AF15" i="7" s="1"/>
  <c r="E11" i="28"/>
  <c r="AD11" i="28"/>
  <c r="AF14" i="7" s="1"/>
  <c r="E51" i="28"/>
  <c r="AD10" i="28"/>
  <c r="AF13" i="7" s="1"/>
  <c r="E10" i="28"/>
  <c r="AD9" i="28"/>
  <c r="AF12" i="7" s="1"/>
  <c r="E9" i="28"/>
  <c r="AD8" i="28"/>
  <c r="AF11" i="7" s="1"/>
  <c r="E8" i="28"/>
  <c r="E7" i="28"/>
  <c r="AF6" i="28"/>
  <c r="AP57" i="5"/>
  <c r="AQ57" i="5"/>
  <c r="AS57" i="5"/>
  <c r="AS56" i="5"/>
  <c r="AQ56" i="5"/>
  <c r="AP56" i="5"/>
  <c r="C68" i="27"/>
  <c r="E67" i="27"/>
  <c r="E66" i="27"/>
  <c r="E65" i="27"/>
  <c r="E64" i="27"/>
  <c r="E63" i="27"/>
  <c r="E62" i="27"/>
  <c r="E61" i="27"/>
  <c r="E60" i="27"/>
  <c r="E59" i="27"/>
  <c r="E58" i="27"/>
  <c r="E57" i="27"/>
  <c r="E56" i="27"/>
  <c r="E55" i="27"/>
  <c r="E54" i="27"/>
  <c r="E53" i="27"/>
  <c r="E52" i="27"/>
  <c r="E51" i="27"/>
  <c r="E50" i="27"/>
  <c r="E49" i="27"/>
  <c r="E48" i="27"/>
  <c r="E47" i="27"/>
  <c r="E46" i="27"/>
  <c r="E45" i="27"/>
  <c r="E44" i="27"/>
  <c r="E43" i="27"/>
  <c r="E42" i="27"/>
  <c r="E41" i="27"/>
  <c r="E40" i="27"/>
  <c r="E39" i="27"/>
  <c r="E38" i="27"/>
  <c r="E37" i="27"/>
  <c r="E36" i="27"/>
  <c r="E35" i="27"/>
  <c r="E34" i="27"/>
  <c r="E33" i="27"/>
  <c r="E32" i="27"/>
  <c r="AD35" i="27"/>
  <c r="E31" i="27"/>
  <c r="AD34" i="27"/>
  <c r="E30" i="27"/>
  <c r="AD33" i="27"/>
  <c r="E29" i="27"/>
  <c r="AD32" i="27"/>
  <c r="E28" i="27"/>
  <c r="AD31" i="27"/>
  <c r="E27" i="27"/>
  <c r="AD30" i="27"/>
  <c r="E26" i="27"/>
  <c r="E25" i="27"/>
  <c r="AF28" i="27"/>
  <c r="E24" i="27"/>
  <c r="E23" i="27"/>
  <c r="E22" i="27"/>
  <c r="AD24" i="27"/>
  <c r="AD23" i="27"/>
  <c r="E21" i="27"/>
  <c r="AD22" i="27"/>
  <c r="E20" i="27"/>
  <c r="AD21" i="27"/>
  <c r="E19" i="27"/>
  <c r="AD20" i="27"/>
  <c r="E18" i="27"/>
  <c r="AD19" i="27"/>
  <c r="E17" i="27"/>
  <c r="E16" i="27"/>
  <c r="AF17" i="27"/>
  <c r="E15" i="27"/>
  <c r="E14" i="27"/>
  <c r="AD13" i="27"/>
  <c r="H13" i="27"/>
  <c r="E13" i="27"/>
  <c r="AD12" i="27"/>
  <c r="H12" i="27"/>
  <c r="E12" i="27"/>
  <c r="AD11" i="27"/>
  <c r="H11" i="27"/>
  <c r="E11" i="27"/>
  <c r="AD10" i="27"/>
  <c r="H10" i="27"/>
  <c r="E10" i="27"/>
  <c r="AD9" i="27"/>
  <c r="H9" i="27"/>
  <c r="E9" i="27"/>
  <c r="AD8" i="27"/>
  <c r="H8" i="27"/>
  <c r="E8" i="27"/>
  <c r="E7" i="27"/>
  <c r="AF6" i="27"/>
  <c r="C68" i="26"/>
  <c r="E67" i="26"/>
  <c r="E66" i="26"/>
  <c r="E65" i="26"/>
  <c r="E64" i="26"/>
  <c r="E63" i="26"/>
  <c r="E62" i="26"/>
  <c r="E61" i="26"/>
  <c r="E60" i="26"/>
  <c r="E59" i="26"/>
  <c r="E43" i="26"/>
  <c r="E58" i="26"/>
  <c r="E57" i="26"/>
  <c r="E56" i="26"/>
  <c r="E55" i="26"/>
  <c r="E54" i="26"/>
  <c r="E53" i="26"/>
  <c r="E52" i="26"/>
  <c r="E51" i="26"/>
  <c r="E50" i="26"/>
  <c r="E49" i="26"/>
  <c r="E48" i="26"/>
  <c r="E47" i="26"/>
  <c r="E46" i="26"/>
  <c r="E32" i="26"/>
  <c r="E45" i="26"/>
  <c r="E44" i="26"/>
  <c r="E42" i="26"/>
  <c r="E24" i="26"/>
  <c r="E41" i="26"/>
  <c r="E40" i="26"/>
  <c r="E39" i="26"/>
  <c r="E38" i="26"/>
  <c r="E37" i="26"/>
  <c r="E36" i="26"/>
  <c r="E35" i="26"/>
  <c r="E34" i="26"/>
  <c r="AD35" i="26"/>
  <c r="E33" i="26"/>
  <c r="AD34" i="26"/>
  <c r="E16" i="26"/>
  <c r="AD33" i="26"/>
  <c r="E31" i="26"/>
  <c r="AD32" i="26"/>
  <c r="E30" i="26"/>
  <c r="AD31" i="26"/>
  <c r="E29" i="26"/>
  <c r="AD30" i="26"/>
  <c r="E28" i="26"/>
  <c r="E27" i="26"/>
  <c r="AF28" i="26"/>
  <c r="E26" i="26"/>
  <c r="E25" i="26"/>
  <c r="E23" i="26"/>
  <c r="E22" i="26"/>
  <c r="AD24" i="26"/>
  <c r="AD23" i="26"/>
  <c r="AD22" i="26"/>
  <c r="E21" i="26"/>
  <c r="AD21" i="26"/>
  <c r="E20" i="26"/>
  <c r="AD20" i="26"/>
  <c r="E19" i="26"/>
  <c r="AD19" i="26"/>
  <c r="E18" i="26"/>
  <c r="E17" i="26"/>
  <c r="AF17" i="26"/>
  <c r="E15" i="26"/>
  <c r="E14" i="26"/>
  <c r="AD13" i="26"/>
  <c r="H13" i="26"/>
  <c r="E13" i="26"/>
  <c r="AD12" i="26"/>
  <c r="H12" i="26"/>
  <c r="E12" i="26"/>
  <c r="AD11" i="26"/>
  <c r="H11" i="26"/>
  <c r="E11" i="26"/>
  <c r="AD10" i="26"/>
  <c r="H10" i="26"/>
  <c r="E10" i="26"/>
  <c r="AD9" i="26"/>
  <c r="H9" i="26"/>
  <c r="E9" i="26"/>
  <c r="AD8" i="26"/>
  <c r="H8" i="26"/>
  <c r="E8" i="26"/>
  <c r="E7" i="26"/>
  <c r="AF6" i="26"/>
  <c r="L14" i="9"/>
  <c r="AD35" i="25"/>
  <c r="AD34" i="25"/>
  <c r="AD33" i="25"/>
  <c r="AD32" i="25"/>
  <c r="AD31" i="25"/>
  <c r="AD30" i="25"/>
  <c r="AD24" i="25"/>
  <c r="AD23" i="25"/>
  <c r="AD22" i="25"/>
  <c r="AD21" i="25"/>
  <c r="AD20" i="25"/>
  <c r="AD19" i="25"/>
  <c r="AD13" i="25"/>
  <c r="AD12" i="25"/>
  <c r="AD11" i="25"/>
  <c r="AD10" i="25"/>
  <c r="AD9" i="25"/>
  <c r="AD8" i="25"/>
  <c r="AF28" i="25"/>
  <c r="AF17" i="25"/>
  <c r="AF6" i="25"/>
  <c r="E67" i="25"/>
  <c r="E66" i="25"/>
  <c r="E65" i="25"/>
  <c r="E64" i="25"/>
  <c r="E63" i="25"/>
  <c r="E62" i="25"/>
  <c r="E61" i="25"/>
  <c r="E60" i="25"/>
  <c r="E59" i="25"/>
  <c r="E58" i="25"/>
  <c r="E57" i="25"/>
  <c r="E56" i="25"/>
  <c r="E55" i="25"/>
  <c r="E54" i="25"/>
  <c r="E53" i="25"/>
  <c r="E52" i="25"/>
  <c r="E51" i="25"/>
  <c r="E50" i="25"/>
  <c r="E49" i="25"/>
  <c r="E48" i="25"/>
  <c r="E32" i="25"/>
  <c r="E47" i="25"/>
  <c r="E46" i="25"/>
  <c r="E45" i="25"/>
  <c r="E44" i="25"/>
  <c r="E43" i="25"/>
  <c r="E42" i="25"/>
  <c r="E41" i="25"/>
  <c r="E40" i="25"/>
  <c r="E39" i="25"/>
  <c r="E38" i="25"/>
  <c r="E37" i="25"/>
  <c r="E36" i="25"/>
  <c r="E35" i="25"/>
  <c r="E34" i="25"/>
  <c r="E33" i="25"/>
  <c r="E31" i="25"/>
  <c r="E30" i="25"/>
  <c r="E29" i="25"/>
  <c r="E28" i="25"/>
  <c r="E27" i="25"/>
  <c r="E26" i="25"/>
  <c r="E25" i="25"/>
  <c r="E24" i="25"/>
  <c r="E23" i="25"/>
  <c r="E22" i="25"/>
  <c r="E21" i="25"/>
  <c r="E20" i="25"/>
  <c r="E19" i="25"/>
  <c r="E18" i="25"/>
  <c r="E17" i="25"/>
  <c r="E16" i="25"/>
  <c r="E15" i="25"/>
  <c r="E14" i="25"/>
  <c r="E13" i="25"/>
  <c r="E12" i="25"/>
  <c r="E11" i="25"/>
  <c r="E10" i="25"/>
  <c r="E9" i="25"/>
  <c r="E8" i="25"/>
  <c r="E7" i="25"/>
  <c r="C68" i="25"/>
  <c r="H13" i="25"/>
  <c r="H12" i="25"/>
  <c r="H11" i="25"/>
  <c r="H10" i="25"/>
  <c r="H9" i="25"/>
  <c r="H8" i="25"/>
  <c r="AD35" i="24"/>
  <c r="AC36" i="7" s="1"/>
  <c r="AD34" i="24"/>
  <c r="AD33" i="24"/>
  <c r="AC34" i="7" s="1"/>
  <c r="AD32" i="24"/>
  <c r="AC33" i="7" s="1"/>
  <c r="AD31" i="24"/>
  <c r="AC32" i="7" s="1"/>
  <c r="AD30" i="24"/>
  <c r="AF28" i="24"/>
  <c r="AD24" i="24"/>
  <c r="AC26" i="7" s="1"/>
  <c r="AD23" i="24"/>
  <c r="AC25" i="7" s="1"/>
  <c r="AD22" i="24"/>
  <c r="AC24" i="7" s="1"/>
  <c r="AD21" i="24"/>
  <c r="AC23" i="7" s="1"/>
  <c r="AD20" i="24"/>
  <c r="AF17" i="24"/>
  <c r="AD19" i="24"/>
  <c r="AC21" i="7" s="1"/>
  <c r="AD13" i="24"/>
  <c r="AC16" i="7" s="1"/>
  <c r="AD12" i="24"/>
  <c r="AC15" i="7" s="1"/>
  <c r="AD11" i="24"/>
  <c r="AD10" i="24"/>
  <c r="AD9" i="24"/>
  <c r="AD8" i="24"/>
  <c r="AC11" i="7" s="1"/>
  <c r="AF6" i="24"/>
  <c r="C75" i="24"/>
  <c r="E74" i="24"/>
  <c r="E73" i="24"/>
  <c r="E72" i="24"/>
  <c r="E71" i="24"/>
  <c r="E70" i="24"/>
  <c r="E69" i="24"/>
  <c r="E68" i="24"/>
  <c r="E67" i="24"/>
  <c r="E66" i="24"/>
  <c r="E65" i="24"/>
  <c r="E64" i="24"/>
  <c r="E63" i="24"/>
  <c r="E62" i="24"/>
  <c r="E60" i="24"/>
  <c r="E59" i="24"/>
  <c r="E58" i="24"/>
  <c r="E56" i="24"/>
  <c r="E55" i="24"/>
  <c r="E54" i="24"/>
  <c r="E53" i="24"/>
  <c r="E52" i="24"/>
  <c r="E51" i="24"/>
  <c r="E50" i="24"/>
  <c r="E49" i="24"/>
  <c r="E48" i="24"/>
  <c r="E47" i="24"/>
  <c r="E30" i="24"/>
  <c r="E46" i="24"/>
  <c r="E45" i="24"/>
  <c r="E44" i="24"/>
  <c r="E43" i="24"/>
  <c r="E61" i="24"/>
  <c r="E41" i="24"/>
  <c r="E40" i="24"/>
  <c r="E39" i="24"/>
  <c r="E38" i="24"/>
  <c r="E21" i="24"/>
  <c r="E37" i="24"/>
  <c r="E36" i="24"/>
  <c r="E35" i="24"/>
  <c r="E34" i="24"/>
  <c r="E33" i="24"/>
  <c r="E32" i="24"/>
  <c r="E31" i="24"/>
  <c r="E29" i="24"/>
  <c r="E28" i="24"/>
  <c r="E27" i="24"/>
  <c r="E26" i="24"/>
  <c r="E25" i="24"/>
  <c r="E22" i="24"/>
  <c r="E20" i="24"/>
  <c r="E19" i="24"/>
  <c r="E18" i="24"/>
  <c r="E17" i="24"/>
  <c r="E14" i="24"/>
  <c r="H13" i="24"/>
  <c r="E13" i="24"/>
  <c r="H12" i="24"/>
  <c r="E12" i="24"/>
  <c r="H11" i="24"/>
  <c r="E11" i="24"/>
  <c r="H10" i="24"/>
  <c r="E10" i="24"/>
  <c r="H9" i="24"/>
  <c r="E9" i="24"/>
  <c r="H8" i="24"/>
  <c r="E8" i="24"/>
  <c r="E7" i="24"/>
  <c r="AF6" i="20"/>
  <c r="AF28" i="20"/>
  <c r="AF17" i="20"/>
  <c r="Z37" i="7"/>
  <c r="AA36" i="7" s="1"/>
  <c r="W37" i="7"/>
  <c r="T37" i="7"/>
  <c r="Z27" i="7"/>
  <c r="AA22" i="7" s="1"/>
  <c r="W27" i="7"/>
  <c r="X23" i="7" s="1"/>
  <c r="T27" i="7"/>
  <c r="U24" i="7" s="1"/>
  <c r="Z17" i="7"/>
  <c r="AA14" i="7" s="1"/>
  <c r="W17" i="7"/>
  <c r="X11" i="7" s="1"/>
  <c r="T17" i="7"/>
  <c r="U11" i="7" s="1"/>
  <c r="AD35" i="20"/>
  <c r="AD34" i="20"/>
  <c r="AD33" i="20"/>
  <c r="AD32" i="20"/>
  <c r="AD31" i="20"/>
  <c r="AD30" i="20"/>
  <c r="AD24" i="20"/>
  <c r="AD23" i="20"/>
  <c r="AD22" i="20"/>
  <c r="AD21" i="20"/>
  <c r="AD20" i="20"/>
  <c r="AD19" i="20"/>
  <c r="AD13" i="20"/>
  <c r="AD12" i="20"/>
  <c r="AD11" i="20"/>
  <c r="AD10" i="20"/>
  <c r="AD9" i="20"/>
  <c r="AD8" i="20"/>
  <c r="E8" i="20"/>
  <c r="E7" i="20"/>
  <c r="E75" i="20"/>
  <c r="E51" i="20"/>
  <c r="E74" i="20"/>
  <c r="E69" i="20"/>
  <c r="E68" i="20"/>
  <c r="E67" i="20"/>
  <c r="E72" i="20"/>
  <c r="E66" i="20"/>
  <c r="E73" i="20"/>
  <c r="E65" i="20"/>
  <c r="E64" i="20"/>
  <c r="E63" i="20"/>
  <c r="E62" i="20"/>
  <c r="E61" i="20"/>
  <c r="E60" i="20"/>
  <c r="E59" i="20"/>
  <c r="E56" i="20"/>
  <c r="E55" i="20"/>
  <c r="E54" i="20"/>
  <c r="E53" i="20"/>
  <c r="E52" i="20"/>
  <c r="E50" i="20"/>
  <c r="E49" i="20"/>
  <c r="E48" i="20"/>
  <c r="E47" i="20"/>
  <c r="E46" i="20"/>
  <c r="E45" i="20"/>
  <c r="E44" i="20"/>
  <c r="E43" i="20"/>
  <c r="E41" i="20"/>
  <c r="E40" i="20"/>
  <c r="E39" i="20"/>
  <c r="E38" i="20"/>
  <c r="E37" i="20"/>
  <c r="E36" i="20"/>
  <c r="E57" i="20"/>
  <c r="E35" i="20"/>
  <c r="E34" i="20"/>
  <c r="E33" i="20"/>
  <c r="E32" i="20"/>
  <c r="E31" i="20"/>
  <c r="E30" i="20"/>
  <c r="E29" i="20"/>
  <c r="E28" i="20"/>
  <c r="E27" i="20"/>
  <c r="E26" i="20"/>
  <c r="E25" i="20"/>
  <c r="E24" i="20"/>
  <c r="E23" i="20"/>
  <c r="E20" i="20"/>
  <c r="E19" i="20"/>
  <c r="E18" i="20"/>
  <c r="E17" i="20"/>
  <c r="E14" i="20"/>
  <c r="E13" i="20"/>
  <c r="E12" i="20"/>
  <c r="E11" i="20"/>
  <c r="E10" i="20"/>
  <c r="E9" i="20"/>
  <c r="E71" i="20"/>
  <c r="E70" i="20"/>
  <c r="C76" i="20"/>
  <c r="H13" i="20"/>
  <c r="H12" i="20"/>
  <c r="H11" i="20"/>
  <c r="H10" i="20"/>
  <c r="H9" i="20"/>
  <c r="H8" i="20"/>
  <c r="C77" i="17"/>
  <c r="F13" i="17"/>
  <c r="F12" i="17"/>
  <c r="F11" i="17"/>
  <c r="F10" i="17"/>
  <c r="F9" i="17"/>
  <c r="F8" i="17"/>
  <c r="C76" i="16"/>
  <c r="F13" i="16"/>
  <c r="F12" i="16"/>
  <c r="F11" i="16"/>
  <c r="F10" i="16"/>
  <c r="F9" i="16"/>
  <c r="F8" i="16"/>
  <c r="K14" i="10"/>
  <c r="K13" i="10" s="1"/>
  <c r="K14" i="9"/>
  <c r="J14" i="10"/>
  <c r="J13" i="10" s="1"/>
  <c r="J14" i="9"/>
  <c r="E17" i="7"/>
  <c r="F13" i="7" s="1"/>
  <c r="H17" i="7"/>
  <c r="I14" i="7" s="1"/>
  <c r="K17" i="7"/>
  <c r="L14" i="7" s="1"/>
  <c r="N17" i="7"/>
  <c r="O13" i="7" s="1"/>
  <c r="Q17" i="7"/>
  <c r="R13" i="7" s="1"/>
  <c r="E27" i="7"/>
  <c r="F27" i="7"/>
  <c r="H27" i="7"/>
  <c r="I27" i="7"/>
  <c r="K27" i="7"/>
  <c r="L27" i="7"/>
  <c r="N27" i="7"/>
  <c r="O22" i="7" s="1"/>
  <c r="Q27" i="7"/>
  <c r="E37" i="7"/>
  <c r="F37" i="7"/>
  <c r="H37" i="7"/>
  <c r="I37" i="7"/>
  <c r="K37" i="7"/>
  <c r="L37" i="7"/>
  <c r="N37" i="7"/>
  <c r="O35" i="7" s="1"/>
  <c r="Q37" i="7"/>
  <c r="R31" i="7" s="1"/>
  <c r="D14" i="10"/>
  <c r="D13" i="10" s="1"/>
  <c r="E14" i="10"/>
  <c r="E13" i="10" s="1"/>
  <c r="F14" i="10"/>
  <c r="F13" i="10" s="1"/>
  <c r="G14" i="10"/>
  <c r="G13" i="10" s="1"/>
  <c r="H14" i="10"/>
  <c r="H13" i="10" s="1"/>
  <c r="I14" i="10"/>
  <c r="I13" i="10" s="1"/>
  <c r="D14" i="9"/>
  <c r="E14" i="9"/>
  <c r="F14" i="9"/>
  <c r="G14" i="9"/>
  <c r="H14" i="9"/>
  <c r="I14" i="9"/>
  <c r="F16" i="8"/>
  <c r="G15" i="8" s="1"/>
  <c r="C85" i="8"/>
  <c r="F14" i="11"/>
  <c r="G13" i="11" s="1"/>
  <c r="C77" i="11"/>
  <c r="AF32" i="7"/>
  <c r="AC14" i="7"/>
  <c r="AX12" i="7"/>
  <c r="AO12" i="7"/>
  <c r="BG12" i="7"/>
  <c r="AU12" i="7"/>
  <c r="BG13" i="7"/>
  <c r="AU22" i="7"/>
  <c r="BG22" i="7"/>
  <c r="BD12" i="7"/>
  <c r="AI12" i="7"/>
  <c r="BJ12" i="7"/>
  <c r="AR12" i="7"/>
  <c r="BJ22" i="7"/>
  <c r="BA12" i="7"/>
  <c r="BM22" i="7"/>
  <c r="BJ13" i="7"/>
  <c r="BA22" i="7"/>
  <c r="AL12" i="7"/>
  <c r="BM13" i="7"/>
  <c r="AW50" i="5" l="1"/>
  <c r="N11" i="9" s="1"/>
  <c r="AW51" i="5"/>
  <c r="N12" i="9" s="1"/>
  <c r="AW52" i="5"/>
  <c r="AW58" i="5"/>
  <c r="H14" i="24"/>
  <c r="I13" i="24" s="1"/>
  <c r="AD25" i="27"/>
  <c r="AE25" i="27" s="1"/>
  <c r="AD25" i="24"/>
  <c r="R12" i="7"/>
  <c r="AG6" i="24"/>
  <c r="G9" i="11"/>
  <c r="H14" i="27"/>
  <c r="I13" i="27" s="1"/>
  <c r="R16" i="10"/>
  <c r="Q16" i="10"/>
  <c r="P16" i="10"/>
  <c r="X16" i="10" s="1"/>
  <c r="F14" i="17"/>
  <c r="H14" i="25"/>
  <c r="M52" i="5"/>
  <c r="U52" i="5"/>
  <c r="E58" i="5"/>
  <c r="AO58" i="5"/>
  <c r="AA26" i="7"/>
  <c r="AX22" i="7"/>
  <c r="AL13" i="7"/>
  <c r="AI13" i="7"/>
  <c r="AR13" i="7"/>
  <c r="BA13" i="7"/>
  <c r="AO22" i="7"/>
  <c r="AO13" i="7"/>
  <c r="AU13" i="7"/>
  <c r="BD22" i="7"/>
  <c r="AX13" i="7"/>
  <c r="AR22" i="7"/>
  <c r="AI22" i="7"/>
  <c r="AL22" i="7"/>
  <c r="BD13" i="7"/>
  <c r="I8" i="24" l="1"/>
  <c r="Q58" i="5"/>
  <c r="B58" i="5"/>
  <c r="AI58" i="5"/>
  <c r="J58" i="5"/>
  <c r="AC51" i="5"/>
  <c r="I62" i="5"/>
  <c r="R58" i="5"/>
  <c r="AO62" i="5"/>
  <c r="L12" i="10" s="1"/>
  <c r="AP58" i="5"/>
  <c r="L58" i="5"/>
  <c r="P58" i="5"/>
  <c r="AF58" i="5"/>
  <c r="AJ58" i="5"/>
  <c r="E62" i="5"/>
  <c r="AO50" i="5"/>
  <c r="AC52" i="5"/>
  <c r="AK52" i="5"/>
  <c r="U58" i="5"/>
  <c r="AC58" i="5"/>
  <c r="AG58" i="5"/>
  <c r="C58" i="5"/>
  <c r="G58" i="5"/>
  <c r="AE58" i="5"/>
  <c r="I50" i="5"/>
  <c r="N58" i="5"/>
  <c r="D58" i="5"/>
  <c r="E50" i="5"/>
  <c r="Q50" i="5"/>
  <c r="AC50" i="5"/>
  <c r="M50" i="5"/>
  <c r="AK50" i="5"/>
  <c r="AM58" i="5"/>
  <c r="E51" i="5"/>
  <c r="Y50" i="5"/>
  <c r="Y52" i="5"/>
  <c r="U61" i="5"/>
  <c r="U62" i="5"/>
  <c r="Q61" i="5"/>
  <c r="AK61" i="5"/>
  <c r="I61" i="5"/>
  <c r="E61" i="5"/>
  <c r="I51" i="5"/>
  <c r="M51" i="5"/>
  <c r="Q51" i="5"/>
  <c r="U51" i="5"/>
  <c r="U53" i="5" s="1"/>
  <c r="I52" i="5"/>
  <c r="F58" i="5"/>
  <c r="Z58" i="5"/>
  <c r="AK58" i="5"/>
  <c r="Q62" i="5"/>
  <c r="AS61" i="5"/>
  <c r="M11" i="10" s="1"/>
  <c r="AH58" i="5"/>
  <c r="AO61" i="5"/>
  <c r="L11" i="10" s="1"/>
  <c r="H58" i="5"/>
  <c r="T58" i="5"/>
  <c r="AK62" i="5"/>
  <c r="E52" i="5"/>
  <c r="AG52" i="5"/>
  <c r="I15" i="7"/>
  <c r="I16" i="7"/>
  <c r="I12" i="7"/>
  <c r="X12" i="7"/>
  <c r="R11" i="7"/>
  <c r="R14" i="7"/>
  <c r="R34" i="7"/>
  <c r="BQ23" i="7"/>
  <c r="BQ32" i="7"/>
  <c r="G14" i="17"/>
  <c r="G9" i="17"/>
  <c r="X31" i="7"/>
  <c r="X35" i="7"/>
  <c r="AF26" i="7"/>
  <c r="M14" i="9"/>
  <c r="R16" i="7"/>
  <c r="AA15" i="7"/>
  <c r="I10" i="24"/>
  <c r="G10" i="11"/>
  <c r="G8" i="11"/>
  <c r="G12" i="11"/>
  <c r="G14" i="11"/>
  <c r="G11" i="11"/>
  <c r="AD14" i="24"/>
  <c r="AC22" i="7"/>
  <c r="O58" i="5"/>
  <c r="S58" i="5"/>
  <c r="Y51" i="5"/>
  <c r="G13" i="8"/>
  <c r="G12" i="8"/>
  <c r="G14" i="8"/>
  <c r="G10" i="8"/>
  <c r="G11" i="8"/>
  <c r="O25" i="7"/>
  <c r="O21" i="7"/>
  <c r="AE24" i="27"/>
  <c r="AD14" i="28"/>
  <c r="AE13" i="28" s="1"/>
  <c r="O26" i="7"/>
  <c r="AD25" i="20"/>
  <c r="AD36" i="20"/>
  <c r="U31" i="7"/>
  <c r="U34" i="7"/>
  <c r="I9" i="24"/>
  <c r="AC35" i="7"/>
  <c r="AD25" i="26"/>
  <c r="AE25" i="26" s="1"/>
  <c r="AE21" i="27"/>
  <c r="AE23" i="27"/>
  <c r="AD36" i="27"/>
  <c r="AE36" i="27" s="1"/>
  <c r="AQ58" i="5"/>
  <c r="AS62" i="5"/>
  <c r="M12" i="10" s="1"/>
  <c r="AF21" i="7"/>
  <c r="AF23" i="7"/>
  <c r="AF25" i="7"/>
  <c r="AF31" i="7"/>
  <c r="AF33" i="7"/>
  <c r="AF35" i="7"/>
  <c r="AR58" i="5"/>
  <c r="AS53" i="5"/>
  <c r="AK51" i="5"/>
  <c r="X58" i="5"/>
  <c r="AC62" i="5"/>
  <c r="AL58" i="5"/>
  <c r="AE19" i="26"/>
  <c r="AE20" i="27"/>
  <c r="AE22" i="27"/>
  <c r="AF22" i="7"/>
  <c r="AF24" i="7"/>
  <c r="AF34" i="7"/>
  <c r="AF36" i="7"/>
  <c r="K58" i="5"/>
  <c r="M58" i="5"/>
  <c r="AG51" i="5"/>
  <c r="Q52" i="5"/>
  <c r="AD14" i="20"/>
  <c r="AE9" i="20" s="1"/>
  <c r="AG17" i="24"/>
  <c r="AD14" i="25"/>
  <c r="AD25" i="25"/>
  <c r="AE25" i="25" s="1"/>
  <c r="AE19" i="27"/>
  <c r="AS58" i="5"/>
  <c r="I58" i="5"/>
  <c r="M61" i="5"/>
  <c r="W58" i="5"/>
  <c r="AA58" i="5"/>
  <c r="AN58" i="5"/>
  <c r="M62" i="5"/>
  <c r="AO51" i="5"/>
  <c r="AO52" i="5"/>
  <c r="AD36" i="26"/>
  <c r="AE36" i="26" s="1"/>
  <c r="H14" i="26"/>
  <c r="I10" i="26" s="1"/>
  <c r="H14" i="28"/>
  <c r="AD36" i="28"/>
  <c r="AE36" i="28" s="1"/>
  <c r="AE8" i="28"/>
  <c r="AF16" i="7"/>
  <c r="R15" i="7"/>
  <c r="O24" i="7"/>
  <c r="O23" i="7"/>
  <c r="AA11" i="7"/>
  <c r="F16" i="7"/>
  <c r="AI32" i="7"/>
  <c r="AU23" i="7"/>
  <c r="AL32" i="7"/>
  <c r="AR23" i="7"/>
  <c r="BG23" i="7"/>
  <c r="BA23" i="7"/>
  <c r="L14" i="10" l="1"/>
  <c r="L13" i="10" s="1"/>
  <c r="AE31" i="27"/>
  <c r="AE32" i="26"/>
  <c r="AE30" i="28"/>
  <c r="AE19" i="25"/>
  <c r="AE31" i="28"/>
  <c r="AE30" i="26"/>
  <c r="AE34" i="28"/>
  <c r="AE20" i="25"/>
  <c r="AE35" i="28"/>
  <c r="AE35" i="26"/>
  <c r="AE33" i="26"/>
  <c r="Q53" i="5"/>
  <c r="E63" i="5"/>
  <c r="I63" i="5"/>
  <c r="M53" i="5"/>
  <c r="AK53" i="5"/>
  <c r="Y53" i="5"/>
  <c r="E53" i="5"/>
  <c r="U63" i="5"/>
  <c r="AK63" i="5"/>
  <c r="I53" i="5"/>
  <c r="AG53" i="5"/>
  <c r="M14" i="10"/>
  <c r="M13" i="10" s="1"/>
  <c r="BQ33" i="7"/>
  <c r="AE23" i="26"/>
  <c r="AE19" i="24"/>
  <c r="AE12" i="24"/>
  <c r="AE24" i="24"/>
  <c r="AE30" i="24"/>
  <c r="AE33" i="28"/>
  <c r="AE35" i="27"/>
  <c r="AE24" i="26"/>
  <c r="AE32" i="28"/>
  <c r="AE34" i="27"/>
  <c r="AE31" i="26"/>
  <c r="AE14" i="28"/>
  <c r="AE12" i="28"/>
  <c r="AE9" i="28"/>
  <c r="AE35" i="20"/>
  <c r="AE22" i="20"/>
  <c r="AE21" i="20"/>
  <c r="AE12" i="20"/>
  <c r="AE11" i="20"/>
  <c r="AE33" i="20"/>
  <c r="AE14" i="20"/>
  <c r="AE30" i="27"/>
  <c r="AE20" i="26"/>
  <c r="AE34" i="24"/>
  <c r="AS63" i="5"/>
  <c r="M63" i="5"/>
  <c r="AE23" i="25"/>
  <c r="AE33" i="27"/>
  <c r="AE34" i="26"/>
  <c r="AE21" i="26"/>
  <c r="AE22" i="25"/>
  <c r="AE32" i="27"/>
  <c r="AE22" i="26"/>
  <c r="AE24" i="25"/>
  <c r="AE25" i="24"/>
  <c r="AE36" i="20"/>
  <c r="AE19" i="20"/>
  <c r="AE11" i="28"/>
  <c r="AE21" i="25"/>
  <c r="I12" i="26"/>
  <c r="I14" i="26"/>
  <c r="I8" i="26"/>
  <c r="I14" i="28"/>
  <c r="I13" i="28"/>
  <c r="I10" i="28"/>
  <c r="I11" i="28"/>
  <c r="I9" i="28"/>
  <c r="I8" i="28"/>
  <c r="I12" i="28"/>
  <c r="L13" i="7"/>
  <c r="O15" i="7"/>
  <c r="L16" i="7"/>
  <c r="O33" i="7"/>
  <c r="L15" i="7"/>
  <c r="AA16" i="7"/>
  <c r="U32" i="7"/>
  <c r="AA13" i="7"/>
  <c r="O11" i="7"/>
  <c r="U35" i="7"/>
  <c r="O12" i="7"/>
  <c r="BQ14" i="7"/>
  <c r="U33" i="7"/>
  <c r="I13" i="7"/>
  <c r="AF27" i="7"/>
  <c r="AG25" i="7" s="1"/>
  <c r="M16" i="10"/>
  <c r="S16" i="10" s="1"/>
  <c r="N16" i="10"/>
  <c r="V16" i="10" s="1"/>
  <c r="AW61" i="5"/>
  <c r="AW62" i="5"/>
  <c r="N12" i="10" s="1"/>
  <c r="X22" i="7"/>
  <c r="L12" i="7"/>
  <c r="X36" i="7"/>
  <c r="R17" i="7"/>
  <c r="AA12" i="7"/>
  <c r="F11" i="7"/>
  <c r="X34" i="7"/>
  <c r="X32" i="7"/>
  <c r="U36" i="7"/>
  <c r="O16" i="7"/>
  <c r="O36" i="7"/>
  <c r="X33" i="7"/>
  <c r="O32" i="7"/>
  <c r="AC27" i="7"/>
  <c r="L11" i="7"/>
  <c r="O34" i="7"/>
  <c r="F15" i="7"/>
  <c r="X16" i="7"/>
  <c r="X14" i="7"/>
  <c r="X26" i="7"/>
  <c r="X24" i="7"/>
  <c r="F14" i="7"/>
  <c r="X15" i="7"/>
  <c r="X25" i="7"/>
  <c r="X21" i="7"/>
  <c r="F12" i="7"/>
  <c r="X13" i="7"/>
  <c r="O14" i="7"/>
  <c r="I11" i="7"/>
  <c r="I12" i="25"/>
  <c r="I14" i="25"/>
  <c r="I13" i="25"/>
  <c r="I11" i="25"/>
  <c r="I8" i="25"/>
  <c r="I9" i="25"/>
  <c r="I10" i="25"/>
  <c r="AE9" i="25"/>
  <c r="AE13" i="25"/>
  <c r="AE8" i="25"/>
  <c r="AE12" i="25"/>
  <c r="AE14" i="25"/>
  <c r="AE14" i="24"/>
  <c r="AE33" i="24"/>
  <c r="U16" i="7"/>
  <c r="U14" i="7"/>
  <c r="U13" i="7"/>
  <c r="U12" i="7"/>
  <c r="U21" i="7"/>
  <c r="U22" i="7"/>
  <c r="U25" i="7"/>
  <c r="AA32" i="7"/>
  <c r="AA34" i="7"/>
  <c r="AE13" i="24"/>
  <c r="AE23" i="24"/>
  <c r="AD25" i="28"/>
  <c r="AE10" i="25"/>
  <c r="R33" i="7"/>
  <c r="R32" i="7"/>
  <c r="R35" i="7"/>
  <c r="R26" i="7"/>
  <c r="R23" i="7"/>
  <c r="AD14" i="27"/>
  <c r="AE13" i="27" s="1"/>
  <c r="N13" i="9"/>
  <c r="N14" i="9" s="1"/>
  <c r="AW53" i="5"/>
  <c r="AE20" i="24"/>
  <c r="R24" i="7"/>
  <c r="AE25" i="20"/>
  <c r="I14" i="27"/>
  <c r="U15" i="7"/>
  <c r="R21" i="7"/>
  <c r="G12" i="17"/>
  <c r="AE13" i="20"/>
  <c r="AD14" i="26"/>
  <c r="AO53" i="5"/>
  <c r="G13" i="17"/>
  <c r="G10" i="17"/>
  <c r="G11" i="17"/>
  <c r="AC13" i="7"/>
  <c r="AE10" i="24"/>
  <c r="AE21" i="24"/>
  <c r="AE22" i="24"/>
  <c r="AA23" i="7"/>
  <c r="G8" i="17"/>
  <c r="AA35" i="7"/>
  <c r="F14" i="16"/>
  <c r="G8" i="16" s="1"/>
  <c r="AE32" i="20"/>
  <c r="AE20" i="20"/>
  <c r="AE31" i="20"/>
  <c r="AC31" i="7"/>
  <c r="AD36" i="24"/>
  <c r="AE36" i="24" s="1"/>
  <c r="AE11" i="25"/>
  <c r="I12" i="27"/>
  <c r="AE35" i="24"/>
  <c r="AA33" i="7"/>
  <c r="AE31" i="24"/>
  <c r="AV58" i="5"/>
  <c r="AC61" i="5"/>
  <c r="AC63" i="5" s="1"/>
  <c r="AE34" i="20"/>
  <c r="AE8" i="20"/>
  <c r="AE23" i="20"/>
  <c r="AA25" i="7"/>
  <c r="AF17" i="7"/>
  <c r="R25" i="7"/>
  <c r="I11" i="26"/>
  <c r="I13" i="26"/>
  <c r="I11" i="27"/>
  <c r="AG61" i="5"/>
  <c r="AE32" i="24"/>
  <c r="AE11" i="24"/>
  <c r="Y61" i="5"/>
  <c r="AO63" i="5"/>
  <c r="AA21" i="7"/>
  <c r="Q63" i="5"/>
  <c r="AE8" i="24"/>
  <c r="AE10" i="20"/>
  <c r="I10" i="27"/>
  <c r="I9" i="26"/>
  <c r="AE24" i="20"/>
  <c r="O27" i="7"/>
  <c r="R36" i="7"/>
  <c r="R22" i="7"/>
  <c r="U23" i="7"/>
  <c r="U26" i="7"/>
  <c r="AA24" i="7"/>
  <c r="AA31" i="7"/>
  <c r="I11" i="24"/>
  <c r="I14" i="24"/>
  <c r="I12" i="24"/>
  <c r="AC12" i="7"/>
  <c r="AE9" i="24"/>
  <c r="I8" i="27"/>
  <c r="I9" i="27"/>
  <c r="H14" i="20"/>
  <c r="AE10" i="28"/>
  <c r="O31" i="7"/>
  <c r="AE30" i="20"/>
  <c r="AG28" i="24"/>
  <c r="AD36" i="25"/>
  <c r="AF37" i="7"/>
  <c r="AG32" i="7" s="1"/>
  <c r="Y58" i="5"/>
  <c r="Y62" i="5"/>
  <c r="V58" i="5"/>
  <c r="AG62" i="5"/>
  <c r="AD58" i="5"/>
  <c r="AC53" i="5"/>
  <c r="AB58" i="5"/>
  <c r="BD23" i="7"/>
  <c r="BJ23" i="7"/>
  <c r="BM14" i="7"/>
  <c r="AU32" i="7"/>
  <c r="AX23" i="7"/>
  <c r="AI23" i="7"/>
  <c r="BA14" i="7"/>
  <c r="AO23" i="7"/>
  <c r="AL23" i="7"/>
  <c r="AU33" i="7"/>
  <c r="AO32" i="7"/>
  <c r="BM23" i="7"/>
  <c r="AR32" i="7"/>
  <c r="U16" i="10" l="1"/>
  <c r="O16" i="10"/>
  <c r="W16" i="10" s="1"/>
  <c r="AW63" i="5"/>
  <c r="AG22" i="7"/>
  <c r="AG24" i="7"/>
  <c r="AD23" i="7"/>
  <c r="AD24" i="7"/>
  <c r="AD25" i="7"/>
  <c r="AD26" i="7"/>
  <c r="AD21" i="7"/>
  <c r="AG15" i="7"/>
  <c r="AG13" i="7"/>
  <c r="AG12" i="7"/>
  <c r="AG11" i="7"/>
  <c r="AG14" i="7"/>
  <c r="AD22" i="7"/>
  <c r="AG16" i="7"/>
  <c r="AG31" i="7"/>
  <c r="AG26" i="7"/>
  <c r="AG36" i="7"/>
  <c r="AG21" i="7"/>
  <c r="AG23" i="7"/>
  <c r="AG35" i="7"/>
  <c r="AG34" i="7"/>
  <c r="AG33" i="7"/>
  <c r="I17" i="7"/>
  <c r="BQ24" i="7"/>
  <c r="AE25" i="28"/>
  <c r="AE20" i="28"/>
  <c r="AE22" i="28"/>
  <c r="AE19" i="28"/>
  <c r="AE23" i="28"/>
  <c r="AE24" i="28"/>
  <c r="AE21" i="28"/>
  <c r="AE36" i="25"/>
  <c r="AE30" i="25"/>
  <c r="AE35" i="25"/>
  <c r="AE34" i="25"/>
  <c r="AE33" i="25"/>
  <c r="AE31" i="25"/>
  <c r="AE32" i="25"/>
  <c r="U14" i="10"/>
  <c r="U13" i="10" s="1"/>
  <c r="N11" i="10"/>
  <c r="N14" i="10" s="1"/>
  <c r="N13" i="10" s="1"/>
  <c r="L17" i="7"/>
  <c r="U37" i="7"/>
  <c r="AA17" i="7"/>
  <c r="BQ15" i="7"/>
  <c r="O17" i="7"/>
  <c r="F17" i="7"/>
  <c r="X17" i="7"/>
  <c r="X27" i="7"/>
  <c r="O37" i="7"/>
  <c r="X37" i="7"/>
  <c r="U17" i="7"/>
  <c r="R37" i="7"/>
  <c r="AG63" i="5"/>
  <c r="I12" i="20"/>
  <c r="I14" i="20"/>
  <c r="I9" i="20"/>
  <c r="I10" i="20"/>
  <c r="I11" i="20"/>
  <c r="I8" i="20"/>
  <c r="AC17" i="7"/>
  <c r="AD12" i="7" s="1"/>
  <c r="AA37" i="7"/>
  <c r="Y63" i="5"/>
  <c r="AC37" i="7"/>
  <c r="AD31" i="7" s="1"/>
  <c r="G10" i="16"/>
  <c r="G13" i="16"/>
  <c r="G9" i="16"/>
  <c r="G12" i="16"/>
  <c r="G14" i="16"/>
  <c r="G11" i="16"/>
  <c r="I13" i="20"/>
  <c r="AE11" i="26"/>
  <c r="AE13" i="26"/>
  <c r="AE10" i="26"/>
  <c r="AE8" i="26"/>
  <c r="AE14" i="26"/>
  <c r="AE12" i="26"/>
  <c r="AA27" i="7"/>
  <c r="AE9" i="26"/>
  <c r="R27" i="7"/>
  <c r="AE10" i="27"/>
  <c r="AE9" i="27"/>
  <c r="AE14" i="27"/>
  <c r="AE11" i="27"/>
  <c r="AE8" i="27"/>
  <c r="AE12" i="27"/>
  <c r="U27" i="7"/>
  <c r="AI33" i="7"/>
  <c r="BJ14" i="7"/>
  <c r="AR33" i="7"/>
  <c r="AU15" i="7"/>
  <c r="AX14" i="7"/>
  <c r="BG14" i="7"/>
  <c r="AI14" i="7"/>
  <c r="AO33" i="7"/>
  <c r="AL14" i="7"/>
  <c r="BD14" i="7"/>
  <c r="AL33" i="7"/>
  <c r="AR14" i="7"/>
  <c r="BM24" i="7"/>
  <c r="AU14" i="7"/>
  <c r="BJ15" i="7"/>
  <c r="BG24" i="7"/>
  <c r="AO14" i="7"/>
  <c r="AG27" i="7" l="1"/>
  <c r="AG37" i="7"/>
  <c r="AD14" i="7"/>
  <c r="AD15" i="7"/>
  <c r="AD16" i="7"/>
  <c r="AD11" i="7"/>
  <c r="AD13" i="7"/>
  <c r="AG17" i="7"/>
  <c r="AD33" i="7"/>
  <c r="AD36" i="7"/>
  <c r="AD34" i="7"/>
  <c r="AD32" i="7"/>
  <c r="AD35" i="7"/>
  <c r="AD27" i="7"/>
  <c r="BQ25" i="7"/>
  <c r="BQ34" i="7"/>
  <c r="BQ16" i="7"/>
  <c r="AI15" i="7"/>
  <c r="AO15" i="7"/>
  <c r="BJ24" i="7"/>
  <c r="BD15" i="7"/>
  <c r="BJ16" i="7"/>
  <c r="BA24" i="7"/>
  <c r="AL15" i="7"/>
  <c r="BM15" i="7"/>
  <c r="BM25" i="7"/>
  <c r="BA16" i="7"/>
  <c r="BJ25" i="7"/>
  <c r="BM16" i="7"/>
  <c r="BG15" i="7"/>
  <c r="BG25" i="7"/>
  <c r="AX15" i="7"/>
  <c r="BD24" i="7"/>
  <c r="AX24" i="7"/>
  <c r="AU24" i="7"/>
  <c r="BG16" i="7"/>
  <c r="BA15" i="7"/>
  <c r="AO24" i="7"/>
  <c r="AR15" i="7"/>
  <c r="AI24" i="7"/>
  <c r="AR24" i="7"/>
  <c r="AL24" i="7"/>
  <c r="AL34" i="7"/>
  <c r="BM17" i="7" l="1"/>
  <c r="BG17" i="7"/>
  <c r="BJ17" i="7"/>
  <c r="BK16" i="7" s="1"/>
  <c r="BA17" i="7"/>
  <c r="BB16" i="7" s="1"/>
  <c r="AX16" i="7"/>
  <c r="BD25" i="7"/>
  <c r="AR34" i="7"/>
  <c r="AI34" i="7"/>
  <c r="BA25" i="7"/>
  <c r="BD16" i="7"/>
  <c r="AI16" i="7"/>
  <c r="AO25" i="7"/>
  <c r="AU25" i="7"/>
  <c r="AO34" i="7"/>
  <c r="AR25" i="7"/>
  <c r="AI25" i="7"/>
  <c r="AL16" i="7"/>
  <c r="AL25" i="7"/>
  <c r="AX25" i="7"/>
  <c r="AU34" i="7"/>
  <c r="AO16" i="7"/>
  <c r="AR16" i="7"/>
  <c r="AU16" i="7"/>
  <c r="BN11" i="7" l="1"/>
  <c r="BN12" i="7"/>
  <c r="BN13" i="7"/>
  <c r="BN14" i="7"/>
  <c r="BN15" i="7"/>
  <c r="BN16" i="7"/>
  <c r="BH13" i="7"/>
  <c r="BH11" i="7"/>
  <c r="BH12" i="7"/>
  <c r="BH14" i="7"/>
  <c r="BH15" i="7"/>
  <c r="BH16" i="7"/>
  <c r="BD17" i="7"/>
  <c r="BE16" i="7" s="1"/>
  <c r="BK11" i="7"/>
  <c r="BK12" i="7"/>
  <c r="BK13" i="7"/>
  <c r="BK14" i="7"/>
  <c r="BK15" i="7"/>
  <c r="AO17" i="7"/>
  <c r="AP11" i="7" s="1"/>
  <c r="BB11" i="7"/>
  <c r="BB12" i="7"/>
  <c r="BB13" i="7"/>
  <c r="BB14" i="7"/>
  <c r="BB15" i="7"/>
  <c r="AU17" i="7"/>
  <c r="AV14" i="7" s="1"/>
  <c r="AX17" i="7"/>
  <c r="AR17" i="7"/>
  <c r="AS16" i="7" s="1"/>
  <c r="AD37" i="7"/>
  <c r="AD17" i="7"/>
  <c r="AL17" i="7"/>
  <c r="AM16" i="7" s="1"/>
  <c r="BQ35" i="7"/>
  <c r="BQ26" i="7"/>
  <c r="AI17" i="7"/>
  <c r="AL26" i="7"/>
  <c r="BM26" i="7"/>
  <c r="AU35" i="7"/>
  <c r="BM27" i="7" l="1"/>
  <c r="BN26" i="7" s="1"/>
  <c r="BN17" i="7"/>
  <c r="BH17" i="7"/>
  <c r="BE11" i="7"/>
  <c r="BE12" i="7"/>
  <c r="BE13" i="7"/>
  <c r="BE14" i="7"/>
  <c r="BE15" i="7"/>
  <c r="BK17" i="7"/>
  <c r="AP12" i="7"/>
  <c r="AP16" i="7"/>
  <c r="AP14" i="7"/>
  <c r="AP13" i="7"/>
  <c r="AP15" i="7"/>
  <c r="AV16" i="7"/>
  <c r="AV13" i="7"/>
  <c r="BB17" i="7"/>
  <c r="AV12" i="7"/>
  <c r="AV15" i="7"/>
  <c r="AV11" i="7"/>
  <c r="AY11" i="7"/>
  <c r="AY12" i="7"/>
  <c r="AY13" i="7"/>
  <c r="AY14" i="7"/>
  <c r="AY15" i="7"/>
  <c r="AY16" i="7"/>
  <c r="AO26" i="7"/>
  <c r="AL35" i="7"/>
  <c r="BJ26" i="7"/>
  <c r="AX26" i="7"/>
  <c r="BA26" i="7"/>
  <c r="AO35" i="7"/>
  <c r="AU26" i="7"/>
  <c r="AI26" i="7"/>
  <c r="AR35" i="7"/>
  <c r="BG26" i="7"/>
  <c r="AR26" i="7"/>
  <c r="BD26" i="7"/>
  <c r="AI35" i="7"/>
  <c r="BG27" i="7" l="1"/>
  <c r="BH26" i="7" s="1"/>
  <c r="BN21" i="7"/>
  <c r="BN22" i="7"/>
  <c r="BN23" i="7"/>
  <c r="BN24" i="7"/>
  <c r="BN25" i="7"/>
  <c r="BJ27" i="7"/>
  <c r="BK21" i="7" s="1"/>
  <c r="BH22" i="7"/>
  <c r="BH21" i="7"/>
  <c r="BH24" i="7"/>
  <c r="BH25" i="7"/>
  <c r="BA27" i="7"/>
  <c r="BB26" i="7" s="1"/>
  <c r="BD27" i="7"/>
  <c r="BE17" i="7"/>
  <c r="BK23" i="7"/>
  <c r="AP17" i="7"/>
  <c r="AU27" i="7"/>
  <c r="AV23" i="7" s="1"/>
  <c r="AV17" i="7"/>
  <c r="AX27" i="7"/>
  <c r="AY17" i="7"/>
  <c r="AO27" i="7"/>
  <c r="AP26" i="7" s="1"/>
  <c r="AR27" i="7"/>
  <c r="AS26" i="7" s="1"/>
  <c r="AS11" i="7"/>
  <c r="AS12" i="7"/>
  <c r="AS13" i="7"/>
  <c r="AS14" i="7"/>
  <c r="AS15" i="7"/>
  <c r="AJ11" i="7"/>
  <c r="AJ12" i="7"/>
  <c r="AJ13" i="7"/>
  <c r="AJ14" i="7"/>
  <c r="AJ15" i="7"/>
  <c r="AJ16" i="7"/>
  <c r="AL27" i="7"/>
  <c r="BQ36" i="7"/>
  <c r="AM12" i="7"/>
  <c r="AM13" i="7"/>
  <c r="AM11" i="7"/>
  <c r="AM14" i="7"/>
  <c r="AM15" i="7"/>
  <c r="AO36" i="7"/>
  <c r="BB21" i="7" l="1"/>
  <c r="BH23" i="7"/>
  <c r="BK24" i="7"/>
  <c r="BN27" i="7"/>
  <c r="BK26" i="7"/>
  <c r="BK22" i="7"/>
  <c r="BK25" i="7"/>
  <c r="BH27" i="7"/>
  <c r="BB22" i="7"/>
  <c r="BB24" i="7"/>
  <c r="BB25" i="7"/>
  <c r="BB23" i="7"/>
  <c r="BE21" i="7"/>
  <c r="BE22" i="7"/>
  <c r="BE23" i="7"/>
  <c r="BE24" i="7"/>
  <c r="BE25" i="7"/>
  <c r="BE26" i="7"/>
  <c r="AV24" i="7"/>
  <c r="AV22" i="7"/>
  <c r="AV26" i="7"/>
  <c r="AV25" i="7"/>
  <c r="AV21" i="7"/>
  <c r="AY21" i="7"/>
  <c r="AY22" i="7"/>
  <c r="AY23" i="7"/>
  <c r="AY24" i="7"/>
  <c r="AY25" i="7"/>
  <c r="AY26" i="7"/>
  <c r="AP21" i="7"/>
  <c r="AP25" i="7"/>
  <c r="AP24" i="7"/>
  <c r="AP23" i="7"/>
  <c r="AP22" i="7"/>
  <c r="AO37" i="7"/>
  <c r="AL36" i="7"/>
  <c r="AI36" i="7"/>
  <c r="AR36" i="7"/>
  <c r="AU36" i="7"/>
  <c r="BK27" i="7" l="1"/>
  <c r="BB27" i="7"/>
  <c r="BE27" i="7"/>
  <c r="AV27" i="7"/>
  <c r="AU37" i="7"/>
  <c r="AV32" i="7" s="1"/>
  <c r="AY27" i="7"/>
  <c r="AP27" i="7"/>
  <c r="AP31" i="7"/>
  <c r="AP32" i="7"/>
  <c r="AP33" i="7"/>
  <c r="AP34" i="7"/>
  <c r="AP35" i="7"/>
  <c r="AP36" i="7"/>
  <c r="AR37" i="7"/>
  <c r="AS17" i="7"/>
  <c r="AS21" i="7"/>
  <c r="AS22" i="7"/>
  <c r="AS23" i="7"/>
  <c r="AS24" i="7"/>
  <c r="AS25" i="7"/>
  <c r="AJ17" i="7"/>
  <c r="AL37" i="7"/>
  <c r="AM21" i="7"/>
  <c r="AI37" i="7"/>
  <c r="AI27" i="7"/>
  <c r="AM17" i="7"/>
  <c r="AV31" i="7" l="1"/>
  <c r="AV35" i="7"/>
  <c r="AV34" i="7"/>
  <c r="AV33" i="7"/>
  <c r="AV36" i="7"/>
  <c r="AP37" i="7"/>
  <c r="AS31" i="7"/>
  <c r="AS32" i="7"/>
  <c r="AS33" i="7"/>
  <c r="AS34" i="7"/>
  <c r="AS35" i="7"/>
  <c r="AS36" i="7"/>
  <c r="AS27" i="7"/>
  <c r="AJ21" i="7"/>
  <c r="AJ22" i="7"/>
  <c r="AJ23" i="7"/>
  <c r="AJ24" i="7"/>
  <c r="AJ25" i="7"/>
  <c r="AJ26" i="7"/>
  <c r="AJ31" i="7"/>
  <c r="AJ32" i="7"/>
  <c r="AJ33" i="7"/>
  <c r="AJ34" i="7"/>
  <c r="AJ35" i="7"/>
  <c r="AJ36" i="7"/>
  <c r="AM24" i="7"/>
  <c r="AM22" i="7"/>
  <c r="AM25" i="7"/>
  <c r="AM23" i="7"/>
  <c r="AM26" i="7"/>
  <c r="AV37" i="7" l="1"/>
  <c r="AS37" i="7"/>
  <c r="AJ27" i="7"/>
  <c r="AJ37" i="7"/>
  <c r="AM27" i="7"/>
  <c r="AM33" i="7"/>
  <c r="AM31" i="7"/>
  <c r="AM32" i="7"/>
  <c r="AM34" i="7"/>
  <c r="AM35" i="7"/>
  <c r="AM36" i="7"/>
  <c r="AM37" i="7" l="1"/>
</calcChain>
</file>

<file path=xl/comments1.xml><?xml version="1.0" encoding="utf-8"?>
<comments xmlns="http://schemas.openxmlformats.org/spreadsheetml/2006/main">
  <authors>
    <author>Aaron Trent</author>
  </authors>
  <commentList>
    <comment ref="BM7" authorId="0" shapeId="0">
      <text>
        <r>
          <rPr>
            <b/>
            <sz val="8"/>
            <color indexed="81"/>
            <rFont val="Tahoma"/>
            <family val="2"/>
          </rPr>
          <t>EEI:</t>
        </r>
        <r>
          <rPr>
            <sz val="8"/>
            <color indexed="81"/>
            <rFont val="Tahoma"/>
            <family val="2"/>
          </rPr>
          <t xml:space="preserve">
Ratings at quarter's end; categories based on assets at prior year end</t>
        </r>
      </text>
    </comment>
  </commentList>
</comments>
</file>

<file path=xl/comments2.xml><?xml version="1.0" encoding="utf-8"?>
<comments xmlns="http://schemas.openxmlformats.org/spreadsheetml/2006/main">
  <authors>
    <author>Buckley, Michael</author>
  </authors>
  <commentList>
    <comment ref="D38" authorId="0" shapeId="0">
      <text>
        <r>
          <rPr>
            <b/>
            <sz val="9"/>
            <color indexed="81"/>
            <rFont val="Tahoma"/>
            <family val="2"/>
          </rPr>
          <t>Buckley, Michael:</t>
        </r>
        <r>
          <rPr>
            <sz val="9"/>
            <color indexed="81"/>
            <rFont val="Tahoma"/>
            <family val="2"/>
          </rPr>
          <t xml:space="preserve">
Modified to align with 2018Q2</t>
        </r>
      </text>
    </comment>
  </commentList>
</comments>
</file>

<file path=xl/comments3.xml><?xml version="1.0" encoding="utf-8"?>
<comments xmlns="http://schemas.openxmlformats.org/spreadsheetml/2006/main">
  <authors>
    <author>Michael Buckley</author>
  </authors>
  <commentList>
    <comment ref="AK33" authorId="0" shapeId="0">
      <text>
        <r>
          <rPr>
            <b/>
            <sz val="9"/>
            <color indexed="81"/>
            <rFont val="Tahoma"/>
            <family val="2"/>
          </rPr>
          <t>Michael Buckley:</t>
        </r>
        <r>
          <rPr>
            <sz val="9"/>
            <color indexed="81"/>
            <rFont val="Tahoma"/>
            <family val="2"/>
          </rPr>
          <t xml:space="preserve">
Hardwired for Q1 only so Oncor isn't mistakingly marked as "upgrade".  Need to reinstate the formula here in 2017 Q2</t>
        </r>
      </text>
    </comment>
  </commentList>
</comments>
</file>

<file path=xl/comments4.xml><?xml version="1.0" encoding="utf-8"?>
<comments xmlns="http://schemas.openxmlformats.org/spreadsheetml/2006/main">
  <authors>
    <author>Michael Buckley</author>
  </authors>
  <commentList>
    <comment ref="D45" authorId="0" shapeId="0">
      <text>
        <r>
          <rPr>
            <b/>
            <sz val="9"/>
            <color indexed="81"/>
            <rFont val="Tahoma"/>
            <family val="2"/>
          </rPr>
          <t>Michael Buckley:</t>
        </r>
        <r>
          <rPr>
            <sz val="9"/>
            <color indexed="81"/>
            <rFont val="Tahoma"/>
            <family val="2"/>
          </rPr>
          <t xml:space="preserve">
Modified to match 'Credit_2015Q4'</t>
        </r>
      </text>
    </comment>
  </commentList>
</comments>
</file>

<file path=xl/comments5.xml><?xml version="1.0" encoding="utf-8"?>
<comments xmlns="http://schemas.openxmlformats.org/spreadsheetml/2006/main">
  <authors>
    <author>Aaron Trent</author>
  </authors>
  <commentList>
    <comment ref="AG5" authorId="0" shapeId="0">
      <text>
        <r>
          <rPr>
            <b/>
            <sz val="8"/>
            <color indexed="81"/>
            <rFont val="Tahoma"/>
            <family val="2"/>
          </rPr>
          <t>EEI:</t>
        </r>
        <r>
          <rPr>
            <sz val="8"/>
            <color indexed="81"/>
            <rFont val="Tahoma"/>
            <family val="2"/>
          </rPr>
          <t xml:space="preserve">
Versus 12/31/09, using 12/31/09 business categories by assets</t>
        </r>
      </text>
    </comment>
  </commentList>
</comments>
</file>

<file path=xl/comments6.xml><?xml version="1.0" encoding="utf-8"?>
<comments xmlns="http://schemas.openxmlformats.org/spreadsheetml/2006/main">
  <authors>
    <author>Buckley, Michael</author>
  </authors>
  <commentList>
    <comment ref="C50" authorId="0" shapeId="0">
      <text>
        <r>
          <rPr>
            <b/>
            <sz val="9"/>
            <color indexed="81"/>
            <rFont val="Tahoma"/>
            <family val="2"/>
          </rPr>
          <t>Buckley, Michael:</t>
        </r>
        <r>
          <rPr>
            <sz val="9"/>
            <color indexed="81"/>
            <rFont val="Tahoma"/>
            <family val="2"/>
          </rPr>
          <t xml:space="preserve">
Removed due to M&amp;A activity in 2018</t>
        </r>
      </text>
    </comment>
  </commentList>
</comments>
</file>

<file path=xl/comments7.xml><?xml version="1.0" encoding="utf-8"?>
<comments xmlns="http://schemas.openxmlformats.org/spreadsheetml/2006/main">
  <authors>
    <author>Michael Buckley</author>
  </authors>
  <commentList>
    <comment ref="D56" authorId="0" shapeId="0">
      <text>
        <r>
          <rPr>
            <b/>
            <sz val="10"/>
            <color indexed="81"/>
            <rFont val="Tahoma"/>
            <family val="2"/>
          </rPr>
          <t>Michael Buckley:</t>
        </r>
        <r>
          <rPr>
            <sz val="10"/>
            <color indexed="81"/>
            <rFont val="Tahoma"/>
            <family val="2"/>
          </rPr>
          <t xml:space="preserve">
Modified to match 'Credit_2015Q4'</t>
        </r>
      </text>
    </comment>
  </commentList>
</comments>
</file>

<file path=xl/sharedStrings.xml><?xml version="1.0" encoding="utf-8"?>
<sst xmlns="http://schemas.openxmlformats.org/spreadsheetml/2006/main" count="21056" uniqueCount="626">
  <si>
    <t>II.  Upgrades &amp; Downgrades</t>
  </si>
  <si>
    <t>Note:  Chart depicts the number of upgrades / downgrades for all rated companies, including subisidiaries, during the quarter.</t>
  </si>
  <si>
    <t>Source:  S&amp;P Global Market Intelligence and EEI Finance Dept.</t>
  </si>
  <si>
    <t>Note:  Chart depicts the number of occurences and includes each event, even if multiple downgrades occurred for a single company.</t>
  </si>
  <si>
    <t>2001 Q1</t>
  </si>
  <si>
    <t>2001 Q2</t>
  </si>
  <si>
    <t>2001 Q3</t>
  </si>
  <si>
    <t>2001 Q4</t>
  </si>
  <si>
    <t>2002 Q1</t>
  </si>
  <si>
    <t>2002 Q2</t>
  </si>
  <si>
    <t>2002 Q3</t>
  </si>
  <si>
    <t>2002 Q4</t>
  </si>
  <si>
    <t>2003 Q1</t>
  </si>
  <si>
    <t>2003 Q2</t>
  </si>
  <si>
    <t>2003 Q3</t>
  </si>
  <si>
    <t>2003 Q4</t>
  </si>
  <si>
    <t>2004 Q1</t>
  </si>
  <si>
    <t>2004 Q2</t>
  </si>
  <si>
    <t>2004 Q3</t>
  </si>
  <si>
    <t>2004 Q4</t>
  </si>
  <si>
    <t>2005 Q1</t>
  </si>
  <si>
    <t>2005 Q2</t>
  </si>
  <si>
    <t>2005 Q3</t>
  </si>
  <si>
    <t>2005 Q4</t>
  </si>
  <si>
    <t>2006 Q1</t>
  </si>
  <si>
    <t>2006 Q2</t>
  </si>
  <si>
    <t>2006 Q3</t>
  </si>
  <si>
    <t>2006 Q4</t>
  </si>
  <si>
    <t>2007Q1</t>
  </si>
  <si>
    <t>2007 Q2</t>
  </si>
  <si>
    <t>2007 Q3</t>
  </si>
  <si>
    <t>2007 Q4</t>
  </si>
  <si>
    <t>2008 Q1</t>
  </si>
  <si>
    <t>2008 Q2</t>
  </si>
  <si>
    <t>2008 Q3</t>
  </si>
  <si>
    <t>2008 Q4</t>
  </si>
  <si>
    <t>2009 Q1</t>
  </si>
  <si>
    <t>2009 Q2</t>
  </si>
  <si>
    <t>2009 Q3</t>
  </si>
  <si>
    <t>2009 Q4</t>
  </si>
  <si>
    <t>2010 Q1</t>
  </si>
  <si>
    <t>2010 Q2</t>
  </si>
  <si>
    <t>2010 Q3</t>
  </si>
  <si>
    <t>2010 Q4</t>
  </si>
  <si>
    <t>2011 Q1</t>
  </si>
  <si>
    <t>2011 Q2</t>
  </si>
  <si>
    <t>2011 Q3</t>
  </si>
  <si>
    <t>2011 Q4</t>
  </si>
  <si>
    <t>2012 Q1</t>
  </si>
  <si>
    <t>2012 Q2</t>
  </si>
  <si>
    <t>2012 Q3</t>
  </si>
  <si>
    <t>2012 Q4</t>
  </si>
  <si>
    <t>2013 Q1</t>
  </si>
  <si>
    <t>2013 Q2</t>
  </si>
  <si>
    <t>2013 Q3</t>
  </si>
  <si>
    <t>2013 Q4</t>
  </si>
  <si>
    <t>2014 Q1</t>
  </si>
  <si>
    <t>2014 Q2</t>
  </si>
  <si>
    <t>2014 Q3</t>
  </si>
  <si>
    <t>2014 Q4</t>
  </si>
  <si>
    <t>2015 Q1</t>
  </si>
  <si>
    <t>2015 Q2</t>
  </si>
  <si>
    <t>2015 Q3</t>
  </si>
  <si>
    <t>2015 Q4</t>
  </si>
  <si>
    <t>2016 Q1</t>
  </si>
  <si>
    <t>2016 Q2</t>
  </si>
  <si>
    <t>2016 Q3</t>
  </si>
  <si>
    <t>2016 Q4</t>
  </si>
  <si>
    <t>2017 Q1</t>
  </si>
  <si>
    <t>2017 Q2</t>
  </si>
  <si>
    <t>2017 Q3</t>
  </si>
  <si>
    <t>2017 Q4</t>
  </si>
  <si>
    <t>2018 Q1</t>
  </si>
  <si>
    <t>2018 Q2</t>
  </si>
  <si>
    <t>2018 Q3</t>
  </si>
  <si>
    <t>2018 Q4</t>
  </si>
  <si>
    <t>2019Q1</t>
  </si>
  <si>
    <t>2019Q2</t>
  </si>
  <si>
    <t>2019Q3</t>
  </si>
  <si>
    <t>2019Q4</t>
  </si>
  <si>
    <t>2020Q1</t>
  </si>
  <si>
    <t>2020Q2</t>
  </si>
  <si>
    <t>2020Q3</t>
  </si>
  <si>
    <t>2020Q4</t>
  </si>
  <si>
    <t>2021Q1</t>
  </si>
  <si>
    <t>2021Q2</t>
  </si>
  <si>
    <t>2021Q3</t>
  </si>
  <si>
    <t>2021Q4</t>
  </si>
  <si>
    <t>Fitch (upgrade)</t>
  </si>
  <si>
    <t>Fitch (downgrade)</t>
  </si>
  <si>
    <t>Moody's (upgrade)</t>
  </si>
  <si>
    <t>Moody's (downgrade)</t>
  </si>
  <si>
    <t>Standard &amp; Poor's (upgrade)</t>
  </si>
  <si>
    <t>Standard &amp; Poor's (downgrade)</t>
  </si>
  <si>
    <t>.</t>
  </si>
  <si>
    <t>Fitch (activity)</t>
  </si>
  <si>
    <t>Moody's (activity)</t>
  </si>
  <si>
    <t>Standard &amp; Poor's (activity)</t>
  </si>
  <si>
    <t>Annual Activity</t>
  </si>
  <si>
    <t>Quarterly Upgrade</t>
  </si>
  <si>
    <t>Quarterly Downgrade</t>
  </si>
  <si>
    <t>Quarterly Activity</t>
  </si>
  <si>
    <t>Annual Upgrade</t>
  </si>
  <si>
    <t>Annual Downgrade</t>
  </si>
  <si>
    <t>III.  Total Ratings Actions</t>
  </si>
  <si>
    <t>Rating Agency Activity</t>
  </si>
  <si>
    <t>U.S. Investor-Owned Electric Utility Industry</t>
  </si>
  <si>
    <t>Total Rating Activity</t>
  </si>
  <si>
    <t>Fitch</t>
  </si>
  <si>
    <t xml:space="preserve">Moody's </t>
  </si>
  <si>
    <t>Standard &amp; Poor's</t>
  </si>
  <si>
    <t xml:space="preserve">Total </t>
  </si>
  <si>
    <t>IV.  Direction of Ratings Actions</t>
  </si>
  <si>
    <t>Direction of Ratings Actions</t>
  </si>
  <si>
    <t>Upgrades</t>
  </si>
  <si>
    <t>Downgrades</t>
  </si>
  <si>
    <t>% Upgrades</t>
  </si>
  <si>
    <t>Upgrades = Downgrades</t>
  </si>
  <si>
    <t>Source: Fitch Ratings, Moody's, Standard &amp; Poor's</t>
  </si>
  <si>
    <t>V.  S&amp;P Ratings by Category</t>
  </si>
  <si>
    <t>S&amp;P Utility Credit Rating Distribution by Category</t>
  </si>
  <si>
    <t>'Credit_2012Q4'</t>
  </si>
  <si>
    <t>'Credit_2013Q4'</t>
  </si>
  <si>
    <t>'Credit_2014Q4'</t>
  </si>
  <si>
    <t>'Credit_2015Q4'</t>
  </si>
  <si>
    <t>'Credit_2016Q4'</t>
  </si>
  <si>
    <t>'Credit_2017Q4'</t>
  </si>
  <si>
    <t>'Credit_2018Q4'</t>
  </si>
  <si>
    <t>'Credit_2019Q4'</t>
  </si>
  <si>
    <t>'Credit_2020Q4'</t>
  </si>
  <si>
    <t>'Credit_2021Q4'</t>
  </si>
  <si>
    <t>12/31/2007r</t>
  </si>
  <si>
    <t>12/31/2008r</t>
  </si>
  <si>
    <t>b6</t>
  </si>
  <si>
    <t>#</t>
  </si>
  <si>
    <t>%</t>
  </si>
  <si>
    <t>Regulated</t>
  </si>
  <si>
    <t>A or higher</t>
  </si>
  <si>
    <t>o</t>
  </si>
  <si>
    <t>A-</t>
  </si>
  <si>
    <t>BBB+</t>
  </si>
  <si>
    <t>BBB</t>
  </si>
  <si>
    <t>BBB-</t>
  </si>
  <si>
    <t>Below BBB-</t>
  </si>
  <si>
    <t>Total</t>
  </si>
  <si>
    <t>Mostly Regulated</t>
  </si>
  <si>
    <t>r</t>
  </si>
  <si>
    <t>Diversified</t>
  </si>
  <si>
    <t>u</t>
  </si>
  <si>
    <t>Sources:  Standard &amp; Poor's, S&amp;P Global Market Intelligence, and EEI Finance Dept.</t>
  </si>
  <si>
    <t>Credit Ratings Scales</t>
  </si>
  <si>
    <t>Investment Grade</t>
  </si>
  <si>
    <t>MOODY'S</t>
  </si>
  <si>
    <t>S&amp;P</t>
  </si>
  <si>
    <t>FITCH</t>
  </si>
  <si>
    <t>Aaa</t>
  </si>
  <si>
    <t>AAA</t>
  </si>
  <si>
    <t>Aa1</t>
  </si>
  <si>
    <t>AA+</t>
  </si>
  <si>
    <t>Aa2</t>
  </si>
  <si>
    <t>AA</t>
  </si>
  <si>
    <t>Aa3</t>
  </si>
  <si>
    <t>AA-</t>
  </si>
  <si>
    <t>A1</t>
  </si>
  <si>
    <t>A+</t>
  </si>
  <si>
    <t>A2</t>
  </si>
  <si>
    <t>A</t>
  </si>
  <si>
    <t>A3</t>
  </si>
  <si>
    <t>Baa1</t>
  </si>
  <si>
    <t>Baa2</t>
  </si>
  <si>
    <t>Baa3</t>
  </si>
  <si>
    <t>Speculative Grade</t>
  </si>
  <si>
    <t>Ba1</t>
  </si>
  <si>
    <t>BB+</t>
  </si>
  <si>
    <t>Ba2</t>
  </si>
  <si>
    <t>BB</t>
  </si>
  <si>
    <t>Ba3</t>
  </si>
  <si>
    <t>BB-</t>
  </si>
  <si>
    <t>B1</t>
  </si>
  <si>
    <t>B+</t>
  </si>
  <si>
    <t>B2</t>
  </si>
  <si>
    <t>B</t>
  </si>
  <si>
    <t>B3</t>
  </si>
  <si>
    <t>B-</t>
  </si>
  <si>
    <t>Caa1</t>
  </si>
  <si>
    <t>CCC+</t>
  </si>
  <si>
    <t>Caa2</t>
  </si>
  <si>
    <t>CCC</t>
  </si>
  <si>
    <t>Caa3</t>
  </si>
  <si>
    <t>CCC-</t>
  </si>
  <si>
    <t>Ca</t>
  </si>
  <si>
    <t>CC</t>
  </si>
  <si>
    <t>C</t>
  </si>
  <si>
    <t>Default</t>
  </si>
  <si>
    <t>D</t>
  </si>
  <si>
    <t>e3</t>
  </si>
  <si>
    <t>Group</t>
  </si>
  <si>
    <t>Up</t>
  </si>
  <si>
    <t>Down</t>
  </si>
  <si>
    <t>Match</t>
  </si>
  <si>
    <t>Previous</t>
  </si>
  <si>
    <t>Comparison Period</t>
  </si>
  <si>
    <t>Reg_Percent_2020</t>
  </si>
  <si>
    <t>R</t>
  </si>
  <si>
    <t>MR</t>
  </si>
  <si>
    <t>d:d</t>
  </si>
  <si>
    <t>b1</t>
  </si>
  <si>
    <t>c1</t>
  </si>
  <si>
    <t>e1</t>
  </si>
  <si>
    <t>Category</t>
  </si>
  <si>
    <t>Rating</t>
  </si>
  <si>
    <t>'Credit_2021Q3'!</t>
  </si>
  <si>
    <t>Company Name</t>
  </si>
  <si>
    <t>2021 Q4</t>
  </si>
  <si>
    <t>Score</t>
  </si>
  <si>
    <t>Berkshire Energy Holdings Company</t>
  </si>
  <si>
    <t>**BRK</t>
  </si>
  <si>
    <t>ALLETE, Inc.</t>
  </si>
  <si>
    <t>ALE</t>
  </si>
  <si>
    <t>Alliant Energy Corporation</t>
  </si>
  <si>
    <t>LNT</t>
  </si>
  <si>
    <t>&gt;20</t>
  </si>
  <si>
    <t>American Electric Power Company, Inc.</t>
  </si>
  <si>
    <t>AEP</t>
  </si>
  <si>
    <t>=20</t>
  </si>
  <si>
    <t>Ameren Corporation</t>
  </si>
  <si>
    <t>AEE</t>
  </si>
  <si>
    <t>Consolidated Edison, Inc.</t>
  </si>
  <si>
    <t>ED</t>
  </si>
  <si>
    <t>=19</t>
  </si>
  <si>
    <t>Evergy, Inc.</t>
  </si>
  <si>
    <t>EVRG</t>
  </si>
  <si>
    <t>=18</t>
  </si>
  <si>
    <t>AVANGRID, Inc.</t>
  </si>
  <si>
    <t>AGR</t>
  </si>
  <si>
    <t>Eversource Energy</t>
  </si>
  <si>
    <t>ES</t>
  </si>
  <si>
    <t>=17</t>
  </si>
  <si>
    <t>Avista Corporation</t>
  </si>
  <si>
    <t>AVA</t>
  </si>
  <si>
    <t>NextEra Energy, Inc.</t>
  </si>
  <si>
    <t>NEE</t>
  </si>
  <si>
    <t>&lt;17</t>
  </si>
  <si>
    <t>PPL Corporation</t>
  </si>
  <si>
    <t>PPL</t>
  </si>
  <si>
    <t>Black Hills Corporation</t>
  </si>
  <si>
    <t>BKH</t>
  </si>
  <si>
    <t>Wisconsin Energy Corporation</t>
  </si>
  <si>
    <t>WEC</t>
  </si>
  <si>
    <t>CenterPoint Energy, Inc.</t>
  </si>
  <si>
    <t>CNP</t>
  </si>
  <si>
    <t>Xcel Energy Inc.</t>
  </si>
  <si>
    <t>XEL</t>
  </si>
  <si>
    <t>Average Rating</t>
  </si>
  <si>
    <t>Cleco Corporation</t>
  </si>
  <si>
    <t>**CNL</t>
  </si>
  <si>
    <t>CMS Energy Corporation</t>
  </si>
  <si>
    <t>CMS</t>
  </si>
  <si>
    <t>Dominion Energy, Inc.</t>
  </si>
  <si>
    <t>DPL Inc.</t>
  </si>
  <si>
    <t>**DPL</t>
  </si>
  <si>
    <t>DTE Energy Company</t>
  </si>
  <si>
    <t>DTE</t>
  </si>
  <si>
    <t>Duke Energy Corporation</t>
  </si>
  <si>
    <t>DUK</t>
  </si>
  <si>
    <t>Edison International</t>
  </si>
  <si>
    <t>EIX</t>
  </si>
  <si>
    <t>Entergy Corporation</t>
  </si>
  <si>
    <t>ETR</t>
  </si>
  <si>
    <t>Exelon Corporation</t>
  </si>
  <si>
    <t>EXC</t>
  </si>
  <si>
    <t>MDU Resources Group, Inc.</t>
  </si>
  <si>
    <t>MDU</t>
  </si>
  <si>
    <t>NiSource Inc.</t>
  </si>
  <si>
    <t>NI</t>
  </si>
  <si>
    <t>FirstEnergy Corp.</t>
  </si>
  <si>
    <t>FE</t>
  </si>
  <si>
    <t>OGE Energy Corp.</t>
  </si>
  <si>
    <t>OGE</t>
  </si>
  <si>
    <t>Hawaiian Electric Industries, Inc.</t>
  </si>
  <si>
    <t>HE</t>
  </si>
  <si>
    <t>Pinnacle West Capital Corporation</t>
  </si>
  <si>
    <t>PNW</t>
  </si>
  <si>
    <t>IDACORP, Inc.</t>
  </si>
  <si>
    <t>IDA</t>
  </si>
  <si>
    <t>Portland General Electric Company</t>
  </si>
  <si>
    <t>POR</t>
  </si>
  <si>
    <t>IPALCO Enterprises, Inc.</t>
  </si>
  <si>
    <t>**IPALCO</t>
  </si>
  <si>
    <t>Public Service Enterprise Group Incorporated</t>
  </si>
  <si>
    <t>PEG</t>
  </si>
  <si>
    <t>Sempra Energy</t>
  </si>
  <si>
    <t>SRE</t>
  </si>
  <si>
    <t>Southern Company</t>
  </si>
  <si>
    <t>SO</t>
  </si>
  <si>
    <t>Unitil Corporation</t>
  </si>
  <si>
    <t>UTL</t>
  </si>
  <si>
    <t>NorthWestern Corporation</t>
  </si>
  <si>
    <t>NWE</t>
  </si>
  <si>
    <t>Otter Tail Corporation</t>
  </si>
  <si>
    <t>OTTR</t>
  </si>
  <si>
    <t>PG&amp;E Corporation</t>
  </si>
  <si>
    <t>PCG</t>
  </si>
  <si>
    <t>PNM Resources, Inc.</t>
  </si>
  <si>
    <t>PNM</t>
  </si>
  <si>
    <t>Puget Energy, Inc.</t>
  </si>
  <si>
    <t>**PSD</t>
  </si>
  <si>
    <t>Source:  Standard &amp; Poor's, S&amp;P Global Market Intelligence, and EEI Finance Dept.</t>
  </si>
  <si>
    <t>MGE Energy, Inc.</t>
  </si>
  <si>
    <t>*MGEE</t>
  </si>
  <si>
    <t/>
  </si>
  <si>
    <t xml:space="preserve">Average </t>
  </si>
  <si>
    <t xml:space="preserve">Notes: </t>
  </si>
  <si>
    <t>* For the following companies, EEI includes the subsidiary rating because parent/holding company ratings are not available:</t>
  </si>
  <si>
    <t>MGE Energy:  Using Madison Gas and Electric Co.; MGE Energy long-term issuer credit rating not available.</t>
  </si>
  <si>
    <r>
      <t xml:space="preserve">Companies in green/red were </t>
    </r>
    <r>
      <rPr>
        <u/>
        <sz val="8"/>
        <color indexed="17"/>
        <rFont val="Calibri"/>
        <family val="2"/>
      </rPr>
      <t>upgraded</t>
    </r>
    <r>
      <rPr>
        <sz val="8"/>
        <rFont val="Calibri"/>
        <family val="2"/>
      </rPr>
      <t>/</t>
    </r>
    <r>
      <rPr>
        <u/>
        <sz val="8"/>
        <color indexed="10"/>
        <rFont val="Calibri"/>
        <family val="2"/>
      </rPr>
      <t>downgraded</t>
    </r>
    <r>
      <rPr>
        <sz val="8"/>
        <rFont val="Calibri"/>
        <family val="2"/>
      </rPr>
      <t xml:space="preserve"> by S&amp;P at the parent level in the most recent quarter.</t>
    </r>
  </si>
  <si>
    <t>**Companies that are not publicly traded</t>
  </si>
  <si>
    <t>'Credit_2021Q2'!</t>
  </si>
  <si>
    <t>2021 Q3</t>
  </si>
  <si>
    <t>'Credit_2021Q1'!</t>
  </si>
  <si>
    <t>2021 Q2</t>
  </si>
  <si>
    <t>'Credit_2020Q4'!</t>
  </si>
  <si>
    <t>2021 Q1</t>
  </si>
  <si>
    <t>Reg_Percent_2019</t>
  </si>
  <si>
    <t>'Credit_2020Q3'!</t>
  </si>
  <si>
    <t>2020 Q4</t>
  </si>
  <si>
    <t>'Credit_2020Q2'!</t>
  </si>
  <si>
    <t>2020 Q3</t>
  </si>
  <si>
    <t>El Paso Electric Company</t>
  </si>
  <si>
    <t>'Credit_2020Q1'!</t>
  </si>
  <si>
    <t>2020 Q2</t>
  </si>
  <si>
    <t>EE</t>
  </si>
  <si>
    <t>'Credit_2019Q4'!</t>
  </si>
  <si>
    <t>2020 Q1</t>
  </si>
  <si>
    <t>Reg_Percent_2018</t>
  </si>
  <si>
    <t>'Credit_2019Q3'!</t>
  </si>
  <si>
    <t>2019 Q4</t>
  </si>
  <si>
    <t>'Credit_2019Q2'!</t>
  </si>
  <si>
    <t>2019 Q3</t>
  </si>
  <si>
    <t>'Credit_2019Q1'!</t>
  </si>
  <si>
    <t>2019 Q2</t>
  </si>
  <si>
    <t>'Credit_2018Q4'!</t>
  </si>
  <si>
    <t>2019 Q1</t>
  </si>
  <si>
    <t>Reg_Percent_2017</t>
  </si>
  <si>
    <t>'Credit_2018Q3'!</t>
  </si>
  <si>
    <t>Vectren Corporation</t>
  </si>
  <si>
    <t>VVC</t>
  </si>
  <si>
    <t>SCANA Corporation</t>
  </si>
  <si>
    <t>SCG</t>
  </si>
  <si>
    <t>'Credit_2018Q2'!</t>
  </si>
  <si>
    <t>'Credit_2018Q1'!</t>
  </si>
  <si>
    <t>'Credit_2017Q4'!</t>
  </si>
  <si>
    <t>Great Plains Energy Inc.</t>
  </si>
  <si>
    <t>GXP</t>
  </si>
  <si>
    <t>Westar Energy, Inc.</t>
  </si>
  <si>
    <t>WR</t>
  </si>
  <si>
    <t>Reg_Percent_2016</t>
  </si>
  <si>
    <t>'Credit_2017Q3'!</t>
  </si>
  <si>
    <t>Oncor Electric Delivery Company LLC</t>
  </si>
  <si>
    <t>**EFH</t>
  </si>
  <si>
    <t>'Credit_2017Q2'!</t>
  </si>
  <si>
    <t>Dominion Resources, Inc.</t>
  </si>
  <si>
    <t>**ONC</t>
  </si>
  <si>
    <t>'Credit_2017Q1'!</t>
  </si>
  <si>
    <t>'Credit_2016Q4'!</t>
  </si>
  <si>
    <t>Reg_Percent_2015</t>
  </si>
  <si>
    <t>'Credit_2016Q3'!</t>
  </si>
  <si>
    <t>Empire District Electric Company</t>
  </si>
  <si>
    <t>EDE</t>
  </si>
  <si>
    <t>TECO Energy, Inc.</t>
  </si>
  <si>
    <t>**TE</t>
  </si>
  <si>
    <t>Energy Future Holdings Corp.</t>
  </si>
  <si>
    <t>'Credit_2016Q2'!</t>
  </si>
  <si>
    <t>Source:  Standard &amp; Poor's, SNL Financial and EEI Finance Dept.</t>
  </si>
  <si>
    <t>'Credit_2016Q1'!</t>
  </si>
  <si>
    <t>TE</t>
  </si>
  <si>
    <t>*UTL</t>
  </si>
  <si>
    <t>'Credit_2015Q4'!</t>
  </si>
  <si>
    <t>CNL</t>
  </si>
  <si>
    <t>Reg_Percent_2014</t>
  </si>
  <si>
    <t>'Credit_2015Q3'!</t>
  </si>
  <si>
    <t xml:space="preserve">AVANGRID, Inc. </t>
  </si>
  <si>
    <t>Pepco Holdings, Inc.</t>
  </si>
  <si>
    <t>POM</t>
  </si>
  <si>
    <t>*MGE Energy, Inc.</t>
  </si>
  <si>
    <t>'Credit_2015Q2'!</t>
  </si>
  <si>
    <t>WEC Energy Group, Inc.</t>
  </si>
  <si>
    <t>Iberdrola USA</t>
  </si>
  <si>
    <t>**EAST</t>
  </si>
  <si>
    <t>UIL Holdings Corporation</t>
  </si>
  <si>
    <t>UIL</t>
  </si>
  <si>
    <t>Reg_Percent_2013</t>
  </si>
  <si>
    <t>'Credit_2015Q1'!</t>
  </si>
  <si>
    <t>'Credit_2014Q4'!</t>
  </si>
  <si>
    <t>Eversource</t>
  </si>
  <si>
    <t>Integrys Energy Group, Inc.</t>
  </si>
  <si>
    <t>TEG</t>
  </si>
  <si>
    <t>'Credit_2014Q3'!</t>
  </si>
  <si>
    <t>'Credit_2014Q2'!</t>
  </si>
  <si>
    <t>*UNS Energy Corporation</t>
  </si>
  <si>
    <t>*UNS</t>
  </si>
  <si>
    <t>*Unitil Corporation</t>
  </si>
  <si>
    <t>UNS Energy Corporation</t>
  </si>
  <si>
    <t>UNS Energy:  Using Tucson Electric Power Co.; UniSource Energy long-term issuer credit rating not available.</t>
  </si>
  <si>
    <t>'Credit_2014Q1'!</t>
  </si>
  <si>
    <t>Reg_Percent_2012</t>
  </si>
  <si>
    <t>a:a</t>
  </si>
  <si>
    <t>'Credit_2013Q4'!</t>
  </si>
  <si>
    <t>MidAmerican Energy Holdings Company</t>
  </si>
  <si>
    <t>'Credit_2013Q3'!</t>
  </si>
  <si>
    <t>'Credit_2013Q2'!</t>
  </si>
  <si>
    <t>NV Energy, Inc.</t>
  </si>
  <si>
    <t>NVE</t>
  </si>
  <si>
    <t>'Credit_2013Q1'!</t>
  </si>
  <si>
    <t>Reg_Percent_2011</t>
  </si>
  <si>
    <t>'Credit_2012Q4'!</t>
  </si>
  <si>
    <t>*CH Energy Group, Inc.</t>
  </si>
  <si>
    <t>*CHG</t>
  </si>
  <si>
    <t>CH Energy Group, Inc.</t>
  </si>
  <si>
    <t>CH Energy Group:  Using Central Hudson Gas &amp; Electric Corp.; CH Energy Group long-term issuer credit rating not available.</t>
  </si>
  <si>
    <t>'Credit_2012Q3'!</t>
  </si>
  <si>
    <t>SD</t>
  </si>
  <si>
    <t>'Credit_2012Q2'!</t>
  </si>
  <si>
    <t>N.A.</t>
  </si>
  <si>
    <t>Central Vermont Public Service Corporation</t>
  </si>
  <si>
    <t>CV</t>
  </si>
  <si>
    <t>'Credit_2012Q1'!</t>
  </si>
  <si>
    <t>Progress Energy, Inc.</t>
  </si>
  <si>
    <t>PGN</t>
  </si>
  <si>
    <t>Reg_Percent_2010</t>
  </si>
  <si>
    <t>'Credit_2011Q4'!</t>
  </si>
  <si>
    <t>NSTAR</t>
  </si>
  <si>
    <t>NST</t>
  </si>
  <si>
    <t>I.  S&amp;P Utility Credit Ratings Distribution -- Q4 2011</t>
  </si>
  <si>
    <t>% regulated at</t>
  </si>
  <si>
    <t>Cat. Avg.</t>
  </si>
  <si>
    <t>Q4 2011</t>
  </si>
  <si>
    <t>KeySpan Corp.</t>
  </si>
  <si>
    <t>KEY</t>
  </si>
  <si>
    <t>Niagara Mohawk Power Corporation</t>
  </si>
  <si>
    <t>NIMO</t>
  </si>
  <si>
    <t>AES</t>
  </si>
  <si>
    <t>Kentucky Utilities Company</t>
  </si>
  <si>
    <t>KU</t>
  </si>
  <si>
    <t>Louisville Gas and Electric Company</t>
  </si>
  <si>
    <t>LGE</t>
  </si>
  <si>
    <t>Green Mountain Power Corporation</t>
  </si>
  <si>
    <t>GMT</t>
  </si>
  <si>
    <t>AYE</t>
  </si>
  <si>
    <t>Duquesne Light Company</t>
  </si>
  <si>
    <t>DQE</t>
  </si>
  <si>
    <t>BRK</t>
  </si>
  <si>
    <t>CEG</t>
  </si>
  <si>
    <t>CHG</t>
  </si>
  <si>
    <t>DPL</t>
  </si>
  <si>
    <t>EAST</t>
  </si>
  <si>
    <t>PSD</t>
  </si>
  <si>
    <t>EFH</t>
  </si>
  <si>
    <t>UniSource Energy Corporation*</t>
  </si>
  <si>
    <t>UNS</t>
  </si>
  <si>
    <t>Energy East Corporation</t>
  </si>
  <si>
    <t>MGEE</t>
  </si>
  <si>
    <t>CH Energy Group, Inc.*</t>
  </si>
  <si>
    <t>Constellation Energy Group, Inc.</t>
  </si>
  <si>
    <t>MGE Energy, Inc.*</t>
  </si>
  <si>
    <t>Allegheny Energy, Inc.</t>
  </si>
  <si>
    <t>UniSource Energy:  Using Tucson Electric Power Co.; UniSource Energy long-term issuer credit rating not available.</t>
  </si>
  <si>
    <t>I.  S&amp;P Utility Credit Ratings Distribution -- Q3 2011</t>
  </si>
  <si>
    <t>Q3 2011</t>
  </si>
  <si>
    <t>I.  S&amp;P Utility Credit Ratings Distribution -- Q2 2011</t>
  </si>
  <si>
    <t>Q2 2011</t>
  </si>
  <si>
    <t>I.  S&amp;P Utility Credit Ratings Distribution -- Q1 2011</t>
  </si>
  <si>
    <t>Q1 2011</t>
  </si>
  <si>
    <t>I.  S&amp;P Utility Credit Ratings Distribution -- Q4 2010</t>
  </si>
  <si>
    <t>Chg.</t>
  </si>
  <si>
    <t>Q4 2010</t>
  </si>
  <si>
    <t>MAM</t>
  </si>
  <si>
    <t>I.  S&amp;P Utility Credit Ratings Distribution -- Q4 2009</t>
  </si>
  <si>
    <t>Q4 2009</t>
  </si>
  <si>
    <t>FPL Group, Inc.</t>
  </si>
  <si>
    <t>Maine &amp; Maritimes Corporation</t>
  </si>
  <si>
    <r>
      <rPr>
        <u/>
        <sz val="8"/>
        <color indexed="30"/>
        <rFont val="Calibri"/>
        <family val="2"/>
      </rPr>
      <t>Central Vermont Public Service</t>
    </r>
    <r>
      <rPr>
        <sz val="8"/>
        <rFont val="Calibri"/>
        <family val="2"/>
      </rPr>
      <t>:  S&amp;P removed its long-term issuer credit rating on Central Vermont Public Service Corporation on December 10, 2009.</t>
    </r>
  </si>
  <si>
    <r>
      <rPr>
        <u/>
        <sz val="8"/>
        <color indexed="30"/>
        <rFont val="Calibri"/>
        <family val="2"/>
      </rPr>
      <t>UIL</t>
    </r>
    <r>
      <rPr>
        <sz val="8"/>
        <rFont val="Calibri"/>
        <family val="2"/>
      </rPr>
      <t>:  S&amp;P initiated a long-term issuer credit rating on UIL Holdings Corporation on December 23, 2009.</t>
    </r>
  </si>
  <si>
    <t>I.  S&amp;P Utility Credit Ratings Distribution -- 2008r</t>
  </si>
  <si>
    <t>2008r</t>
  </si>
  <si>
    <t>PG&amp;E Corporation*</t>
  </si>
  <si>
    <t>Sierra Pacific Resources</t>
  </si>
  <si>
    <t>N/A</t>
  </si>
  <si>
    <t>CH Energy Group:  Using Central Hudson Gas &amp; Electric Corp.; CH Energy Group long-term issuer credit rating not available as of 12/31/08.</t>
  </si>
  <si>
    <t>PG&amp;E:  Using Pacific Gas and Electric Co.; PG&amp;E long-term issuer credit rating not available as of 12/31/08.</t>
  </si>
  <si>
    <t>UniSource Energy:  Using Tucson Electric Power Co.; UniSource Energy long-term issuer credit rating not available as of 12/31/08.</t>
  </si>
  <si>
    <t>I.  S&amp;P Utility Credit Ratings Distribution -- 2007r</t>
  </si>
  <si>
    <t>2007r</t>
  </si>
  <si>
    <t>Aquila, Inc.</t>
  </si>
  <si>
    <t>CH Energy Group:  Using Central Hudson Gas &amp; Electric Corp.; CH Energy Group long-term issuer credit rating not available as of 12/31/07.</t>
  </si>
  <si>
    <t>PG&amp;E:  Using Pacific Gas and Electric Co.; PG&amp;E long-term issuer credit rating not available as of 12/31/07.</t>
  </si>
  <si>
    <t>UniSource Energy:  Using Tucson Electric Power Co.; UniSource Energy long-term issuer credit rating not available as of 12/31/07.</t>
  </si>
  <si>
    <t>I. S&amp;P Utility Credit Ratings Distribution - 2006</t>
  </si>
  <si>
    <t>WPS Resources Corporation</t>
  </si>
  <si>
    <t>Constellation Energy, Inc.</t>
  </si>
  <si>
    <t>Kentucky Utilities</t>
  </si>
  <si>
    <t>Louisville Gas &amp; Electric</t>
  </si>
  <si>
    <t>American Electric Power Company</t>
  </si>
  <si>
    <t>Source: Standard &amp; Poor's, SNL Financial</t>
  </si>
  <si>
    <t>Duquesne Light Holdings, Inc.</t>
  </si>
  <si>
    <t>Great Plains Energy, Inc.</t>
  </si>
  <si>
    <t>Progress Energy Inc.</t>
  </si>
  <si>
    <t>Xcel Energy, Inc.</t>
  </si>
  <si>
    <t>TXU Corp.</t>
  </si>
  <si>
    <t>UniSource Energy Corporation</t>
  </si>
  <si>
    <t>MGE Energy</t>
  </si>
  <si>
    <t xml:space="preserve">Note: </t>
  </si>
  <si>
    <t>Unisource - Using Tuscon Electric Power Company credit rating (BB on 9/16/05).  Unisource rating is not available for 12/30/06.</t>
  </si>
  <si>
    <t>CH Energy - Using Central Hudson Gas &amp; Electric (A on 5/29/03). CH Energy rating is not available for 12/30/06.</t>
  </si>
  <si>
    <t xml:space="preserve">PG&amp;E - Using Pacific Gas &amp; Electric Company credit rating (BBB on 2/16/05).  PG&amp;E Corp rating is not available for 12/30/06. </t>
  </si>
  <si>
    <t xml:space="preserve">Cinergy Corp and Pacificorp are no longer part of the EEI Index.  Numbers based on 64+4 companies.  </t>
  </si>
  <si>
    <t>I. S&amp;P Utility Credit Ratings Distribution - 2001</t>
  </si>
  <si>
    <t>2001 Y</t>
  </si>
  <si>
    <t>Ameren Corp</t>
  </si>
  <si>
    <t>IDACORP Inc</t>
  </si>
  <si>
    <t>Otter Tail Power</t>
  </si>
  <si>
    <t>WPS Resources</t>
  </si>
  <si>
    <t>Duke Energy</t>
  </si>
  <si>
    <t>New England Power</t>
  </si>
  <si>
    <t>Niagara Mohawk Power Corp</t>
  </si>
  <si>
    <t>Allegheny Energy</t>
  </si>
  <si>
    <t>Southern Co</t>
  </si>
  <si>
    <t>Consolidated Edison</t>
  </si>
  <si>
    <t>CH Energy Group</t>
  </si>
  <si>
    <t>Keyspan</t>
  </si>
  <si>
    <t>FPL Group</t>
  </si>
  <si>
    <t>TECO Energy</t>
  </si>
  <si>
    <t>Constellation Energy</t>
  </si>
  <si>
    <t>Empire District</t>
  </si>
  <si>
    <t>Pacificorp</t>
  </si>
  <si>
    <t>RGS Energy Group, Inc.</t>
  </si>
  <si>
    <t>Xcel Energy</t>
  </si>
  <si>
    <t>Wisconsin Energy</t>
  </si>
  <si>
    <t>Exelon</t>
  </si>
  <si>
    <t>Vectren</t>
  </si>
  <si>
    <t>Alliant Energy</t>
  </si>
  <si>
    <t>OGE Energy Corp</t>
  </si>
  <si>
    <t>American Electric Power</t>
  </si>
  <si>
    <t>MDU Resources</t>
  </si>
  <si>
    <t>Great Plains Energy</t>
  </si>
  <si>
    <t>Allete</t>
  </si>
  <si>
    <t>Source: Standard &amp; Poor's, SNL Financial, EEI Finance Department, and company annual reports</t>
  </si>
  <si>
    <t>Cinergy</t>
  </si>
  <si>
    <t>Conectiv</t>
  </si>
  <si>
    <t>Dominion Resources</t>
  </si>
  <si>
    <t>DTE Energy</t>
  </si>
  <si>
    <t>Energy East</t>
  </si>
  <si>
    <t>Illinois Power Co</t>
  </si>
  <si>
    <t>Montana Power</t>
  </si>
  <si>
    <t>Northwestern Corp</t>
  </si>
  <si>
    <t>PEPCO</t>
  </si>
  <si>
    <t>Portland General Electric</t>
  </si>
  <si>
    <t>PPL Corp</t>
  </si>
  <si>
    <t>Progress Energy</t>
  </si>
  <si>
    <t>TXU</t>
  </si>
  <si>
    <t>NiSource</t>
  </si>
  <si>
    <t>Hawaiian Electric</t>
  </si>
  <si>
    <t>Black Hills Corp</t>
  </si>
  <si>
    <t>IPALCO Enterprises</t>
  </si>
  <si>
    <t>Pinnacle West Capital</t>
  </si>
  <si>
    <t>Entergy</t>
  </si>
  <si>
    <t>First Energy</t>
  </si>
  <si>
    <t>Public Service Enterprise Group</t>
  </si>
  <si>
    <t>Puget Energy</t>
  </si>
  <si>
    <t>Centr Vermont Pub Serv</t>
  </si>
  <si>
    <t>TNP Enterprises</t>
  </si>
  <si>
    <t xml:space="preserve">BBB- </t>
  </si>
  <si>
    <t>El Paso Electric</t>
  </si>
  <si>
    <t>Green Mtn Power Corp</t>
  </si>
  <si>
    <t>MidAmerican Energy Holdings</t>
  </si>
  <si>
    <t>Avista Corp.</t>
  </si>
  <si>
    <t>Westar Energy Inc.</t>
  </si>
  <si>
    <t>CMS Energy</t>
  </si>
  <si>
    <t>Unisource</t>
  </si>
  <si>
    <t>PG&amp;E</t>
  </si>
  <si>
    <t>Maine Public Service</t>
  </si>
  <si>
    <t>UIL Holdings</t>
  </si>
  <si>
    <t>Average</t>
  </si>
  <si>
    <t>Note:</t>
  </si>
  <si>
    <t>All ratings are at the holding company level with the exception of 4 companies that do not have a credit rating (Maine &amp; Maritimes, MGE Energy, Unitil Corp, &amp; UIL Holdings)</t>
  </si>
  <si>
    <t xml:space="preserve">and 6 companies that do not have a parent level rating in SNL Datasource -- see below.  </t>
  </si>
  <si>
    <t>Unisource - Using Tuscon Electric Power Company credit rating (BB on 11/08/02).</t>
  </si>
  <si>
    <t xml:space="preserve">CH Energy - Using Central Hudson Gas &amp; Electric (A on 12/14/01). </t>
  </si>
  <si>
    <t>PG&amp;E - Using Pacific Gas &amp; Electric Company credit rating (CCC/D according to 2001 Annual Report, p. 13).</t>
  </si>
  <si>
    <t>PNM Resources - BBB- according to 2001 annual report p. 56.</t>
  </si>
  <si>
    <t xml:space="preserve">Great Plains Enregy - Using Kansas City Power &amp; Light (A- on 1/2/02). </t>
  </si>
  <si>
    <t xml:space="preserve">PEPCO - Using Potomac Electric Power rating (BBB+ on 7/15/03). </t>
  </si>
  <si>
    <t xml:space="preserve"> </t>
  </si>
  <si>
    <t>Ticker</t>
  </si>
  <si>
    <t>Regulated Percentage</t>
  </si>
  <si>
    <t xml:space="preserve">WEC Energy Group, Inc. </t>
  </si>
  <si>
    <t>Cleco Corporation *</t>
  </si>
  <si>
    <t>DPL Inc. *</t>
  </si>
  <si>
    <t>IPALCO Enterprises, Inc. *</t>
  </si>
  <si>
    <t>Berkshire Hathaway Energy *</t>
  </si>
  <si>
    <t>Puget Energy, Inc. *</t>
  </si>
  <si>
    <t>Energy Future Holdings Corp. *</t>
  </si>
  <si>
    <t>*DPL Inc.</t>
  </si>
  <si>
    <t>*Energy Future Holdings Corp.</t>
  </si>
  <si>
    <t>*Iberdrola USA</t>
  </si>
  <si>
    <t>*IPALCO Enterprises, Inc.</t>
  </si>
  <si>
    <t>*MidAmerican Energy Holdings Company</t>
  </si>
  <si>
    <t>*Puget Energy, Inc.</t>
  </si>
  <si>
    <t>Moody's</t>
  </si>
  <si>
    <t>rating_scale_SP</t>
  </si>
  <si>
    <t>RD</t>
  </si>
  <si>
    <t>rating_scale_Fitch</t>
  </si>
  <si>
    <t>DD</t>
  </si>
  <si>
    <t>D+</t>
  </si>
  <si>
    <t>DDD</t>
  </si>
  <si>
    <t>rating_scale_Moody</t>
  </si>
  <si>
    <t>rating_scale_SP_invest</t>
  </si>
  <si>
    <t>C+</t>
  </si>
  <si>
    <t>'Credit_2021Q4'!</t>
  </si>
  <si>
    <t>2022 Q1</t>
  </si>
  <si>
    <t>2022Q4</t>
  </si>
  <si>
    <t>2022Q3</t>
  </si>
  <si>
    <t>2022Q2</t>
  </si>
  <si>
    <t>2022Q1</t>
  </si>
  <si>
    <t>'Credit_2022Q1'</t>
  </si>
  <si>
    <t>Reg_Percent_2021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</si>
</sst>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0.0000%"/>
    <numFmt numFmtId="166" formatCode="[$-409]mmm\-yy;@"/>
    <numFmt numFmtId="167" formatCode="0.0"/>
  </numFmts>
  <fonts count="60" x14ac:knownFonts="1">
    <font>
      <sz val="10"/>
      <name val="Arial"/>
    </font>
    <font>
      <sz val="10"/>
      <name val="Arial"/>
      <family val="2"/>
    </font>
    <font>
      <b/>
      <sz val="8"/>
      <color indexed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i/>
      <sz val="8"/>
      <name val="Arial"/>
      <family val="2"/>
    </font>
    <font>
      <b/>
      <sz val="9"/>
      <name val="Arial"/>
      <family val="2"/>
    </font>
    <font>
      <b/>
      <sz val="10"/>
      <color indexed="8"/>
      <name val="Arial"/>
      <family val="2"/>
    </font>
    <font>
      <sz val="14"/>
      <name val="Arial"/>
      <family val="2"/>
    </font>
    <font>
      <sz val="9"/>
      <name val="Arial"/>
      <family val="2"/>
    </font>
    <font>
      <sz val="9"/>
      <name val="Arial"/>
      <family val="2"/>
    </font>
    <font>
      <sz val="16"/>
      <name val="Arial"/>
      <family val="2"/>
    </font>
    <font>
      <sz val="8"/>
      <name val="Calibri"/>
      <family val="2"/>
    </font>
    <font>
      <u/>
      <sz val="8"/>
      <color indexed="17"/>
      <name val="Calibri"/>
      <family val="2"/>
    </font>
    <font>
      <u/>
      <sz val="8"/>
      <color indexed="10"/>
      <name val="Calibri"/>
      <family val="2"/>
    </font>
    <font>
      <i/>
      <sz val="10"/>
      <name val="Arial"/>
      <family val="2"/>
    </font>
    <font>
      <u/>
      <sz val="8"/>
      <color indexed="30"/>
      <name val="Calibri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u/>
      <sz val="10"/>
      <color theme="10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4"/>
      <name val="Calibri"/>
      <family val="2"/>
      <scheme val="minor"/>
    </font>
    <font>
      <sz val="8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name val="Calibri"/>
      <family val="2"/>
      <scheme val="minor"/>
    </font>
    <font>
      <b/>
      <i/>
      <sz val="10"/>
      <name val="Calibri"/>
      <family val="2"/>
      <scheme val="minor"/>
    </font>
    <font>
      <b/>
      <i/>
      <u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u/>
      <sz val="10"/>
      <color rgb="FF0070C0"/>
      <name val="Calibri"/>
      <family val="2"/>
      <scheme val="minor"/>
    </font>
    <font>
      <b/>
      <u/>
      <sz val="10"/>
      <color theme="1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color rgb="FF0070C0"/>
      <name val="Arial"/>
      <family val="2"/>
    </font>
    <font>
      <sz val="8"/>
      <color rgb="FFFF0000"/>
      <name val="Arial"/>
      <family val="2"/>
    </font>
    <font>
      <sz val="9"/>
      <color rgb="FF0070C0"/>
      <name val="Arial"/>
      <family val="2"/>
    </font>
    <font>
      <sz val="10"/>
      <color rgb="FF0070C0"/>
      <name val="Calibri"/>
      <family val="2"/>
      <scheme val="minor"/>
    </font>
    <font>
      <sz val="10"/>
      <color rgb="FF0070C0"/>
      <name val="Arial"/>
      <family val="2"/>
    </font>
    <font>
      <sz val="10"/>
      <color theme="3"/>
      <name val="Arial"/>
      <family val="2"/>
    </font>
    <font>
      <b/>
      <sz val="10"/>
      <color rgb="FFFF0000"/>
      <name val="Calibri"/>
      <family val="2"/>
      <scheme val="minor"/>
    </font>
    <font>
      <sz val="10"/>
      <color rgb="FF000099"/>
      <name val="Calibri"/>
      <family val="2"/>
      <scheme val="minor"/>
    </font>
    <font>
      <u/>
      <sz val="8.5"/>
      <color theme="10"/>
      <name val="Arial"/>
      <family val="2"/>
    </font>
    <font>
      <sz val="10"/>
      <color theme="3" tint="0.59999389629810485"/>
      <name val="Arial"/>
      <family val="2"/>
    </font>
    <font>
      <sz val="10"/>
      <color theme="0" tint="-0.249977111117893"/>
      <name val="Arial"/>
      <family val="2"/>
    </font>
    <font>
      <sz val="10"/>
      <color theme="4"/>
      <name val="Arial"/>
      <family val="2"/>
    </font>
    <font>
      <sz val="10"/>
      <color theme="3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 tint="0.499984740745262"/>
      <name val="Arial"/>
      <family val="2"/>
    </font>
    <font>
      <sz val="10"/>
      <color theme="1" tint="0.499984740745262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b/>
      <sz val="10"/>
      <color theme="1" tint="0.499984740745262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sz val="10"/>
      <name val="Calibri"/>
      <family val="2"/>
    </font>
    <font>
      <sz val="10"/>
      <color rgb="FF000099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mediumDashed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/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/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indexed="64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/>
      <top/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D9D9D9"/>
      </top>
      <bottom style="thin">
        <color rgb="FFD9D9D9"/>
      </bottom>
      <diagonal/>
    </border>
    <border>
      <left style="thin">
        <color rgb="FFD9D9D9"/>
      </left>
      <right style="thin">
        <color indexed="64"/>
      </right>
      <top style="thin">
        <color rgb="FFD9D9D9"/>
      </top>
      <bottom style="thin">
        <color rgb="FFD9D9D9"/>
      </bottom>
      <diagonal/>
    </border>
    <border>
      <left/>
      <right style="thin">
        <color indexed="64"/>
      </right>
      <top/>
      <bottom/>
      <diagonal/>
    </border>
  </borders>
  <cellStyleXfs count="20">
    <xf numFmtId="0" fontId="0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" fillId="0" borderId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1" fillId="0" borderId="0"/>
    <xf numFmtId="166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396">
    <xf numFmtId="0" fontId="0" fillId="0" borderId="0" xfId="0"/>
    <xf numFmtId="0" fontId="3" fillId="0" borderId="0" xfId="0" applyFont="1" applyAlignment="1">
      <alignment horizontal="left"/>
    </xf>
    <xf numFmtId="0" fontId="3" fillId="0" borderId="0" xfId="0" applyFont="1"/>
    <xf numFmtId="0" fontId="3" fillId="0" borderId="0" xfId="0" quotePrefix="1" applyFont="1" applyAlignment="1">
      <alignment horizontal="left"/>
    </xf>
    <xf numFmtId="0" fontId="3" fillId="0" borderId="0" xfId="0" applyFont="1" applyAlignment="1">
      <alignment horizontal="center"/>
    </xf>
    <xf numFmtId="0" fontId="0" fillId="0" borderId="0" xfId="0" applyAlignment="1">
      <alignment horizontal="left"/>
    </xf>
    <xf numFmtId="9" fontId="0" fillId="0" borderId="0" xfId="4" applyFont="1" applyBorder="1"/>
    <xf numFmtId="0" fontId="0" fillId="0" borderId="0" xfId="0" applyAlignment="1">
      <alignment horizontal="center"/>
    </xf>
    <xf numFmtId="9" fontId="0" fillId="0" borderId="0" xfId="4" applyFont="1" applyFill="1" applyBorder="1"/>
    <xf numFmtId="0" fontId="7" fillId="0" borderId="0" xfId="0" applyFont="1"/>
    <xf numFmtId="0" fontId="3" fillId="0" borderId="0" xfId="0" applyFont="1" applyAlignment="1">
      <alignment horizontal="right"/>
    </xf>
    <xf numFmtId="0" fontId="5" fillId="0" borderId="0" xfId="0" applyFont="1"/>
    <xf numFmtId="0" fontId="10" fillId="0" borderId="0" xfId="0" applyFont="1"/>
    <xf numFmtId="0" fontId="2" fillId="2" borderId="0" xfId="0" applyFont="1" applyFill="1" applyAlignment="1">
      <alignment horizontal="center"/>
    </xf>
    <xf numFmtId="0" fontId="0" fillId="2" borderId="0" xfId="0" applyFill="1"/>
    <xf numFmtId="0" fontId="3" fillId="2" borderId="0" xfId="0" quotePrefix="1" applyFont="1" applyFill="1" applyAlignment="1">
      <alignment horizontal="left"/>
    </xf>
    <xf numFmtId="0" fontId="3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49" fontId="3" fillId="0" borderId="0" xfId="0" applyNumberFormat="1" applyFont="1" applyAlignment="1">
      <alignment horizontal="left"/>
    </xf>
    <xf numFmtId="0" fontId="3" fillId="2" borderId="0" xfId="0" applyFont="1" applyFill="1" applyAlignment="1">
      <alignment horizontal="left"/>
    </xf>
    <xf numFmtId="0" fontId="4" fillId="0" borderId="0" xfId="0" applyFont="1" applyAlignment="1">
      <alignment horizontal="left"/>
    </xf>
    <xf numFmtId="2" fontId="4" fillId="0" borderId="0" xfId="0" applyNumberFormat="1" applyFont="1" applyAlignment="1">
      <alignment horizontal="center"/>
    </xf>
    <xf numFmtId="0" fontId="2" fillId="2" borderId="0" xfId="0" quotePrefix="1" applyFont="1" applyFill="1" applyAlignment="1">
      <alignment horizontal="left"/>
    </xf>
    <xf numFmtId="0" fontId="4" fillId="2" borderId="0" xfId="0" applyFont="1" applyFill="1" applyAlignment="1">
      <alignment horizontal="left"/>
    </xf>
    <xf numFmtId="0" fontId="9" fillId="0" borderId="0" xfId="0" applyFont="1"/>
    <xf numFmtId="0" fontId="7" fillId="2" borderId="0" xfId="0" applyFont="1" applyFill="1"/>
    <xf numFmtId="0" fontId="3" fillId="2" borderId="0" xfId="0" applyFont="1" applyFill="1"/>
    <xf numFmtId="0" fontId="7" fillId="0" borderId="0" xfId="0" quotePrefix="1" applyFont="1" applyAlignment="1">
      <alignment horizontal="left"/>
    </xf>
    <xf numFmtId="0" fontId="4" fillId="0" borderId="0" xfId="0" applyFont="1"/>
    <xf numFmtId="0" fontId="4" fillId="0" borderId="0" xfId="0" applyFont="1" applyAlignment="1">
      <alignment horizontal="right"/>
    </xf>
    <xf numFmtId="0" fontId="8" fillId="0" borderId="0" xfId="0" applyFont="1"/>
    <xf numFmtId="0" fontId="11" fillId="0" borderId="0" xfId="0" applyFont="1"/>
    <xf numFmtId="0" fontId="8" fillId="0" borderId="0" xfId="0" applyFont="1" applyAlignment="1">
      <alignment horizontal="center"/>
    </xf>
    <xf numFmtId="0" fontId="12" fillId="0" borderId="0" xfId="0" applyFont="1"/>
    <xf numFmtId="0" fontId="8" fillId="0" borderId="0" xfId="0" applyFont="1" applyAlignment="1">
      <alignment horizontal="right"/>
    </xf>
    <xf numFmtId="164" fontId="11" fillId="0" borderId="0" xfId="4" applyNumberFormat="1" applyFont="1" applyFill="1" applyBorder="1"/>
    <xf numFmtId="0" fontId="13" fillId="0" borderId="0" xfId="0" applyFont="1"/>
    <xf numFmtId="0" fontId="22" fillId="0" borderId="0" xfId="0" applyFont="1" applyAlignment="1">
      <alignment horizontal="left"/>
    </xf>
    <xf numFmtId="0" fontId="23" fillId="2" borderId="0" xfId="0" quotePrefix="1" applyFont="1" applyFill="1" applyAlignment="1">
      <alignment horizontal="left"/>
    </xf>
    <xf numFmtId="0" fontId="24" fillId="2" borderId="0" xfId="0" applyFont="1" applyFill="1" applyAlignment="1">
      <alignment horizontal="center"/>
    </xf>
    <xf numFmtId="0" fontId="25" fillId="0" borderId="0" xfId="0" applyFont="1"/>
    <xf numFmtId="0" fontId="23" fillId="0" borderId="0" xfId="0" applyFont="1" applyAlignment="1">
      <alignment horizontal="left"/>
    </xf>
    <xf numFmtId="2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2" fillId="5" borderId="0" xfId="0" applyFont="1" applyFill="1" applyAlignment="1">
      <alignment horizontal="left"/>
    </xf>
    <xf numFmtId="0" fontId="22" fillId="5" borderId="0" xfId="0" applyFont="1" applyFill="1" applyAlignment="1">
      <alignment horizontal="center"/>
    </xf>
    <xf numFmtId="0" fontId="22" fillId="0" borderId="0" xfId="0" applyFont="1" applyAlignment="1">
      <alignment horizontal="centerContinuous"/>
    </xf>
    <xf numFmtId="0" fontId="26" fillId="0" borderId="0" xfId="0" applyFont="1"/>
    <xf numFmtId="0" fontId="22" fillId="0" borderId="0" xfId="0" applyFont="1"/>
    <xf numFmtId="9" fontId="22" fillId="0" borderId="0" xfId="4" applyFont="1" applyBorder="1"/>
    <xf numFmtId="0" fontId="23" fillId="0" borderId="0" xfId="0" applyFont="1"/>
    <xf numFmtId="9" fontId="23" fillId="0" borderId="0" xfId="4" applyFont="1" applyBorder="1"/>
    <xf numFmtId="0" fontId="22" fillId="0" borderId="1" xfId="0" applyFont="1" applyBorder="1" applyAlignment="1">
      <alignment horizontal="left"/>
    </xf>
    <xf numFmtId="0" fontId="22" fillId="0" borderId="1" xfId="0" applyFont="1" applyBorder="1" applyAlignment="1">
      <alignment horizontal="centerContinuous"/>
    </xf>
    <xf numFmtId="0" fontId="22" fillId="0" borderId="1" xfId="0" applyFont="1" applyBorder="1"/>
    <xf numFmtId="9" fontId="22" fillId="0" borderId="1" xfId="4" applyFont="1" applyBorder="1"/>
    <xf numFmtId="0" fontId="22" fillId="0" borderId="1" xfId="0" applyFont="1" applyBorder="1" applyAlignment="1">
      <alignment horizontal="center"/>
    </xf>
    <xf numFmtId="9" fontId="22" fillId="0" borderId="0" xfId="4" applyFont="1"/>
    <xf numFmtId="9" fontId="22" fillId="0" borderId="0" xfId="4" applyFont="1" applyFill="1"/>
    <xf numFmtId="9" fontId="22" fillId="0" borderId="0" xfId="4" applyFont="1" applyBorder="1" applyAlignment="1">
      <alignment horizontal="center"/>
    </xf>
    <xf numFmtId="9" fontId="22" fillId="5" borderId="0" xfId="4" applyFont="1" applyFill="1" applyBorder="1" applyAlignment="1">
      <alignment horizontal="center"/>
    </xf>
    <xf numFmtId="9" fontId="22" fillId="0" borderId="0" xfId="4" applyFont="1" applyFill="1" applyBorder="1" applyAlignment="1">
      <alignment horizontal="centerContinuous"/>
    </xf>
    <xf numFmtId="9" fontId="22" fillId="0" borderId="1" xfId="4" applyFont="1" applyFill="1" applyBorder="1" applyAlignment="1">
      <alignment horizontal="centerContinuous"/>
    </xf>
    <xf numFmtId="14" fontId="24" fillId="2" borderId="0" xfId="0" applyNumberFormat="1" applyFont="1" applyFill="1" applyAlignment="1">
      <alignment horizontal="center"/>
    </xf>
    <xf numFmtId="14" fontId="24" fillId="0" borderId="0" xfId="0" applyNumberFormat="1" applyFont="1" applyAlignment="1">
      <alignment horizontal="center"/>
    </xf>
    <xf numFmtId="164" fontId="0" fillId="0" borderId="0" xfId="0" applyNumberFormat="1"/>
    <xf numFmtId="0" fontId="23" fillId="6" borderId="0" xfId="0" applyFont="1" applyFill="1" applyAlignment="1">
      <alignment horizontal="centerContinuous"/>
    </xf>
    <xf numFmtId="0" fontId="5" fillId="6" borderId="0" xfId="0" applyFont="1" applyFill="1" applyAlignment="1">
      <alignment horizontal="centerContinuous"/>
    </xf>
    <xf numFmtId="9" fontId="22" fillId="0" borderId="0" xfId="4" applyFont="1" applyFill="1" applyBorder="1" applyAlignment="1">
      <alignment horizontal="center"/>
    </xf>
    <xf numFmtId="10" fontId="22" fillId="0" borderId="0" xfId="4" applyNumberFormat="1" applyFont="1" applyFill="1" applyBorder="1" applyAlignment="1">
      <alignment horizontal="center"/>
    </xf>
    <xf numFmtId="10" fontId="22" fillId="0" borderId="0" xfId="4" applyNumberFormat="1" applyFont="1" applyFill="1" applyBorder="1" applyAlignment="1">
      <alignment horizontal="centerContinuous"/>
    </xf>
    <xf numFmtId="10" fontId="22" fillId="0" borderId="1" xfId="4" applyNumberFormat="1" applyFont="1" applyFill="1" applyBorder="1" applyAlignment="1">
      <alignment horizontal="centerContinuous"/>
    </xf>
    <xf numFmtId="0" fontId="27" fillId="0" borderId="0" xfId="0" applyFont="1" applyAlignment="1">
      <alignment horizontal="left"/>
    </xf>
    <xf numFmtId="9" fontId="0" fillId="0" borderId="0" xfId="0" applyNumberFormat="1"/>
    <xf numFmtId="165" fontId="0" fillId="0" borderId="0" xfId="0" applyNumberFormat="1"/>
    <xf numFmtId="0" fontId="28" fillId="4" borderId="0" xfId="0" applyFont="1" applyFill="1" applyAlignment="1">
      <alignment horizontal="center"/>
    </xf>
    <xf numFmtId="0" fontId="29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2" fontId="30" fillId="0" borderId="0" xfId="0" applyNumberFormat="1" applyFont="1" applyAlignment="1">
      <alignment horizontal="center"/>
    </xf>
    <xf numFmtId="0" fontId="17" fillId="0" borderId="0" xfId="0" applyFont="1"/>
    <xf numFmtId="0" fontId="31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33" fillId="0" borderId="0" xfId="0" applyFont="1" applyAlignment="1">
      <alignment horizontal="left"/>
    </xf>
    <xf numFmtId="0" fontId="33" fillId="5" borderId="0" xfId="0" applyFont="1" applyFill="1" applyAlignment="1">
      <alignment horizontal="left"/>
    </xf>
    <xf numFmtId="0" fontId="26" fillId="0" borderId="0" xfId="0" applyFont="1" applyAlignment="1">
      <alignment horizontal="left" indent="1"/>
    </xf>
    <xf numFmtId="0" fontId="0" fillId="0" borderId="0" xfId="0" applyAlignment="1">
      <alignment horizontal="left" indent="1"/>
    </xf>
    <xf numFmtId="0" fontId="7" fillId="0" borderId="0" xfId="0" applyFont="1" applyAlignment="1">
      <alignment horizontal="left" indent="1"/>
    </xf>
    <xf numFmtId="164" fontId="0" fillId="0" borderId="0" xfId="0" applyNumberFormat="1" applyAlignment="1">
      <alignment horizontal="left" indent="1"/>
    </xf>
    <xf numFmtId="0" fontId="22" fillId="0" borderId="2" xfId="0" applyFont="1" applyBorder="1" applyAlignment="1">
      <alignment horizontal="left"/>
    </xf>
    <xf numFmtId="0" fontId="22" fillId="0" borderId="2" xfId="0" applyFont="1" applyBorder="1" applyAlignment="1">
      <alignment horizontal="center"/>
    </xf>
    <xf numFmtId="9" fontId="22" fillId="0" borderId="2" xfId="4" applyFont="1" applyBorder="1" applyAlignment="1">
      <alignment horizontal="center"/>
    </xf>
    <xf numFmtId="0" fontId="34" fillId="0" borderId="0" xfId="1" applyFont="1" applyBorder="1" applyAlignment="1" applyProtection="1"/>
    <xf numFmtId="166" fontId="22" fillId="0" borderId="0" xfId="0" applyNumberFormat="1" applyFont="1"/>
    <xf numFmtId="10" fontId="22" fillId="0" borderId="0" xfId="4" applyNumberFormat="1" applyFont="1"/>
    <xf numFmtId="0" fontId="22" fillId="8" borderId="0" xfId="0" applyFont="1" applyFill="1" applyAlignment="1">
      <alignment horizontal="left"/>
    </xf>
    <xf numFmtId="0" fontId="22" fillId="8" borderId="0" xfId="0" applyFont="1" applyFill="1" applyAlignment="1">
      <alignment horizontal="center"/>
    </xf>
    <xf numFmtId="9" fontId="22" fillId="8" borderId="0" xfId="4" applyFont="1" applyFill="1" applyBorder="1" applyAlignment="1">
      <alignment horizontal="center"/>
    </xf>
    <xf numFmtId="0" fontId="22" fillId="9" borderId="2" xfId="0" applyFont="1" applyFill="1" applyBorder="1" applyAlignment="1">
      <alignment horizontal="left"/>
    </xf>
    <xf numFmtId="0" fontId="22" fillId="9" borderId="2" xfId="0" applyFont="1" applyFill="1" applyBorder="1" applyAlignment="1">
      <alignment horizontal="center"/>
    </xf>
    <xf numFmtId="9" fontId="22" fillId="9" borderId="2" xfId="4" applyFont="1" applyFill="1" applyBorder="1" applyAlignment="1">
      <alignment horizontal="center"/>
    </xf>
    <xf numFmtId="0" fontId="23" fillId="0" borderId="9" xfId="0" quotePrefix="1" applyFont="1" applyBorder="1" applyAlignment="1">
      <alignment horizontal="left"/>
    </xf>
    <xf numFmtId="0" fontId="24" fillId="0" borderId="10" xfId="0" applyFont="1" applyBorder="1" applyAlignment="1">
      <alignment horizontal="center"/>
    </xf>
    <xf numFmtId="0" fontId="0" fillId="0" borderId="10" xfId="0" applyBorder="1"/>
    <xf numFmtId="14" fontId="24" fillId="0" borderId="11" xfId="0" applyNumberFormat="1" applyFont="1" applyBorder="1" applyAlignment="1">
      <alignment horizontal="center"/>
    </xf>
    <xf numFmtId="0" fontId="22" fillId="5" borderId="2" xfId="0" applyFont="1" applyFill="1" applyBorder="1" applyAlignment="1">
      <alignment horizontal="left"/>
    </xf>
    <xf numFmtId="0" fontId="22" fillId="9" borderId="0" xfId="0" applyFont="1" applyFill="1" applyAlignment="1">
      <alignment horizontal="left"/>
    </xf>
    <xf numFmtId="0" fontId="22" fillId="5" borderId="2" xfId="0" applyFont="1" applyFill="1" applyBorder="1" applyAlignment="1">
      <alignment horizontal="center"/>
    </xf>
    <xf numFmtId="0" fontId="22" fillId="9" borderId="0" xfId="0" applyFont="1" applyFill="1" applyAlignment="1">
      <alignment horizontal="center"/>
    </xf>
    <xf numFmtId="9" fontId="22" fillId="5" borderId="2" xfId="4" applyFont="1" applyFill="1" applyBorder="1" applyAlignment="1">
      <alignment horizontal="center"/>
    </xf>
    <xf numFmtId="9" fontId="22" fillId="9" borderId="0" xfId="4" applyFont="1" applyFill="1" applyBorder="1" applyAlignment="1">
      <alignment horizontal="center"/>
    </xf>
    <xf numFmtId="9" fontId="22" fillId="0" borderId="1" xfId="4" applyFont="1" applyFill="1" applyBorder="1" applyAlignment="1">
      <alignment horizontal="center"/>
    </xf>
    <xf numFmtId="9" fontId="22" fillId="0" borderId="2" xfId="4" applyFont="1" applyFill="1" applyBorder="1" applyAlignment="1">
      <alignment horizontal="center"/>
    </xf>
    <xf numFmtId="0" fontId="22" fillId="0" borderId="12" xfId="0" applyFont="1" applyBorder="1" applyAlignment="1">
      <alignment horizontal="left"/>
    </xf>
    <xf numFmtId="0" fontId="22" fillId="0" borderId="12" xfId="0" applyFont="1" applyBorder="1" applyAlignment="1">
      <alignment horizontal="center"/>
    </xf>
    <xf numFmtId="9" fontId="22" fillId="0" borderId="12" xfId="4" applyFont="1" applyFill="1" applyBorder="1" applyAlignment="1">
      <alignment horizontal="center"/>
    </xf>
    <xf numFmtId="0" fontId="35" fillId="10" borderId="0" xfId="0" applyFont="1" applyFill="1" applyAlignment="1">
      <alignment horizontal="left"/>
    </xf>
    <xf numFmtId="0" fontId="35" fillId="10" borderId="0" xfId="0" applyFont="1" applyFill="1" applyAlignment="1">
      <alignment horizontal="center"/>
    </xf>
    <xf numFmtId="9" fontId="35" fillId="10" borderId="0" xfId="4" applyFont="1" applyFill="1" applyBorder="1" applyAlignment="1">
      <alignment horizontal="center"/>
    </xf>
    <xf numFmtId="0" fontId="35" fillId="11" borderId="0" xfId="0" applyFont="1" applyFill="1" applyAlignment="1">
      <alignment horizontal="left"/>
    </xf>
    <xf numFmtId="0" fontId="35" fillId="11" borderId="0" xfId="0" applyFont="1" applyFill="1" applyAlignment="1">
      <alignment horizontal="center"/>
    </xf>
    <xf numFmtId="9" fontId="35" fillId="11" borderId="0" xfId="4" applyFont="1" applyFill="1" applyBorder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0" fontId="5" fillId="0" borderId="4" xfId="0" applyFont="1" applyBorder="1"/>
    <xf numFmtId="0" fontId="36" fillId="0" borderId="5" xfId="0" applyFont="1" applyBorder="1" applyAlignment="1">
      <alignment horizontal="right"/>
    </xf>
    <xf numFmtId="0" fontId="36" fillId="0" borderId="5" xfId="0" applyFont="1" applyBorder="1"/>
    <xf numFmtId="0" fontId="0" fillId="0" borderId="5" xfId="0" applyBorder="1"/>
    <xf numFmtId="0" fontId="5" fillId="0" borderId="6" xfId="0" applyFont="1" applyBorder="1"/>
    <xf numFmtId="0" fontId="36" fillId="0" borderId="3" xfId="0" applyFont="1" applyBorder="1" applyAlignment="1">
      <alignment horizontal="right"/>
    </xf>
    <xf numFmtId="0" fontId="36" fillId="0" borderId="3" xfId="0" applyFont="1" applyBorder="1"/>
    <xf numFmtId="0" fontId="0" fillId="0" borderId="3" xfId="0" applyBorder="1"/>
    <xf numFmtId="0" fontId="1" fillId="0" borderId="4" xfId="0" applyFont="1" applyBorder="1"/>
    <xf numFmtId="0" fontId="1" fillId="0" borderId="5" xfId="0" applyFont="1" applyBorder="1" applyAlignment="1">
      <alignment horizontal="right"/>
    </xf>
    <xf numFmtId="0" fontId="5" fillId="0" borderId="5" xfId="0" applyFont="1" applyBorder="1" applyAlignment="1">
      <alignment horizontal="right"/>
    </xf>
    <xf numFmtId="0" fontId="1" fillId="0" borderId="5" xfId="0" applyFont="1" applyBorder="1"/>
    <xf numFmtId="0" fontId="5" fillId="0" borderId="7" xfId="0" applyFont="1" applyBorder="1"/>
    <xf numFmtId="0" fontId="5" fillId="0" borderId="8" xfId="0" applyFont="1" applyBorder="1" applyAlignment="1">
      <alignment horizontal="right"/>
    </xf>
    <xf numFmtId="0" fontId="5" fillId="0" borderId="8" xfId="0" applyFont="1" applyBorder="1"/>
    <xf numFmtId="0" fontId="1" fillId="12" borderId="7" xfId="0" applyFont="1" applyFill="1" applyBorder="1"/>
    <xf numFmtId="0" fontId="1" fillId="12" borderId="8" xfId="0" applyFont="1" applyFill="1" applyBorder="1" applyAlignment="1">
      <alignment horizontal="right"/>
    </xf>
    <xf numFmtId="0" fontId="5" fillId="12" borderId="8" xfId="0" applyFont="1" applyFill="1" applyBorder="1" applyAlignment="1">
      <alignment horizontal="right"/>
    </xf>
    <xf numFmtId="0" fontId="1" fillId="12" borderId="8" xfId="0" applyFont="1" applyFill="1" applyBorder="1"/>
    <xf numFmtId="0" fontId="29" fillId="4" borderId="0" xfId="0" applyFont="1" applyFill="1" applyAlignment="1">
      <alignment horizontal="center"/>
    </xf>
    <xf numFmtId="0" fontId="26" fillId="0" borderId="0" xfId="0" applyFont="1" applyAlignment="1">
      <alignment horizontal="center"/>
    </xf>
    <xf numFmtId="0" fontId="37" fillId="0" borderId="0" xfId="0" applyFont="1"/>
    <xf numFmtId="9" fontId="11" fillId="0" borderId="0" xfId="0" applyNumberFormat="1" applyFont="1"/>
    <xf numFmtId="9" fontId="38" fillId="0" borderId="0" xfId="0" applyNumberFormat="1" applyFont="1"/>
    <xf numFmtId="0" fontId="41" fillId="0" borderId="0" xfId="0" quotePrefix="1" applyFont="1" applyAlignment="1">
      <alignment horizontal="left" vertical="center"/>
    </xf>
    <xf numFmtId="0" fontId="35" fillId="10" borderId="2" xfId="0" applyFont="1" applyFill="1" applyBorder="1" applyAlignment="1">
      <alignment horizontal="left"/>
    </xf>
    <xf numFmtId="0" fontId="35" fillId="10" borderId="2" xfId="0" applyFont="1" applyFill="1" applyBorder="1" applyAlignment="1">
      <alignment horizontal="center"/>
    </xf>
    <xf numFmtId="9" fontId="35" fillId="10" borderId="2" xfId="4" applyFont="1" applyFill="1" applyBorder="1" applyAlignment="1">
      <alignment horizontal="center"/>
    </xf>
    <xf numFmtId="0" fontId="22" fillId="0" borderId="0" xfId="6" applyFont="1" applyAlignment="1">
      <alignment vertical="center"/>
    </xf>
    <xf numFmtId="0" fontId="25" fillId="0" borderId="0" xfId="6" applyFont="1" applyAlignment="1">
      <alignment vertical="center"/>
    </xf>
    <xf numFmtId="0" fontId="22" fillId="0" borderId="0" xfId="6" applyFont="1" applyAlignment="1">
      <alignment horizontal="center" vertical="center"/>
    </xf>
    <xf numFmtId="0" fontId="22" fillId="14" borderId="5" xfId="6" applyFont="1" applyFill="1" applyBorder="1" applyAlignment="1">
      <alignment vertical="center"/>
    </xf>
    <xf numFmtId="0" fontId="23" fillId="14" borderId="5" xfId="6" applyFont="1" applyFill="1" applyBorder="1" applyAlignment="1">
      <alignment vertical="center"/>
    </xf>
    <xf numFmtId="0" fontId="23" fillId="14" borderId="5" xfId="6" applyFont="1" applyFill="1" applyBorder="1" applyAlignment="1">
      <alignment horizontal="center" vertical="center"/>
    </xf>
    <xf numFmtId="0" fontId="23" fillId="14" borderId="14" xfId="6" applyFont="1" applyFill="1" applyBorder="1" applyAlignment="1">
      <alignment horizontal="center" vertical="center" wrapText="1"/>
    </xf>
    <xf numFmtId="4" fontId="22" fillId="0" borderId="15" xfId="6" applyNumberFormat="1" applyFont="1" applyBorder="1" applyAlignment="1">
      <alignment horizontal="center" vertical="center"/>
    </xf>
    <xf numFmtId="0" fontId="22" fillId="0" borderId="13" xfId="6" applyFont="1" applyBorder="1" applyAlignment="1">
      <alignment vertical="center"/>
    </xf>
    <xf numFmtId="0" fontId="22" fillId="0" borderId="13" xfId="6" applyFont="1" applyBorder="1" applyAlignment="1">
      <alignment horizontal="center" vertical="center"/>
    </xf>
    <xf numFmtId="0" fontId="43" fillId="0" borderId="13" xfId="6" applyFont="1" applyBorder="1" applyAlignment="1">
      <alignment horizontal="center" vertical="center"/>
    </xf>
    <xf numFmtId="4" fontId="22" fillId="0" borderId="16" xfId="6" applyNumberFormat="1" applyFont="1" applyBorder="1" applyAlignment="1">
      <alignment horizontal="center" vertical="center"/>
    </xf>
    <xf numFmtId="14" fontId="42" fillId="0" borderId="0" xfId="6" applyNumberFormat="1" applyFont="1" applyAlignment="1">
      <alignment horizontal="center" vertical="center"/>
    </xf>
    <xf numFmtId="0" fontId="41" fillId="0" borderId="0" xfId="0" quotePrefix="1" applyFont="1" applyAlignment="1">
      <alignment horizontal="right" vertical="center"/>
    </xf>
    <xf numFmtId="0" fontId="25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40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right" vertical="center"/>
    </xf>
    <xf numFmtId="0" fontId="40" fillId="0" borderId="0" xfId="0" applyFont="1" applyAlignment="1">
      <alignment horizontal="center" vertical="center"/>
    </xf>
    <xf numFmtId="14" fontId="24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2" fontId="30" fillId="0" borderId="0" xfId="0" applyNumberFormat="1" applyFont="1" applyAlignment="1">
      <alignment horizontal="center" vertical="center"/>
    </xf>
    <xf numFmtId="0" fontId="41" fillId="0" borderId="0" xfId="0" quotePrefix="1" applyFont="1" applyAlignment="1">
      <alignment horizontal="center" vertical="center"/>
    </xf>
    <xf numFmtId="0" fontId="48" fillId="0" borderId="0" xfId="0" applyFont="1" applyAlignment="1">
      <alignment horizontal="left" vertical="center"/>
    </xf>
    <xf numFmtId="0" fontId="48" fillId="0" borderId="0" xfId="0" applyFont="1" applyAlignment="1">
      <alignment horizontal="center" vertical="center"/>
    </xf>
    <xf numFmtId="9" fontId="22" fillId="0" borderId="0" xfId="4" applyFont="1" applyFill="1" applyBorder="1" applyAlignment="1">
      <alignment horizontal="center" vertical="center"/>
    </xf>
    <xf numFmtId="0" fontId="23" fillId="12" borderId="8" xfId="0" applyFont="1" applyFill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45" fillId="0" borderId="0" xfId="0" quotePrefix="1" applyFont="1" applyAlignment="1">
      <alignment horizontal="center" vertical="center"/>
    </xf>
    <xf numFmtId="0" fontId="22" fillId="0" borderId="0" xfId="0" applyFont="1" applyAlignment="1">
      <alignment vertical="center"/>
    </xf>
    <xf numFmtId="0" fontId="22" fillId="0" borderId="3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9" fontId="0" fillId="0" borderId="0" xfId="0" applyNumberFormat="1" applyAlignment="1">
      <alignment vertical="center"/>
    </xf>
    <xf numFmtId="0" fontId="48" fillId="0" borderId="2" xfId="0" applyFont="1" applyBorder="1" applyAlignment="1">
      <alignment horizontal="left" vertical="center"/>
    </xf>
    <xf numFmtId="0" fontId="48" fillId="0" borderId="2" xfId="0" applyFont="1" applyBorder="1" applyAlignment="1">
      <alignment horizontal="center" vertical="center"/>
    </xf>
    <xf numFmtId="9" fontId="22" fillId="0" borderId="2" xfId="4" applyFont="1" applyFill="1" applyBorder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22" fillId="0" borderId="0" xfId="0" applyFont="1" applyAlignment="1">
      <alignment horizontal="centerContinuous" vertical="center"/>
    </xf>
    <xf numFmtId="0" fontId="22" fillId="0" borderId="1" xfId="0" applyFont="1" applyBorder="1" applyAlignment="1">
      <alignment horizontal="left" vertical="center"/>
    </xf>
    <xf numFmtId="0" fontId="22" fillId="0" borderId="1" xfId="0" applyFont="1" applyBorder="1" applyAlignment="1">
      <alignment horizontal="centerContinuous" vertical="center"/>
    </xf>
    <xf numFmtId="9" fontId="22" fillId="0" borderId="1" xfId="4" applyFont="1" applyFill="1" applyBorder="1" applyAlignment="1">
      <alignment horizontal="centerContinuous" vertical="center"/>
    </xf>
    <xf numFmtId="0" fontId="23" fillId="0" borderId="0" xfId="0" applyFont="1" applyAlignment="1">
      <alignment horizontal="left" vertical="center"/>
    </xf>
    <xf numFmtId="2" fontId="23" fillId="0" borderId="0" xfId="0" applyNumberFormat="1" applyFont="1" applyAlignment="1">
      <alignment horizontal="center" vertical="center"/>
    </xf>
    <xf numFmtId="0" fontId="3" fillId="0" borderId="0" xfId="0" quotePrefix="1" applyFont="1" applyAlignment="1">
      <alignment horizontal="left" vertical="center"/>
    </xf>
    <xf numFmtId="0" fontId="2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26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47" fillId="0" borderId="0" xfId="0" applyFont="1" applyAlignment="1">
      <alignment horizontal="left" vertical="center"/>
    </xf>
    <xf numFmtId="167" fontId="0" fillId="0" borderId="0" xfId="0" applyNumberFormat="1" applyAlignment="1">
      <alignment vertical="center"/>
    </xf>
    <xf numFmtId="0" fontId="46" fillId="0" borderId="0" xfId="0" applyFont="1" applyAlignment="1">
      <alignment vertical="center"/>
    </xf>
    <xf numFmtId="0" fontId="5" fillId="0" borderId="8" xfId="0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9" fontId="23" fillId="0" borderId="8" xfId="4" applyFont="1" applyBorder="1" applyAlignment="1">
      <alignment horizontal="center" vertical="center"/>
    </xf>
    <xf numFmtId="0" fontId="22" fillId="0" borderId="17" xfId="0" applyFont="1" applyBorder="1" applyAlignment="1">
      <alignment horizontal="center" vertical="center"/>
    </xf>
    <xf numFmtId="9" fontId="22" fillId="0" borderId="17" xfId="4" applyFont="1" applyBorder="1" applyAlignment="1">
      <alignment horizontal="center" vertical="center"/>
    </xf>
    <xf numFmtId="0" fontId="22" fillId="0" borderId="13" xfId="0" applyFont="1" applyBorder="1" applyAlignment="1">
      <alignment horizontal="center" vertical="center"/>
    </xf>
    <xf numFmtId="9" fontId="22" fillId="0" borderId="13" xfId="4" applyFont="1" applyBorder="1" applyAlignment="1">
      <alignment horizontal="center" vertical="center"/>
    </xf>
    <xf numFmtId="0" fontId="22" fillId="0" borderId="18" xfId="0" applyFont="1" applyBorder="1" applyAlignment="1">
      <alignment horizontal="center" vertical="center"/>
    </xf>
    <xf numFmtId="9" fontId="22" fillId="0" borderId="18" xfId="4" applyFont="1" applyBorder="1" applyAlignment="1">
      <alignment horizontal="center" vertical="center"/>
    </xf>
    <xf numFmtId="0" fontId="23" fillId="0" borderId="19" xfId="0" quotePrefix="1" applyFont="1" applyBorder="1" applyAlignment="1">
      <alignment horizontal="left" vertical="center"/>
    </xf>
    <xf numFmtId="0" fontId="24" fillId="0" borderId="12" xfId="0" applyFont="1" applyBorder="1" applyAlignment="1">
      <alignment horizontal="center" vertical="center"/>
    </xf>
    <xf numFmtId="0" fontId="0" fillId="0" borderId="12" xfId="0" applyBorder="1" applyAlignment="1">
      <alignment vertical="center"/>
    </xf>
    <xf numFmtId="14" fontId="24" fillId="0" borderId="20" xfId="0" applyNumberFormat="1" applyFont="1" applyBorder="1" applyAlignment="1">
      <alignment horizontal="center" vertical="center"/>
    </xf>
    <xf numFmtId="0" fontId="48" fillId="0" borderId="13" xfId="0" applyFont="1" applyBorder="1" applyAlignment="1">
      <alignment horizontal="left" vertical="center"/>
    </xf>
    <xf numFmtId="0" fontId="48" fillId="0" borderId="13" xfId="0" applyFont="1" applyBorder="1" applyAlignment="1">
      <alignment horizontal="center" vertical="center"/>
    </xf>
    <xf numFmtId="9" fontId="22" fillId="0" borderId="13" xfId="4" applyFont="1" applyFill="1" applyBorder="1" applyAlignment="1">
      <alignment horizontal="center" vertical="center"/>
    </xf>
    <xf numFmtId="0" fontId="48" fillId="0" borderId="21" xfId="0" applyFont="1" applyBorder="1" applyAlignment="1">
      <alignment horizontal="left" vertical="center"/>
    </xf>
    <xf numFmtId="0" fontId="48" fillId="0" borderId="21" xfId="0" applyFont="1" applyBorder="1" applyAlignment="1">
      <alignment horizontal="center" vertical="center"/>
    </xf>
    <xf numFmtId="9" fontId="22" fillId="0" borderId="21" xfId="4" applyFont="1" applyFill="1" applyBorder="1" applyAlignment="1">
      <alignment horizontal="center" vertical="center"/>
    </xf>
    <xf numFmtId="0" fontId="48" fillId="0" borderId="13" xfId="0" applyFont="1" applyBorder="1" applyAlignment="1">
      <alignment horizontal="centerContinuous" vertical="center"/>
    </xf>
    <xf numFmtId="0" fontId="0" fillId="15" borderId="5" xfId="0" applyFill="1" applyBorder="1" applyAlignment="1">
      <alignment vertical="center"/>
    </xf>
    <xf numFmtId="0" fontId="0" fillId="15" borderId="3" xfId="0" applyFill="1" applyBorder="1" applyAlignment="1">
      <alignment vertical="center"/>
    </xf>
    <xf numFmtId="0" fontId="0" fillId="15" borderId="8" xfId="0" applyFill="1" applyBorder="1" applyAlignment="1">
      <alignment vertical="center"/>
    </xf>
    <xf numFmtId="0" fontId="22" fillId="15" borderId="17" xfId="0" applyFont="1" applyFill="1" applyBorder="1" applyAlignment="1">
      <alignment horizontal="center" vertical="center"/>
    </xf>
    <xf numFmtId="0" fontId="22" fillId="15" borderId="13" xfId="0" applyFont="1" applyFill="1" applyBorder="1" applyAlignment="1">
      <alignment horizontal="center" vertical="center"/>
    </xf>
    <xf numFmtId="0" fontId="22" fillId="15" borderId="18" xfId="0" applyFont="1" applyFill="1" applyBorder="1" applyAlignment="1">
      <alignment horizontal="center" vertical="center"/>
    </xf>
    <xf numFmtId="0" fontId="23" fillId="15" borderId="8" xfId="0" applyFont="1" applyFill="1" applyBorder="1" applyAlignment="1">
      <alignment horizontal="center" vertical="center"/>
    </xf>
    <xf numFmtId="0" fontId="0" fillId="15" borderId="0" xfId="0" applyFill="1" applyAlignment="1">
      <alignment vertical="center"/>
    </xf>
    <xf numFmtId="0" fontId="49" fillId="0" borderId="0" xfId="0" applyFont="1" applyAlignment="1">
      <alignment vertical="center"/>
    </xf>
    <xf numFmtId="0" fontId="1" fillId="0" borderId="0" xfId="6"/>
    <xf numFmtId="0" fontId="1" fillId="0" borderId="22" xfId="6" applyBorder="1" applyAlignment="1">
      <alignment horizontal="center"/>
    </xf>
    <xf numFmtId="0" fontId="1" fillId="0" borderId="0" xfId="6" applyAlignment="1">
      <alignment horizontal="center"/>
    </xf>
    <xf numFmtId="0" fontId="1" fillId="0" borderId="0" xfId="6" applyAlignment="1">
      <alignment horizontal="left"/>
    </xf>
    <xf numFmtId="0" fontId="1" fillId="0" borderId="23" xfId="6" applyBorder="1" applyAlignment="1">
      <alignment horizontal="center"/>
    </xf>
    <xf numFmtId="0" fontId="1" fillId="0" borderId="24" xfId="6" applyBorder="1" applyAlignment="1">
      <alignment horizontal="center"/>
    </xf>
    <xf numFmtId="0" fontId="50" fillId="0" borderId="0" xfId="6" applyFont="1" applyAlignment="1">
      <alignment horizontal="left"/>
    </xf>
    <xf numFmtId="0" fontId="50" fillId="0" borderId="0" xfId="6" applyFont="1" applyAlignment="1">
      <alignment horizontal="center"/>
    </xf>
    <xf numFmtId="0" fontId="40" fillId="0" borderId="0" xfId="6" applyFont="1" applyAlignment="1">
      <alignment horizontal="left"/>
    </xf>
    <xf numFmtId="0" fontId="22" fillId="0" borderId="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22" fillId="2" borderId="0" xfId="0" applyFont="1" applyFill="1" applyAlignment="1">
      <alignment vertical="center"/>
    </xf>
    <xf numFmtId="0" fontId="22" fillId="5" borderId="0" xfId="0" applyFont="1" applyFill="1" applyAlignment="1">
      <alignment vertical="center"/>
    </xf>
    <xf numFmtId="0" fontId="22" fillId="3" borderId="0" xfId="0" applyFont="1" applyFill="1" applyAlignment="1">
      <alignment vertical="center"/>
    </xf>
    <xf numFmtId="0" fontId="22" fillId="7" borderId="0" xfId="0" applyFont="1" applyFill="1" applyAlignment="1">
      <alignment vertical="center"/>
    </xf>
    <xf numFmtId="0" fontId="26" fillId="0" borderId="0" xfId="0" applyFont="1" applyAlignment="1">
      <alignment horizontal="center" vertical="center"/>
    </xf>
    <xf numFmtId="0" fontId="39" fillId="0" borderId="0" xfId="0" quotePrefix="1" applyFont="1" applyAlignment="1">
      <alignment vertical="center"/>
    </xf>
    <xf numFmtId="0" fontId="23" fillId="2" borderId="8" xfId="0" applyFont="1" applyFill="1" applyBorder="1" applyAlignment="1">
      <alignment vertical="center"/>
    </xf>
    <xf numFmtId="0" fontId="26" fillId="2" borderId="8" xfId="0" applyFont="1" applyFill="1" applyBorder="1" applyAlignment="1">
      <alignment vertical="center"/>
    </xf>
    <xf numFmtId="0" fontId="22" fillId="0" borderId="17" xfId="0" applyFont="1" applyBorder="1" applyAlignment="1">
      <alignment horizontal="left" vertical="center"/>
    </xf>
    <xf numFmtId="9" fontId="22" fillId="0" borderId="17" xfId="0" applyNumberFormat="1" applyFont="1" applyBorder="1" applyAlignment="1">
      <alignment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2" fillId="0" borderId="13" xfId="0" applyFont="1" applyBorder="1" applyAlignment="1">
      <alignment horizontal="left" vertical="center"/>
    </xf>
    <xf numFmtId="9" fontId="22" fillId="0" borderId="13" xfId="0" applyNumberFormat="1" applyFont="1" applyBorder="1" applyAlignment="1">
      <alignment vertical="center"/>
    </xf>
    <xf numFmtId="0" fontId="22" fillId="0" borderId="18" xfId="0" applyFont="1" applyBorder="1" applyAlignment="1">
      <alignment horizontal="left" vertical="center"/>
    </xf>
    <xf numFmtId="9" fontId="22" fillId="0" borderId="18" xfId="0" applyNumberFormat="1" applyFont="1" applyBorder="1" applyAlignment="1">
      <alignment vertical="center"/>
    </xf>
    <xf numFmtId="9" fontId="22" fillId="0" borderId="18" xfId="4" applyFont="1" applyBorder="1" applyAlignment="1">
      <alignment vertical="center"/>
    </xf>
    <xf numFmtId="0" fontId="23" fillId="0" borderId="8" xfId="0" applyFont="1" applyBorder="1" applyAlignment="1">
      <alignment horizontal="left" vertical="center"/>
    </xf>
    <xf numFmtId="9" fontId="23" fillId="0" borderId="8" xfId="0" applyNumberFormat="1" applyFont="1" applyBorder="1" applyAlignment="1">
      <alignment vertical="center"/>
    </xf>
    <xf numFmtId="9" fontId="22" fillId="0" borderId="0" xfId="0" applyNumberFormat="1" applyFont="1" applyAlignment="1">
      <alignment vertical="center"/>
    </xf>
    <xf numFmtId="0" fontId="22" fillId="2" borderId="8" xfId="0" applyFont="1" applyFill="1" applyBorder="1" applyAlignment="1">
      <alignment vertical="center"/>
    </xf>
    <xf numFmtId="0" fontId="51" fillId="0" borderId="0" xfId="0" applyFont="1" applyAlignment="1">
      <alignment horizontal="center" vertical="center"/>
    </xf>
    <xf numFmtId="0" fontId="52" fillId="2" borderId="8" xfId="0" applyFont="1" applyFill="1" applyBorder="1" applyAlignment="1">
      <alignment horizontal="center" vertical="center"/>
    </xf>
    <xf numFmtId="9" fontId="51" fillId="0" borderId="17" xfId="0" applyNumberFormat="1" applyFont="1" applyBorder="1" applyAlignment="1">
      <alignment horizontal="center" vertical="center"/>
    </xf>
    <xf numFmtId="9" fontId="51" fillId="0" borderId="13" xfId="0" applyNumberFormat="1" applyFont="1" applyBorder="1" applyAlignment="1">
      <alignment horizontal="center" vertical="center"/>
    </xf>
    <xf numFmtId="9" fontId="51" fillId="0" borderId="18" xfId="0" applyNumberFormat="1" applyFont="1" applyBorder="1" applyAlignment="1">
      <alignment horizontal="center" vertical="center"/>
    </xf>
    <xf numFmtId="9" fontId="53" fillId="0" borderId="8" xfId="0" applyNumberFormat="1" applyFont="1" applyBorder="1" applyAlignment="1">
      <alignment horizontal="center" vertical="center"/>
    </xf>
    <xf numFmtId="9" fontId="51" fillId="0" borderId="0" xfId="0" applyNumberFormat="1" applyFont="1" applyAlignment="1">
      <alignment horizontal="center" vertical="center"/>
    </xf>
    <xf numFmtId="0" fontId="51" fillId="2" borderId="8" xfId="0" applyFont="1" applyFill="1" applyBorder="1" applyAlignment="1">
      <alignment horizontal="center" vertical="center"/>
    </xf>
    <xf numFmtId="0" fontId="22" fillId="7" borderId="0" xfId="0" applyFont="1" applyFill="1" applyAlignment="1">
      <alignment horizontal="center" vertical="center"/>
    </xf>
    <xf numFmtId="0" fontId="26" fillId="7" borderId="0" xfId="0" applyFont="1" applyFill="1" applyAlignment="1">
      <alignment horizontal="center" vertical="center"/>
    </xf>
    <xf numFmtId="0" fontId="26" fillId="2" borderId="8" xfId="0" applyFont="1" applyFill="1" applyBorder="1" applyAlignment="1">
      <alignment horizontal="center" vertical="center"/>
    </xf>
    <xf numFmtId="0" fontId="22" fillId="2" borderId="8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/>
    </xf>
    <xf numFmtId="0" fontId="22" fillId="3" borderId="8" xfId="0" applyFont="1" applyFill="1" applyBorder="1" applyAlignment="1">
      <alignment horizontal="center" vertical="center"/>
    </xf>
    <xf numFmtId="0" fontId="22" fillId="7" borderId="17" xfId="0" applyFont="1" applyFill="1" applyBorder="1" applyAlignment="1">
      <alignment horizontal="center" vertical="center"/>
    </xf>
    <xf numFmtId="0" fontId="22" fillId="7" borderId="13" xfId="0" applyFont="1" applyFill="1" applyBorder="1" applyAlignment="1">
      <alignment horizontal="center" vertical="center"/>
    </xf>
    <xf numFmtId="0" fontId="22" fillId="7" borderId="18" xfId="0" applyFont="1" applyFill="1" applyBorder="1" applyAlignment="1">
      <alignment horizontal="center" vertical="center"/>
    </xf>
    <xf numFmtId="0" fontId="23" fillId="7" borderId="8" xfId="0" applyFont="1" applyFill="1" applyBorder="1" applyAlignment="1">
      <alignment horizontal="center" vertical="center"/>
    </xf>
    <xf numFmtId="9" fontId="51" fillId="5" borderId="8" xfId="0" applyNumberFormat="1" applyFont="1" applyFill="1" applyBorder="1" applyAlignment="1">
      <alignment horizontal="center" vertical="center"/>
    </xf>
    <xf numFmtId="0" fontId="51" fillId="0" borderId="0" xfId="0" applyFont="1" applyAlignment="1">
      <alignment vertical="center"/>
    </xf>
    <xf numFmtId="9" fontId="51" fillId="7" borderId="17" xfId="0" applyNumberFormat="1" applyFont="1" applyFill="1" applyBorder="1" applyAlignment="1">
      <alignment horizontal="center" vertical="center"/>
    </xf>
    <xf numFmtId="9" fontId="51" fillId="7" borderId="13" xfId="0" applyNumberFormat="1" applyFont="1" applyFill="1" applyBorder="1" applyAlignment="1">
      <alignment horizontal="center" vertical="center"/>
    </xf>
    <xf numFmtId="9" fontId="51" fillId="7" borderId="18" xfId="0" applyNumberFormat="1" applyFont="1" applyFill="1" applyBorder="1" applyAlignment="1">
      <alignment horizontal="center" vertical="center"/>
    </xf>
    <xf numFmtId="9" fontId="53" fillId="7" borderId="8" xfId="0" applyNumberFormat="1" applyFont="1" applyFill="1" applyBorder="1" applyAlignment="1">
      <alignment horizontal="center" vertical="center"/>
    </xf>
    <xf numFmtId="9" fontId="51" fillId="7" borderId="0" xfId="0" applyNumberFormat="1" applyFont="1" applyFill="1" applyAlignment="1">
      <alignment horizontal="center" vertical="center"/>
    </xf>
    <xf numFmtId="9" fontId="51" fillId="3" borderId="8" xfId="0" applyNumberFormat="1" applyFont="1" applyFill="1" applyBorder="1" applyAlignment="1">
      <alignment horizontal="center" vertical="center"/>
    </xf>
    <xf numFmtId="14" fontId="23" fillId="0" borderId="0" xfId="0" applyNumberFormat="1" applyFont="1" applyAlignment="1">
      <alignment horizontal="center" vertical="center"/>
    </xf>
    <xf numFmtId="0" fontId="11" fillId="0" borderId="13" xfId="0" applyFont="1" applyBorder="1"/>
    <xf numFmtId="0" fontId="8" fillId="0" borderId="8" xfId="0" applyFont="1" applyBorder="1"/>
    <xf numFmtId="0" fontId="11" fillId="0" borderId="17" xfId="0" applyFont="1" applyBorder="1" applyAlignment="1">
      <alignment horizontal="right"/>
    </xf>
    <xf numFmtId="0" fontId="11" fillId="0" borderId="17" xfId="0" applyFont="1" applyBorder="1"/>
    <xf numFmtId="0" fontId="11" fillId="0" borderId="18" xfId="0" applyFont="1" applyBorder="1" applyAlignment="1">
      <alignment horizontal="right"/>
    </xf>
    <xf numFmtId="0" fontId="11" fillId="0" borderId="18" xfId="0" applyFont="1" applyBorder="1"/>
    <xf numFmtId="0" fontId="8" fillId="0" borderId="13" xfId="0" applyFont="1" applyBorder="1" applyAlignment="1">
      <alignment horizontal="left" indent="1"/>
    </xf>
    <xf numFmtId="0" fontId="8" fillId="0" borderId="17" xfId="0" applyFont="1" applyBorder="1" applyAlignment="1">
      <alignment horizontal="left" indent="1"/>
    </xf>
    <xf numFmtId="0" fontId="8" fillId="0" borderId="18" xfId="0" applyFont="1" applyBorder="1" applyAlignment="1">
      <alignment horizontal="left" indent="1"/>
    </xf>
    <xf numFmtId="0" fontId="1" fillId="0" borderId="25" xfId="0" applyFont="1" applyBorder="1"/>
    <xf numFmtId="0" fontId="1" fillId="0" borderId="17" xfId="0" applyFont="1" applyBorder="1"/>
    <xf numFmtId="0" fontId="1" fillId="0" borderId="26" xfId="0" applyFont="1" applyBorder="1"/>
    <xf numFmtId="0" fontId="1" fillId="0" borderId="13" xfId="0" applyFont="1" applyBorder="1"/>
    <xf numFmtId="0" fontId="1" fillId="0" borderId="27" xfId="0" applyFont="1" applyBorder="1"/>
    <xf numFmtId="0" fontId="1" fillId="0" borderId="18" xfId="0" applyFont="1" applyBorder="1"/>
    <xf numFmtId="0" fontId="1" fillId="0" borderId="28" xfId="0" applyFont="1" applyBorder="1"/>
    <xf numFmtId="0" fontId="1" fillId="0" borderId="21" xfId="0" applyFont="1" applyBorder="1"/>
    <xf numFmtId="0" fontId="41" fillId="0" borderId="29" xfId="0" quotePrefix="1" applyFont="1" applyBorder="1" applyAlignment="1">
      <alignment horizontal="center" vertical="center"/>
    </xf>
    <xf numFmtId="9" fontId="22" fillId="0" borderId="13" xfId="4" applyFont="1" applyBorder="1" applyAlignment="1">
      <alignment vertical="center"/>
    </xf>
    <xf numFmtId="9" fontId="22" fillId="0" borderId="17" xfId="4" applyFont="1" applyBorder="1" applyAlignment="1">
      <alignment vertical="center"/>
    </xf>
    <xf numFmtId="0" fontId="48" fillId="13" borderId="13" xfId="0" applyFont="1" applyFill="1" applyBorder="1" applyAlignment="1">
      <alignment horizontal="center" vertical="center"/>
    </xf>
    <xf numFmtId="0" fontId="22" fillId="13" borderId="13" xfId="6" applyFont="1" applyFill="1" applyBorder="1" applyAlignment="1">
      <alignment vertical="center"/>
    </xf>
    <xf numFmtId="0" fontId="43" fillId="13" borderId="13" xfId="6" applyFont="1" applyFill="1" applyBorder="1" applyAlignment="1">
      <alignment horizontal="center" vertical="center"/>
    </xf>
    <xf numFmtId="0" fontId="22" fillId="0" borderId="13" xfId="19" applyFont="1" applyBorder="1" applyAlignment="1">
      <alignment horizontal="center" vertical="center"/>
    </xf>
    <xf numFmtId="0" fontId="22" fillId="0" borderId="13" xfId="19" applyFont="1" applyBorder="1" applyAlignment="1">
      <alignment vertical="center"/>
    </xf>
    <xf numFmtId="0" fontId="43" fillId="0" borderId="13" xfId="19" applyFont="1" applyBorder="1" applyAlignment="1">
      <alignment horizontal="center" vertical="center"/>
    </xf>
    <xf numFmtId="4" fontId="22" fillId="0" borderId="16" xfId="19" applyNumberFormat="1" applyFont="1" applyBorder="1" applyAlignment="1">
      <alignment horizontal="center" vertical="center"/>
    </xf>
    <xf numFmtId="9" fontId="51" fillId="7" borderId="17" xfId="0" quotePrefix="1" applyNumberFormat="1" applyFont="1" applyFill="1" applyBorder="1" applyAlignment="1">
      <alignment horizontal="center" vertical="center"/>
    </xf>
    <xf numFmtId="9" fontId="51" fillId="7" borderId="13" xfId="0" quotePrefix="1" applyNumberFormat="1" applyFont="1" applyFill="1" applyBorder="1" applyAlignment="1">
      <alignment horizontal="center" vertical="center"/>
    </xf>
    <xf numFmtId="9" fontId="51" fillId="7" borderId="18" xfId="0" quotePrefix="1" applyNumberFormat="1" applyFont="1" applyFill="1" applyBorder="1" applyAlignment="1">
      <alignment horizontal="center" vertical="center"/>
    </xf>
    <xf numFmtId="9" fontId="53" fillId="7" borderId="8" xfId="0" quotePrefix="1" applyNumberFormat="1" applyFont="1" applyFill="1" applyBorder="1" applyAlignment="1">
      <alignment horizontal="center" vertical="center"/>
    </xf>
    <xf numFmtId="0" fontId="0" fillId="13" borderId="0" xfId="0" applyFill="1" applyAlignment="1">
      <alignment horizontal="center" vertical="center"/>
    </xf>
    <xf numFmtId="0" fontId="22" fillId="0" borderId="0" xfId="19" applyFont="1" applyAlignment="1">
      <alignment vertical="center"/>
    </xf>
    <xf numFmtId="0" fontId="43" fillId="0" borderId="0" xfId="19" applyFont="1" applyAlignment="1">
      <alignment horizontal="center" vertical="center"/>
    </xf>
    <xf numFmtId="4" fontId="22" fillId="0" borderId="32" xfId="19" applyNumberFormat="1" applyFont="1" applyBorder="1" applyAlignment="1">
      <alignment horizontal="center" vertical="center"/>
    </xf>
    <xf numFmtId="9" fontId="22" fillId="0" borderId="0" xfId="4" applyFont="1" applyBorder="1" applyAlignment="1">
      <alignment vertical="center"/>
    </xf>
    <xf numFmtId="0" fontId="58" fillId="13" borderId="30" xfId="19" applyFont="1" applyFill="1" applyBorder="1" applyAlignment="1">
      <alignment vertical="center"/>
    </xf>
    <xf numFmtId="0" fontId="59" fillId="13" borderId="30" xfId="19" applyFont="1" applyFill="1" applyBorder="1" applyAlignment="1">
      <alignment horizontal="center" vertical="center"/>
    </xf>
    <xf numFmtId="4" fontId="58" fillId="13" borderId="31" xfId="19" applyNumberFormat="1" applyFont="1" applyFill="1" applyBorder="1" applyAlignment="1">
      <alignment horizontal="center" vertical="center"/>
    </xf>
    <xf numFmtId="9" fontId="58" fillId="13" borderId="30" xfId="4" applyFont="1" applyFill="1" applyBorder="1" applyAlignment="1">
      <alignment vertical="center"/>
    </xf>
    <xf numFmtId="0" fontId="22" fillId="13" borderId="13" xfId="19" applyFont="1" applyFill="1" applyBorder="1" applyAlignment="1">
      <alignment vertical="center"/>
    </xf>
    <xf numFmtId="0" fontId="43" fillId="13" borderId="13" xfId="19" applyFont="1" applyFill="1" applyBorder="1" applyAlignment="1">
      <alignment horizontal="center" vertical="center"/>
    </xf>
    <xf numFmtId="4" fontId="22" fillId="13" borderId="16" xfId="19" applyNumberFormat="1" applyFont="1" applyFill="1" applyBorder="1" applyAlignment="1">
      <alignment horizontal="center" vertical="center"/>
    </xf>
    <xf numFmtId="9" fontId="22" fillId="13" borderId="13" xfId="4" applyFont="1" applyFill="1" applyBorder="1" applyAlignment="1">
      <alignment vertical="center"/>
    </xf>
    <xf numFmtId="0" fontId="48" fillId="16" borderId="13" xfId="0" applyFont="1" applyFill="1" applyBorder="1" applyAlignment="1">
      <alignment horizontal="left" vertical="center"/>
    </xf>
    <xf numFmtId="0" fontId="48" fillId="16" borderId="13" xfId="0" applyFont="1" applyFill="1" applyBorder="1" applyAlignment="1">
      <alignment horizontal="center" vertical="center"/>
    </xf>
    <xf numFmtId="9" fontId="22" fillId="16" borderId="13" xfId="4" applyFont="1" applyFill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23" fillId="0" borderId="0" xfId="0" applyFont="1" applyAlignment="1">
      <alignment horizontal="center" vertical="center"/>
    </xf>
    <xf numFmtId="0" fontId="1" fillId="0" borderId="13" xfId="0" applyFont="1" applyBorder="1" applyAlignment="1">
      <alignment horizontal="left" vertical="center"/>
    </xf>
    <xf numFmtId="0" fontId="1" fillId="0" borderId="13" xfId="0" applyFont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vertical="center"/>
    </xf>
    <xf numFmtId="0" fontId="1" fillId="15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21" xfId="0" applyFont="1" applyBorder="1" applyAlignment="1">
      <alignment horizontal="left" vertical="center"/>
    </xf>
    <xf numFmtId="0" fontId="1" fillId="0" borderId="21" xfId="0" applyFont="1" applyBorder="1" applyAlignment="1">
      <alignment horizontal="center" vertical="center"/>
    </xf>
    <xf numFmtId="0" fontId="1" fillId="0" borderId="0" xfId="0" applyFont="1" applyAlignment="1">
      <alignment horizontal="left"/>
    </xf>
    <xf numFmtId="0" fontId="22" fillId="0" borderId="0" xfId="0" applyFont="1" applyFill="1" applyAlignment="1">
      <alignment vertical="center"/>
    </xf>
    <xf numFmtId="0" fontId="22" fillId="0" borderId="0" xfId="0" applyFont="1" applyFill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0" fontId="22" fillId="0" borderId="17" xfId="0" applyFont="1" applyFill="1" applyBorder="1" applyAlignment="1">
      <alignment horizontal="center" vertical="center"/>
    </xf>
    <xf numFmtId="9" fontId="51" fillId="0" borderId="17" xfId="0" applyNumberFormat="1" applyFont="1" applyFill="1" applyBorder="1" applyAlignment="1">
      <alignment horizontal="center" vertical="center"/>
    </xf>
    <xf numFmtId="0" fontId="22" fillId="0" borderId="13" xfId="0" applyFont="1" applyFill="1" applyBorder="1" applyAlignment="1">
      <alignment horizontal="center" vertical="center"/>
    </xf>
    <xf numFmtId="9" fontId="51" fillId="0" borderId="13" xfId="0" applyNumberFormat="1" applyFont="1" applyFill="1" applyBorder="1" applyAlignment="1">
      <alignment horizontal="center" vertical="center"/>
    </xf>
    <xf numFmtId="0" fontId="22" fillId="0" borderId="18" xfId="0" applyFont="1" applyFill="1" applyBorder="1" applyAlignment="1">
      <alignment horizontal="center" vertical="center"/>
    </xf>
    <xf numFmtId="9" fontId="51" fillId="0" borderId="18" xfId="0" applyNumberFormat="1" applyFont="1" applyFill="1" applyBorder="1" applyAlignment="1">
      <alignment horizontal="center" vertical="center"/>
    </xf>
    <xf numFmtId="0" fontId="23" fillId="0" borderId="8" xfId="0" applyFont="1" applyFill="1" applyBorder="1" applyAlignment="1">
      <alignment horizontal="center" vertical="center"/>
    </xf>
    <xf numFmtId="9" fontId="53" fillId="0" borderId="8" xfId="0" applyNumberFormat="1" applyFont="1" applyFill="1" applyBorder="1" applyAlignment="1">
      <alignment horizontal="center" vertical="center"/>
    </xf>
    <xf numFmtId="9" fontId="51" fillId="0" borderId="0" xfId="0" applyNumberFormat="1" applyFont="1" applyFill="1" applyAlignment="1">
      <alignment horizontal="center" vertical="center"/>
    </xf>
    <xf numFmtId="9" fontId="51" fillId="0" borderId="17" xfId="0" quotePrefix="1" applyNumberFormat="1" applyFont="1" applyFill="1" applyBorder="1" applyAlignment="1">
      <alignment horizontal="center" vertical="center"/>
    </xf>
    <xf numFmtId="9" fontId="51" fillId="0" borderId="13" xfId="0" quotePrefix="1" applyNumberFormat="1" applyFont="1" applyFill="1" applyBorder="1" applyAlignment="1">
      <alignment horizontal="center" vertical="center"/>
    </xf>
    <xf numFmtId="9" fontId="51" fillId="0" borderId="18" xfId="0" quotePrefix="1" applyNumberFormat="1" applyFont="1" applyFill="1" applyBorder="1" applyAlignment="1">
      <alignment horizontal="center" vertical="center"/>
    </xf>
    <xf numFmtId="9" fontId="53" fillId="0" borderId="8" xfId="0" quotePrefix="1" applyNumberFormat="1" applyFont="1" applyFill="1" applyBorder="1" applyAlignment="1">
      <alignment horizontal="center" vertical="center"/>
    </xf>
    <xf numFmtId="9" fontId="22" fillId="0" borderId="13" xfId="4" applyFont="1" applyFill="1" applyBorder="1" applyAlignment="1">
      <alignment vertical="center"/>
    </xf>
    <xf numFmtId="0" fontId="36" fillId="0" borderId="5" xfId="0" applyFont="1" applyFill="1" applyBorder="1" applyAlignment="1">
      <alignment horizontal="right"/>
    </xf>
    <xf numFmtId="0" fontId="36" fillId="0" borderId="3" xfId="0" applyFont="1" applyFill="1" applyBorder="1" applyAlignment="1">
      <alignment horizontal="right"/>
    </xf>
    <xf numFmtId="0" fontId="11" fillId="0" borderId="17" xfId="0" applyFont="1" applyFill="1" applyBorder="1"/>
    <xf numFmtId="0" fontId="11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/>
    <xf numFmtId="14" fontId="23" fillId="0" borderId="0" xfId="0" applyNumberFormat="1" applyFont="1" applyFill="1" applyAlignment="1">
      <alignment horizontal="center" vertical="center"/>
    </xf>
    <xf numFmtId="14" fontId="23" fillId="0" borderId="0" xfId="0" applyNumberFormat="1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14" fontId="23" fillId="7" borderId="0" xfId="0" applyNumberFormat="1" applyFont="1" applyFill="1" applyAlignment="1">
      <alignment horizontal="center" vertical="center"/>
    </xf>
    <xf numFmtId="0" fontId="23" fillId="2" borderId="0" xfId="0" applyFont="1" applyFill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2" fontId="5" fillId="0" borderId="8" xfId="0" applyNumberFormat="1" applyFont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23" fillId="14" borderId="5" xfId="0" applyFont="1" applyFill="1" applyBorder="1" applyAlignment="1">
      <alignment horizontal="center" vertical="center" wrapText="1"/>
    </xf>
    <xf numFmtId="0" fontId="0" fillId="14" borderId="3" xfId="0" applyFill="1" applyBorder="1" applyAlignment="1">
      <alignment horizontal="center" vertical="center" wrapText="1"/>
    </xf>
    <xf numFmtId="0" fontId="5" fillId="14" borderId="5" xfId="0" applyFont="1" applyFill="1" applyBorder="1" applyAlignment="1">
      <alignment horizontal="center" vertical="center" wrapText="1"/>
    </xf>
    <xf numFmtId="0" fontId="5" fillId="14" borderId="3" xfId="0" applyFont="1" applyFill="1" applyBorder="1" applyAlignment="1">
      <alignment horizontal="center" vertical="center" wrapText="1"/>
    </xf>
    <xf numFmtId="0" fontId="0" fillId="14" borderId="5" xfId="0" applyFill="1" applyBorder="1" applyAlignment="1">
      <alignment horizontal="center" vertical="center" wrapText="1"/>
    </xf>
    <xf numFmtId="0" fontId="5" fillId="13" borderId="0" xfId="6" applyFont="1" applyFill="1" applyAlignment="1">
      <alignment horizontal="center"/>
    </xf>
    <xf numFmtId="0" fontId="0" fillId="13" borderId="0" xfId="0" applyFill="1" applyAlignment="1">
      <alignment horizontal="center"/>
    </xf>
  </cellXfs>
  <cellStyles count="20">
    <cellStyle name="Comma 2" xfId="7"/>
    <cellStyle name="Comma 2 2" xfId="8"/>
    <cellStyle name="Currency 2" xfId="9"/>
    <cellStyle name="Currency 2 2" xfId="10"/>
    <cellStyle name="Currency 3" xfId="11"/>
    <cellStyle name="Hyperlink" xfId="1" builtinId="8"/>
    <cellStyle name="Hyperlink 2" xfId="12"/>
    <cellStyle name="Normal" xfId="0" builtinId="0"/>
    <cellStyle name="Normal 2" xfId="2"/>
    <cellStyle name="Normal 2 2" xfId="6"/>
    <cellStyle name="Normal 2 2 2" xfId="19"/>
    <cellStyle name="Normal 2 3" xfId="13"/>
    <cellStyle name="Normal 3" xfId="3"/>
    <cellStyle name="Normal 4" xfId="14"/>
    <cellStyle name="Normal 5" xfId="15"/>
    <cellStyle name="Normal 6" xfId="16"/>
    <cellStyle name="Percent" xfId="4" builtinId="5"/>
    <cellStyle name="Percent 2" xfId="5"/>
    <cellStyle name="Percent 2 2" xfId="17"/>
    <cellStyle name="Percent 3" xfId="18"/>
  </cellStyles>
  <dxfs count="1560"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FF99"/>
      <color rgb="FFCCECFF"/>
      <color rgb="FFFFFF66"/>
      <color rgb="FFD2C8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3.xml"/><Relationship Id="rId80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Credit Rating Agencies Upgrades &amp; Downgrades (2002 Q1 - 2006 Q1)</a:t>
            </a:r>
          </a:p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 sz="1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(Source: Fitch Ratings, Moody's, Standard &amp; Poor's)</a:t>
            </a:r>
            <a:endParaRPr lang="en-US"/>
          </a:p>
        </c:rich>
      </c:tx>
      <c:layout>
        <c:manualLayout>
          <c:xMode val="edge"/>
          <c:yMode val="edge"/>
          <c:x val="0.42798774259448508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8D2-4660-AFE7-E9943505BC85}"/>
            </c:ext>
          </c:extLst>
        </c:ser>
        <c:ser>
          <c:idx val="1"/>
          <c:order val="1"/>
          <c:spPr>
            <a:solidFill>
              <a:srgbClr val="33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8D2-4660-AFE7-E9943505BC85}"/>
            </c:ext>
          </c:extLst>
        </c:ser>
        <c:ser>
          <c:idx val="2"/>
          <c:order val="2"/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A8D2-4660-AFE7-E9943505BC85}"/>
            </c:ext>
          </c:extLst>
        </c:ser>
        <c:ser>
          <c:idx val="3"/>
          <c:order val="3"/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D2-4660-AFE7-E9943505BC8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A8D2-4660-AFE7-E9943505BC85}"/>
            </c:ext>
          </c:extLst>
        </c:ser>
        <c:ser>
          <c:idx val="4"/>
          <c:order val="4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D2-4660-AFE7-E9943505BC8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A8D2-4660-AFE7-E9943505BC85}"/>
            </c:ext>
          </c:extLst>
        </c:ser>
        <c:ser>
          <c:idx val="5"/>
          <c:order val="5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A8D2-4660-AFE7-E9943505BC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54619648"/>
        <c:axId val="254621184"/>
      </c:barChart>
      <c:catAx>
        <c:axId val="25461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4621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621184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461964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C40-4B93-8F1A-2AF01F705BF1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C40-4B93-8F1A-2AF01F705BF1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C40-4B93-8F1A-2AF01F705BF1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C40-4B93-8F1A-2AF01F705BF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C40-4B93-8F1A-2AF01F705BF1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C40-4B93-8F1A-2AF01F705BF1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C40-4B93-8F1A-2AF01F705BF1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C40-4B93-8F1A-2AF01F705B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Credit_2021Q2!$J$8:$J$13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Credit_2021Q2!$M$8:$M$13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0.25</c:v>
                </c:pt>
                <c:pt idx="2">
                  <c:v>0.38636363636363635</c:v>
                </c:pt>
                <c:pt idx="3">
                  <c:v>0.18181818181818182</c:v>
                </c:pt>
                <c:pt idx="4">
                  <c:v>6.8181818181818177E-2</c:v>
                </c:pt>
                <c:pt idx="5">
                  <c:v>6.8181818181818177E-2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C40-4B93-8F1A-2AF01F705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Credit_2021Q2!$J$8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Credit_2021Q2!$J$8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{4666D9DF-F2AC-4348-9D49-ABB2E122D624}</c15:txfldGUID>
                      <c15:f>Credit_2021Q2!$J$8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92B1-4CCA-9E4A-2E342A735CA5}"/>
                </c:ext>
              </c:extLst>
            </c:dLbl>
            <c:dLbl>
              <c:idx val="1"/>
              <c:layout/>
              <c:tx>
                <c:strRef>
                  <c:f>Credit_2021Q2!$M$8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{F04F14E4-A13E-4E3F-91E0-44A91C16FB1D}</c15:txfldGUID>
                      <c15:f>Credit_2021Q2!$M$8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92B1-4CCA-9E4A-2E342A735CA5}"/>
                </c:ext>
              </c:extLst>
            </c:dLbl>
            <c:dLbl>
              <c:idx val="2"/>
              <c:layout/>
              <c:tx>
                <c:strRef>
                  <c:f>Credit_2021Q2!$P$8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{29323B70-B3E8-4003-8F44-63BC85F5E050}</c15:txfldGUID>
                      <c15:f>Credit_2021Q2!$P$8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92B1-4CCA-9E4A-2E342A735CA5}"/>
                </c:ext>
              </c:extLst>
            </c:dLbl>
            <c:dLbl>
              <c:idx val="3"/>
              <c:layout/>
              <c:tx>
                <c:strRef>
                  <c:f>Credit_2021Q2!$S$8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{0599F792-AC04-4B23-A2DB-334A23BC13CA}</c15:txfldGUID>
                      <c15:f>Credit_2021Q2!$S$8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92B1-4CCA-9E4A-2E342A735CA5}"/>
                </c:ext>
              </c:extLst>
            </c:dLbl>
            <c:dLbl>
              <c:idx val="4"/>
              <c:tx>
                <c:strRef>
                  <c:f>Credit_2021Q2!$V$8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{3978575D-A651-4DE9-85A9-044DA171618F}</c15:txfldGUID>
                      <c15:f>Credit_2021Q2!$V$8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92B1-4CCA-9E4A-2E342A735C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(Credit_2021Q2!$J$5,Credit_2021Q2!$L$5,Credit_2021Q2!$O$5,Credit_2021Q2!$R$5,Credit_2021Q2!$U$5)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(Credit_2021Q2!$Z$8,Credit_2021Q2!$L$8,Credit_2021Q2!$O$8,Credit_2021Q2!$R$8,Credit_2021Q2!$U$8)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2B1-4CCA-9E4A-2E342A735CA5}"/>
            </c:ext>
          </c:extLst>
        </c:ser>
        <c:ser>
          <c:idx val="1"/>
          <c:order val="1"/>
          <c:tx>
            <c:strRef>
              <c:f>Credit_2021Q2!$J$9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Credit_2021Q2!$J$9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{5B73D9F0-C272-43B0-BB0E-ABCF4CC963CD}</c15:txfldGUID>
                      <c15:f>Credit_2021Q2!$J$9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92B1-4CCA-9E4A-2E342A735CA5}"/>
                </c:ext>
              </c:extLst>
            </c:dLbl>
            <c:dLbl>
              <c:idx val="1"/>
              <c:layout/>
              <c:tx>
                <c:strRef>
                  <c:f>Credit_2021Q2!$M$9</c:f>
                  <c:strCache>
                    <c:ptCount val="1"/>
                    <c:pt idx="0">
                      <c:v>25%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{5E83FE34-0463-421D-91A5-E88F634473EC}</c15:txfldGUID>
                      <c15:f>Credit_2021Q2!$M$9</c15:f>
                      <c15:dlblFieldTableCache>
                        <c:ptCount val="1"/>
                        <c:pt idx="0">
                          <c:v>25%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92B1-4CCA-9E4A-2E342A735CA5}"/>
                </c:ext>
              </c:extLst>
            </c:dLbl>
            <c:dLbl>
              <c:idx val="2"/>
              <c:layout/>
              <c:tx>
                <c:strRef>
                  <c:f>Credit_2021Q2!$P$9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{A4BDE424-33AF-4653-B792-98F091273B01}</c15:txfldGUID>
                      <c15:f>Credit_2021Q2!$P$9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92B1-4CCA-9E4A-2E342A735CA5}"/>
                </c:ext>
              </c:extLst>
            </c:dLbl>
            <c:dLbl>
              <c:idx val="3"/>
              <c:layout/>
              <c:tx>
                <c:strRef>
                  <c:f>Credit_2021Q2!$S$9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{CA2678F1-3385-453B-890B-651A2907E67C}</c15:txfldGUID>
                      <c15:f>Credit_2021Q2!$S$9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92B1-4CCA-9E4A-2E342A735CA5}"/>
                </c:ext>
              </c:extLst>
            </c:dLbl>
            <c:dLbl>
              <c:idx val="4"/>
              <c:tx>
                <c:strRef>
                  <c:f>Credit_2021Q2!$V$9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{2CE1A85B-51CF-4768-BD3D-F90C6F352FF8}</c15:txfldGUID>
                      <c15:f>Credit_2021Q2!$V$9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92B1-4CCA-9E4A-2E342A735C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(Credit_2021Q2!$J$5,Credit_2021Q2!$L$5,Credit_2021Q2!$O$5,Credit_2021Q2!$R$5,Credit_2021Q2!$U$5)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(Credit_2021Q2!$Z$9,Credit_2021Q2!$L$9,Credit_2021Q2!$O$9,Credit_2021Q2!$R$9,Credit_2021Q2!$U$9)</c:f>
              <c:numCache>
                <c:formatCode>General</c:formatCode>
                <c:ptCount val="4"/>
                <c:pt idx="0">
                  <c:v>1</c:v>
                </c:pt>
                <c:pt idx="1">
                  <c:v>11</c:v>
                </c:pt>
                <c:pt idx="2">
                  <c:v>10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2B1-4CCA-9E4A-2E342A735CA5}"/>
            </c:ext>
          </c:extLst>
        </c:ser>
        <c:ser>
          <c:idx val="2"/>
          <c:order val="2"/>
          <c:tx>
            <c:strRef>
              <c:f>Credit_2021Q2!$J$10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Credit_2021Q2!$J$10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{9CA3F174-28EC-4132-BFDE-1CE2FB6DA32F}</c15:txfldGUID>
                      <c15:f>Credit_2021Q2!$J$10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92B1-4CCA-9E4A-2E342A735CA5}"/>
                </c:ext>
              </c:extLst>
            </c:dLbl>
            <c:dLbl>
              <c:idx val="1"/>
              <c:layout/>
              <c:tx>
                <c:strRef>
                  <c:f>Credit_2021Q2!$M$10</c:f>
                  <c:strCache>
                    <c:ptCount val="1"/>
                    <c:pt idx="0">
                      <c:v>39%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{D4F252E4-338D-4B14-8DEC-5E4A7631E2CD}</c15:txfldGUID>
                      <c15:f>Credit_2021Q2!$M$10</c15:f>
                      <c15:dlblFieldTableCache>
                        <c:ptCount val="1"/>
                        <c:pt idx="0">
                          <c:v>39%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92B1-4CCA-9E4A-2E342A735CA5}"/>
                </c:ext>
              </c:extLst>
            </c:dLbl>
            <c:dLbl>
              <c:idx val="2"/>
              <c:layout/>
              <c:tx>
                <c:strRef>
                  <c:f>Credit_2021Q2!$P$10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{01CC5A43-88F0-4B87-85B6-052278C06C8F}</c15:txfldGUID>
                      <c15:f>Credit_2021Q2!$P$10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92B1-4CCA-9E4A-2E342A735CA5}"/>
                </c:ext>
              </c:extLst>
            </c:dLbl>
            <c:dLbl>
              <c:idx val="3"/>
              <c:layout/>
              <c:tx>
                <c:strRef>
                  <c:f>Credit_2021Q2!$S$10</c:f>
                  <c:strCache>
                    <c:ptCount val="1"/>
                    <c:pt idx="0">
                      <c:v>56%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{2524FE7A-28FA-4ABB-8AF1-4F392D53F2FC}</c15:txfldGUID>
                      <c15:f>Credit_2021Q2!$S$10</c15:f>
                      <c15:dlblFieldTableCache>
                        <c:ptCount val="1"/>
                        <c:pt idx="0">
                          <c:v>56%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92B1-4CCA-9E4A-2E342A735CA5}"/>
                </c:ext>
              </c:extLst>
            </c:dLbl>
            <c:dLbl>
              <c:idx val="4"/>
              <c:tx>
                <c:strRef>
                  <c:f>Credit_2021Q2!$V$10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{7D77F50E-FEE1-406B-995A-47FBEDE40CAF}</c15:txfldGUID>
                      <c15:f>Credit_2021Q2!$V$10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92B1-4CCA-9E4A-2E342A735C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(Credit_2021Q2!$J$5,Credit_2021Q2!$L$5,Credit_2021Q2!$O$5,Credit_2021Q2!$R$5,Credit_2021Q2!$U$5)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(Credit_2021Q2!$Z$10,Credit_2021Q2!$L$10,Credit_2021Q2!$O$10,Credit_2021Q2!$R$10,Credit_2021Q2!$U$10)</c:f>
              <c:numCache>
                <c:formatCode>General</c:formatCode>
                <c:ptCount val="4"/>
                <c:pt idx="0">
                  <c:v>1</c:v>
                </c:pt>
                <c:pt idx="1">
                  <c:v>17</c:v>
                </c:pt>
                <c:pt idx="2">
                  <c:v>12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2B1-4CCA-9E4A-2E342A735CA5}"/>
            </c:ext>
          </c:extLst>
        </c:ser>
        <c:ser>
          <c:idx val="3"/>
          <c:order val="3"/>
          <c:tx>
            <c:strRef>
              <c:f>Credit_2021Q2!$J$11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Credit_2021Q2!$J$11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{352A5FE8-4A4F-4DAC-9B77-0AB640B4018F}</c15:txfldGUID>
                      <c15:f>Credit_2021Q2!$J$11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92B1-4CCA-9E4A-2E342A735CA5}"/>
                </c:ext>
              </c:extLst>
            </c:dLbl>
            <c:dLbl>
              <c:idx val="1"/>
              <c:layout/>
              <c:tx>
                <c:strRef>
                  <c:f>Credit_2021Q2!$M$11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{3C1AC565-2281-4815-9EA2-AE509300B88A}</c15:txfldGUID>
                      <c15:f>Credit_2021Q2!$M$11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92B1-4CCA-9E4A-2E342A735CA5}"/>
                </c:ext>
              </c:extLst>
            </c:dLbl>
            <c:dLbl>
              <c:idx val="2"/>
              <c:layout/>
              <c:tx>
                <c:strRef>
                  <c:f>Credit_2021Q2!$P$11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{35F8929E-7330-46D7-81B2-F96411C5CB3A}</c15:txfldGUID>
                      <c15:f>Credit_2021Q2!$P$11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92B1-4CCA-9E4A-2E342A735CA5}"/>
                </c:ext>
              </c:extLst>
            </c:dLbl>
            <c:dLbl>
              <c:idx val="3"/>
              <c:layout/>
              <c:tx>
                <c:strRef>
                  <c:f>Credit_2021Q2!$S$11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{A84A7F3D-037E-48F2-95D2-0DCAEDDA3E81}</c15:txfldGUID>
                      <c15:f>Credit_2021Q2!$S$11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92B1-4CCA-9E4A-2E342A735CA5}"/>
                </c:ext>
              </c:extLst>
            </c:dLbl>
            <c:dLbl>
              <c:idx val="4"/>
              <c:tx>
                <c:strRef>
                  <c:f>Credit_2021Q2!$V$11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{13C6E0A0-E91B-4D70-BA02-1AF7AE049013}</c15:txfldGUID>
                      <c15:f>Credit_2021Q2!$V$11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92B1-4CCA-9E4A-2E342A735C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(Credit_2021Q2!$J$5,Credit_2021Q2!$L$5,Credit_2021Q2!$O$5,Credit_2021Q2!$R$5,Credit_2021Q2!$U$5)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(Credit_2021Q2!$Z$11,Credit_2021Q2!$L$11,Credit_2021Q2!$O$11,Credit_2021Q2!$R$11,Credit_2021Q2!$U$11)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2B1-4CCA-9E4A-2E342A735CA5}"/>
            </c:ext>
          </c:extLst>
        </c:ser>
        <c:ser>
          <c:idx val="4"/>
          <c:order val="4"/>
          <c:tx>
            <c:strRef>
              <c:f>Credit_2021Q2!$J$12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layout/>
              <c:tx>
                <c:strRef>
                  <c:f>Credit_2021Q2!$J$12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{1EB95997-1AB0-48D4-BC79-7C2E089F12A2}</c15:txfldGUID>
                      <c15:f>Credit_2021Q2!$J$12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92B1-4CCA-9E4A-2E342A735CA5}"/>
                </c:ext>
              </c:extLst>
            </c:dLbl>
            <c:dLbl>
              <c:idx val="1"/>
              <c:layout/>
              <c:tx>
                <c:strRef>
                  <c:f>Credit_2021Q2!$M$12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{82A757FA-1E99-4E53-B7F5-EF1C48FCCB2C}</c15:txfldGUID>
                      <c15:f>Credit_2021Q2!$M$12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92B1-4CCA-9E4A-2E342A735CA5}"/>
                </c:ext>
              </c:extLst>
            </c:dLbl>
            <c:dLbl>
              <c:idx val="2"/>
              <c:layout/>
              <c:tx>
                <c:strRef>
                  <c:f>Credit_2021Q2!$P$12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{E80412B7-00E9-4213-A186-2CF0528C8066}</c15:txfldGUID>
                      <c15:f>Credit_2021Q2!$P$12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92B1-4CCA-9E4A-2E342A735CA5}"/>
                </c:ext>
              </c:extLst>
            </c:dLbl>
            <c:dLbl>
              <c:idx val="3"/>
              <c:layout/>
              <c:tx>
                <c:strRef>
                  <c:f>Credit_2021Q2!$S$12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{CDBB1F08-61EE-4E9F-A27B-AFEAC02D1BA3}</c15:txfldGUID>
                      <c15:f>Credit_2021Q2!$S$12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92B1-4CCA-9E4A-2E342A735CA5}"/>
                </c:ext>
              </c:extLst>
            </c:dLbl>
            <c:dLbl>
              <c:idx val="4"/>
              <c:tx>
                <c:strRef>
                  <c:f>Credit_2021Q2!$V$12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{7BEABF2D-96C1-4EFB-B84A-3E624F2625EE}</c15:txfldGUID>
                      <c15:f>Credit_2021Q2!$V$12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92B1-4CCA-9E4A-2E342A735C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(Credit_2021Q2!$J$5,Credit_2021Q2!$L$5,Credit_2021Q2!$O$5,Credit_2021Q2!$R$5,Credit_2021Q2!$U$5)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(Credit_2021Q2!$Z$12,Credit_2021Q2!$L$12,Credit_2021Q2!$O$12,Credit_2021Q2!$R$12,Credit_2021Q2!$U$12)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2B1-4CCA-9E4A-2E342A735CA5}"/>
            </c:ext>
          </c:extLst>
        </c:ser>
        <c:ser>
          <c:idx val="5"/>
          <c:order val="5"/>
          <c:tx>
            <c:strRef>
              <c:f>Credit_2021Q2!$J$13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Credit_2021Q2!$J$13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{87E74DF3-509F-4CEE-8A2D-1FB4B6A36BD8}</c15:txfldGUID>
                      <c15:f>Credit_2021Q2!$J$13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92B1-4CCA-9E4A-2E342A735CA5}"/>
                </c:ext>
              </c:extLst>
            </c:dLbl>
            <c:dLbl>
              <c:idx val="1"/>
              <c:layout/>
              <c:tx>
                <c:strRef>
                  <c:f>Credit_2021Q2!$M$13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{0F632ED0-78A6-413E-9B6B-642996E6BA95}</c15:txfldGUID>
                      <c15:f>Credit_2021Q2!$M$13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92B1-4CCA-9E4A-2E342A735CA5}"/>
                </c:ext>
              </c:extLst>
            </c:dLbl>
            <c:dLbl>
              <c:idx val="2"/>
              <c:layout/>
              <c:tx>
                <c:strRef>
                  <c:f>Credit_2021Q2!$P$13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{601F3126-38FD-43F8-B7D3-0A7737A2C777}</c15:txfldGUID>
                      <c15:f>Credit_2021Q2!$P$13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92B1-4CCA-9E4A-2E342A735CA5}"/>
                </c:ext>
              </c:extLst>
            </c:dLbl>
            <c:dLbl>
              <c:idx val="3"/>
              <c:layout/>
              <c:tx>
                <c:strRef>
                  <c:f>Credit_2021Q2!$S$13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{6106A9EB-B7AE-42D6-AA0B-05E7F0CC5D3E}</c15:txfldGUID>
                      <c15:f>Credit_2021Q2!$S$13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92B1-4CCA-9E4A-2E342A735CA5}"/>
                </c:ext>
              </c:extLst>
            </c:dLbl>
            <c:dLbl>
              <c:idx val="4"/>
              <c:tx>
                <c:strRef>
                  <c:f>Credit_2021Q2!$V$13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{0A64B27C-2E8F-4A7F-AAA5-4029081304EE}</c15:txfldGUID>
                      <c15:f>Credit_2021Q2!$V$13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92B1-4CCA-9E4A-2E342A735C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(Credit_2021Q2!$J$5,Credit_2021Q2!$L$5,Credit_2021Q2!$O$5,Credit_2021Q2!$R$5,Credit_2021Q2!$U$5)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(Credit_2021Q2!$Z$13,Credit_2021Q2!$L$13,Credit_2021Q2!$O$13,Credit_2021Q2!$R$13,Credit_2021Q2!$U$13)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2B1-4CCA-9E4A-2E342A735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48C5-48F6-8315-2B64DCDFDE22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48C5-48F6-8315-2B64DCDFDE22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48C5-48F6-8315-2B64DCDFDE22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48C5-48F6-8315-2B64DCDFDE22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48C5-48F6-8315-2B64DCDFDE22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48C5-48F6-8315-2B64DCDFDE22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48C5-48F6-8315-2B64DCDFDE22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48C5-48F6-8315-2B64DCDFDE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Credit_2021Q1!$J$8:$J$13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Credit_2021Q1!$M$8:$M$13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0.25</c:v>
                </c:pt>
                <c:pt idx="2">
                  <c:v>0.38636363636363635</c:v>
                </c:pt>
                <c:pt idx="3">
                  <c:v>0.18181818181818182</c:v>
                </c:pt>
                <c:pt idx="4">
                  <c:v>6.8181818181818177E-2</c:v>
                </c:pt>
                <c:pt idx="5">
                  <c:v>6.8181818181818177E-2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8C5-48F6-8315-2B64DCDFD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Credit_2021Q1!$J$8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Credit_2021Q1!$J$8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{73FCEB0F-506B-484D-B173-ACB729C715AB}</c15:txfldGUID>
                      <c15:f>Credit_2021Q1!$J$8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97EC-42E6-9F02-FBEC8A983FA8}"/>
                </c:ext>
              </c:extLst>
            </c:dLbl>
            <c:dLbl>
              <c:idx val="1"/>
              <c:layout/>
              <c:tx>
                <c:strRef>
                  <c:f>Credit_2021Q1!$M$8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{0BEE3D25-1382-44F6-9474-D8B75645FF0E}</c15:txfldGUID>
                      <c15:f>Credit_2021Q1!$M$8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97EC-42E6-9F02-FBEC8A983FA8}"/>
                </c:ext>
              </c:extLst>
            </c:dLbl>
            <c:dLbl>
              <c:idx val="2"/>
              <c:layout/>
              <c:tx>
                <c:strRef>
                  <c:f>Credit_2021Q1!$P$8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{60692338-5597-435A-82C3-A8E35244C784}</c15:txfldGUID>
                      <c15:f>Credit_2021Q1!$P$8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97EC-42E6-9F02-FBEC8A983FA8}"/>
                </c:ext>
              </c:extLst>
            </c:dLbl>
            <c:dLbl>
              <c:idx val="3"/>
              <c:layout/>
              <c:tx>
                <c:strRef>
                  <c:f>Credit_2021Q1!$S$8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{5CE3ACE7-267B-4690-B68C-E941BA901B27}</c15:txfldGUID>
                      <c15:f>Credit_2021Q1!$S$8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97EC-42E6-9F02-FBEC8A983FA8}"/>
                </c:ext>
              </c:extLst>
            </c:dLbl>
            <c:dLbl>
              <c:idx val="4"/>
              <c:tx>
                <c:strRef>
                  <c:f>Credit_2021Q1!$V$8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{36DF1708-F084-4A2E-9CAF-F8175E839653}</c15:txfldGUID>
                      <c15:f>Credit_2021Q1!$V$8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97EC-42E6-9F02-FBEC8A983F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(Credit_2021Q1!$J$5,Credit_2021Q1!$L$5,Credit_2021Q1!$O$5,Credit_2021Q1!$R$5,Credit_2021Q1!$U$5)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(Credit_2021Q1!$Z$8,Credit_2021Q1!$L$8,Credit_2021Q1!$O$8,Credit_2021Q1!$R$8,Credit_2021Q1!$U$8)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7EC-42E6-9F02-FBEC8A983FA8}"/>
            </c:ext>
          </c:extLst>
        </c:ser>
        <c:ser>
          <c:idx val="1"/>
          <c:order val="1"/>
          <c:tx>
            <c:strRef>
              <c:f>Credit_2021Q1!$J$9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Credit_2021Q1!$J$9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{3CBB320B-F2ED-421E-84F2-FEDEEAC3AB79}</c15:txfldGUID>
                      <c15:f>Credit_2021Q1!$J$9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97EC-42E6-9F02-FBEC8A983FA8}"/>
                </c:ext>
              </c:extLst>
            </c:dLbl>
            <c:dLbl>
              <c:idx val="1"/>
              <c:layout/>
              <c:tx>
                <c:strRef>
                  <c:f>Credit_2021Q1!$M$9</c:f>
                  <c:strCache>
                    <c:ptCount val="1"/>
                    <c:pt idx="0">
                      <c:v>25%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{70952D84-0330-4C7D-9EFF-6AF57C4B9E85}</c15:txfldGUID>
                      <c15:f>Credit_2021Q1!$M$9</c15:f>
                      <c15:dlblFieldTableCache>
                        <c:ptCount val="1"/>
                        <c:pt idx="0">
                          <c:v>25%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97EC-42E6-9F02-FBEC8A983FA8}"/>
                </c:ext>
              </c:extLst>
            </c:dLbl>
            <c:dLbl>
              <c:idx val="2"/>
              <c:layout/>
              <c:tx>
                <c:strRef>
                  <c:f>Credit_2021Q1!$P$9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{22937A7C-B7C2-4273-A50B-385269A7F6FD}</c15:txfldGUID>
                      <c15:f>Credit_2021Q1!$P$9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97EC-42E6-9F02-FBEC8A983FA8}"/>
                </c:ext>
              </c:extLst>
            </c:dLbl>
            <c:dLbl>
              <c:idx val="3"/>
              <c:layout/>
              <c:tx>
                <c:strRef>
                  <c:f>Credit_2021Q1!$S$9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{17918E7D-31B2-4CD0-998E-A8CCDC9FCE76}</c15:txfldGUID>
                      <c15:f>Credit_2021Q1!$S$9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97EC-42E6-9F02-FBEC8A983FA8}"/>
                </c:ext>
              </c:extLst>
            </c:dLbl>
            <c:dLbl>
              <c:idx val="4"/>
              <c:tx>
                <c:strRef>
                  <c:f>Credit_2021Q1!$V$9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{F409314F-D883-41F6-9CED-FB0CEE431B77}</c15:txfldGUID>
                      <c15:f>Credit_2021Q1!$V$9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97EC-42E6-9F02-FBEC8A983F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(Credit_2021Q1!$J$5,Credit_2021Q1!$L$5,Credit_2021Q1!$O$5,Credit_2021Q1!$R$5,Credit_2021Q1!$U$5)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(Credit_2021Q1!$Z$9,Credit_2021Q1!$L$9,Credit_2021Q1!$O$9,Credit_2021Q1!$R$9,Credit_2021Q1!$U$9)</c:f>
              <c:numCache>
                <c:formatCode>General</c:formatCode>
                <c:ptCount val="4"/>
                <c:pt idx="0">
                  <c:v>1</c:v>
                </c:pt>
                <c:pt idx="1">
                  <c:v>11</c:v>
                </c:pt>
                <c:pt idx="2">
                  <c:v>10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7EC-42E6-9F02-FBEC8A983FA8}"/>
            </c:ext>
          </c:extLst>
        </c:ser>
        <c:ser>
          <c:idx val="2"/>
          <c:order val="2"/>
          <c:tx>
            <c:strRef>
              <c:f>Credit_2021Q1!$J$10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Credit_2021Q1!$J$10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{7163D5EB-EBAA-4C81-9503-3731A24FA7E5}</c15:txfldGUID>
                      <c15:f>Credit_2021Q1!$J$10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97EC-42E6-9F02-FBEC8A983FA8}"/>
                </c:ext>
              </c:extLst>
            </c:dLbl>
            <c:dLbl>
              <c:idx val="1"/>
              <c:layout/>
              <c:tx>
                <c:strRef>
                  <c:f>Credit_2021Q1!$M$10</c:f>
                  <c:strCache>
                    <c:ptCount val="1"/>
                    <c:pt idx="0">
                      <c:v>39%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{C163D4A6-285B-4849-A558-443CFFC63AD0}</c15:txfldGUID>
                      <c15:f>Credit_2021Q1!$M$10</c15:f>
                      <c15:dlblFieldTableCache>
                        <c:ptCount val="1"/>
                        <c:pt idx="0">
                          <c:v>39%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97EC-42E6-9F02-FBEC8A983FA8}"/>
                </c:ext>
              </c:extLst>
            </c:dLbl>
            <c:dLbl>
              <c:idx val="2"/>
              <c:layout/>
              <c:tx>
                <c:strRef>
                  <c:f>Credit_2021Q1!$P$10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{FFCBC63B-A5E9-4DCA-A413-FE41C3F7E4E8}</c15:txfldGUID>
                      <c15:f>Credit_2021Q1!$P$10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97EC-42E6-9F02-FBEC8A983FA8}"/>
                </c:ext>
              </c:extLst>
            </c:dLbl>
            <c:dLbl>
              <c:idx val="3"/>
              <c:layout/>
              <c:tx>
                <c:strRef>
                  <c:f>Credit_2021Q1!$S$10</c:f>
                  <c:strCache>
                    <c:ptCount val="1"/>
                    <c:pt idx="0">
                      <c:v>56%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{A827E057-2017-4D58-8CF1-66A726380733}</c15:txfldGUID>
                      <c15:f>Credit_2021Q1!$S$10</c15:f>
                      <c15:dlblFieldTableCache>
                        <c:ptCount val="1"/>
                        <c:pt idx="0">
                          <c:v>56%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97EC-42E6-9F02-FBEC8A983FA8}"/>
                </c:ext>
              </c:extLst>
            </c:dLbl>
            <c:dLbl>
              <c:idx val="4"/>
              <c:tx>
                <c:strRef>
                  <c:f>Credit_2021Q1!$V$10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{2A05167C-28BB-40EA-9680-B2B492F7A52D}</c15:txfldGUID>
                      <c15:f>Credit_2021Q1!$V$10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97EC-42E6-9F02-FBEC8A983F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(Credit_2021Q1!$J$5,Credit_2021Q1!$L$5,Credit_2021Q1!$O$5,Credit_2021Q1!$R$5,Credit_2021Q1!$U$5)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(Credit_2021Q1!$Z$10,Credit_2021Q1!$L$10,Credit_2021Q1!$O$10,Credit_2021Q1!$R$10,Credit_2021Q1!$U$10)</c:f>
              <c:numCache>
                <c:formatCode>General</c:formatCode>
                <c:ptCount val="4"/>
                <c:pt idx="0">
                  <c:v>1</c:v>
                </c:pt>
                <c:pt idx="1">
                  <c:v>17</c:v>
                </c:pt>
                <c:pt idx="2">
                  <c:v>12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7EC-42E6-9F02-FBEC8A983FA8}"/>
            </c:ext>
          </c:extLst>
        </c:ser>
        <c:ser>
          <c:idx val="3"/>
          <c:order val="3"/>
          <c:tx>
            <c:strRef>
              <c:f>Credit_2021Q1!$J$11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Credit_2021Q1!$J$11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{387E31FD-7F27-44E4-8517-5E3E0F99C2D0}</c15:txfldGUID>
                      <c15:f>Credit_2021Q1!$J$11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97EC-42E6-9F02-FBEC8A983FA8}"/>
                </c:ext>
              </c:extLst>
            </c:dLbl>
            <c:dLbl>
              <c:idx val="1"/>
              <c:layout/>
              <c:tx>
                <c:strRef>
                  <c:f>Credit_2021Q1!$M$11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{58D8980C-BA50-476B-B5BF-97D597A16B12}</c15:txfldGUID>
                      <c15:f>Credit_2021Q1!$M$11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97EC-42E6-9F02-FBEC8A983FA8}"/>
                </c:ext>
              </c:extLst>
            </c:dLbl>
            <c:dLbl>
              <c:idx val="2"/>
              <c:layout/>
              <c:tx>
                <c:strRef>
                  <c:f>Credit_2021Q1!$P$11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{AF276291-7EB0-4B76-90B4-55270C0C91F6}</c15:txfldGUID>
                      <c15:f>Credit_2021Q1!$P$11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97EC-42E6-9F02-FBEC8A983FA8}"/>
                </c:ext>
              </c:extLst>
            </c:dLbl>
            <c:dLbl>
              <c:idx val="3"/>
              <c:layout/>
              <c:tx>
                <c:strRef>
                  <c:f>Credit_2021Q1!$S$11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{5F556201-FC05-439F-975E-B9789C7C5C23}</c15:txfldGUID>
                      <c15:f>Credit_2021Q1!$S$11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97EC-42E6-9F02-FBEC8A983FA8}"/>
                </c:ext>
              </c:extLst>
            </c:dLbl>
            <c:dLbl>
              <c:idx val="4"/>
              <c:tx>
                <c:strRef>
                  <c:f>Credit_2021Q1!$V$11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{3059F9CA-D499-49D6-A353-F2537F68A628}</c15:txfldGUID>
                      <c15:f>Credit_2021Q1!$V$11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97EC-42E6-9F02-FBEC8A983F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(Credit_2021Q1!$J$5,Credit_2021Q1!$L$5,Credit_2021Q1!$O$5,Credit_2021Q1!$R$5,Credit_2021Q1!$U$5)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(Credit_2021Q1!$Z$11,Credit_2021Q1!$L$11,Credit_2021Q1!$O$11,Credit_2021Q1!$R$11,Credit_2021Q1!$U$11)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7EC-42E6-9F02-FBEC8A983FA8}"/>
            </c:ext>
          </c:extLst>
        </c:ser>
        <c:ser>
          <c:idx val="4"/>
          <c:order val="4"/>
          <c:tx>
            <c:strRef>
              <c:f>Credit_2021Q1!$J$12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layout/>
              <c:tx>
                <c:strRef>
                  <c:f>Credit_2021Q1!$J$12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{7DFEB4FA-806E-4AB6-8F8E-71E05004EB20}</c15:txfldGUID>
                      <c15:f>Credit_2021Q1!$J$12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97EC-42E6-9F02-FBEC8A983FA8}"/>
                </c:ext>
              </c:extLst>
            </c:dLbl>
            <c:dLbl>
              <c:idx val="1"/>
              <c:layout/>
              <c:tx>
                <c:strRef>
                  <c:f>Credit_2021Q1!$M$12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{F86D0C42-32A5-4500-855A-171701DE8732}</c15:txfldGUID>
                      <c15:f>Credit_2021Q1!$M$12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97EC-42E6-9F02-FBEC8A983FA8}"/>
                </c:ext>
              </c:extLst>
            </c:dLbl>
            <c:dLbl>
              <c:idx val="2"/>
              <c:layout/>
              <c:tx>
                <c:strRef>
                  <c:f>Credit_2021Q1!$P$12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{71544E07-32E1-4EEB-8D78-643BB7255EB1}</c15:txfldGUID>
                      <c15:f>Credit_2021Q1!$P$12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97EC-42E6-9F02-FBEC8A983FA8}"/>
                </c:ext>
              </c:extLst>
            </c:dLbl>
            <c:dLbl>
              <c:idx val="3"/>
              <c:layout/>
              <c:tx>
                <c:strRef>
                  <c:f>Credit_2021Q1!$S$12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{C0BDD388-7B23-43D5-B361-61E52C51DA98}</c15:txfldGUID>
                      <c15:f>Credit_2021Q1!$S$12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97EC-42E6-9F02-FBEC8A983FA8}"/>
                </c:ext>
              </c:extLst>
            </c:dLbl>
            <c:dLbl>
              <c:idx val="4"/>
              <c:tx>
                <c:strRef>
                  <c:f>Credit_2021Q1!$V$12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{B66CB985-ADF5-4425-AEA6-99CA97518A6A}</c15:txfldGUID>
                      <c15:f>Credit_2021Q1!$V$12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97EC-42E6-9F02-FBEC8A983F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(Credit_2021Q1!$J$5,Credit_2021Q1!$L$5,Credit_2021Q1!$O$5,Credit_2021Q1!$R$5,Credit_2021Q1!$U$5)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(Credit_2021Q1!$Z$12,Credit_2021Q1!$L$12,Credit_2021Q1!$O$12,Credit_2021Q1!$R$12,Credit_2021Q1!$U$12)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7EC-42E6-9F02-FBEC8A983FA8}"/>
            </c:ext>
          </c:extLst>
        </c:ser>
        <c:ser>
          <c:idx val="5"/>
          <c:order val="5"/>
          <c:tx>
            <c:strRef>
              <c:f>Credit_2021Q1!$J$13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Credit_2021Q1!$J$13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{427E456B-A4C0-4E6A-ABA3-CF8307720F00}</c15:txfldGUID>
                      <c15:f>Credit_2021Q1!$J$13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97EC-42E6-9F02-FBEC8A983FA8}"/>
                </c:ext>
              </c:extLst>
            </c:dLbl>
            <c:dLbl>
              <c:idx val="1"/>
              <c:layout/>
              <c:tx>
                <c:strRef>
                  <c:f>Credit_2021Q1!$M$13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{D5ACE28C-CF86-4C10-AD0C-77DFB385A59A}</c15:txfldGUID>
                      <c15:f>Credit_2021Q1!$M$13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97EC-42E6-9F02-FBEC8A983FA8}"/>
                </c:ext>
              </c:extLst>
            </c:dLbl>
            <c:dLbl>
              <c:idx val="2"/>
              <c:layout/>
              <c:tx>
                <c:strRef>
                  <c:f>Credit_2021Q1!$P$13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{365C37BF-0D4C-4697-8612-2E94E6788E48}</c15:txfldGUID>
                      <c15:f>Credit_2021Q1!$P$13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97EC-42E6-9F02-FBEC8A983FA8}"/>
                </c:ext>
              </c:extLst>
            </c:dLbl>
            <c:dLbl>
              <c:idx val="3"/>
              <c:layout/>
              <c:tx>
                <c:strRef>
                  <c:f>Credit_2021Q1!$S$13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{A5BAC143-14D2-41F6-84B3-59973478DB97}</c15:txfldGUID>
                      <c15:f>Credit_2021Q1!$S$13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97EC-42E6-9F02-FBEC8A983FA8}"/>
                </c:ext>
              </c:extLst>
            </c:dLbl>
            <c:dLbl>
              <c:idx val="4"/>
              <c:tx>
                <c:strRef>
                  <c:f>Credit_2021Q1!$V$13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{7C17662D-2A17-4760-BAB4-229FB0FF181D}</c15:txfldGUID>
                      <c15:f>Credit_2021Q1!$V$13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97EC-42E6-9F02-FBEC8A983F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(Credit_2021Q1!$J$5,Credit_2021Q1!$L$5,Credit_2021Q1!$O$5,Credit_2021Q1!$R$5,Credit_2021Q1!$U$5)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(Credit_2021Q1!$Z$13,Credit_2021Q1!$L$13,Credit_2021Q1!$O$13,Credit_2021Q1!$R$13,Credit_2021Q1!$U$13)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7EC-42E6-9F02-FBEC8A983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3DD-43A3-9BCA-54E9B04FD317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3DD-43A3-9BCA-54E9B04FD317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3DD-43A3-9BCA-54E9B04FD317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3DD-43A3-9BCA-54E9B04FD31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93DD-43A3-9BCA-54E9B04FD317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93DD-43A3-9BCA-54E9B04FD317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3DD-43A3-9BCA-54E9B04FD317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93DD-43A3-9BCA-54E9B04FD3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Credit_2020Q4!$J$8:$J$13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Credit_2020Q4!$M$8:$M$13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0.27272727272727271</c:v>
                </c:pt>
                <c:pt idx="2">
                  <c:v>0.36363636363636365</c:v>
                </c:pt>
                <c:pt idx="3">
                  <c:v>0.18181818181818182</c:v>
                </c:pt>
                <c:pt idx="4">
                  <c:v>6.8181818181818177E-2</c:v>
                </c:pt>
                <c:pt idx="5">
                  <c:v>6.8181818181818177E-2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3DD-43A3-9BCA-54E9B04FD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Credit_2020Q4!$J$8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Credit_2020Q4!$J$8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{E617B843-8AC8-4F6A-BA34-E18490247B20}</c15:txfldGUID>
                      <c15:f>Credit_2020Q4!$J$8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EFBB-472D-933F-E6F014E0176B}"/>
                </c:ext>
              </c:extLst>
            </c:dLbl>
            <c:dLbl>
              <c:idx val="1"/>
              <c:layout/>
              <c:tx>
                <c:strRef>
                  <c:f>Credit_2020Q4!$M$8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{9551B8AD-52BC-444F-9B12-ED09D6DDE707}</c15:txfldGUID>
                      <c15:f>Credit_2020Q4!$M$8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EFBB-472D-933F-E6F014E0176B}"/>
                </c:ext>
              </c:extLst>
            </c:dLbl>
            <c:dLbl>
              <c:idx val="2"/>
              <c:layout/>
              <c:tx>
                <c:strRef>
                  <c:f>Credit_2020Q4!$P$8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{4EC58657-3495-4C3A-B849-593D63A7FB12}</c15:txfldGUID>
                      <c15:f>Credit_2020Q4!$P$8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EFBB-472D-933F-E6F014E0176B}"/>
                </c:ext>
              </c:extLst>
            </c:dLbl>
            <c:dLbl>
              <c:idx val="3"/>
              <c:layout/>
              <c:tx>
                <c:strRef>
                  <c:f>Credit_2020Q4!$S$8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{A70F9F40-5D81-4A60-B84E-50638516D158}</c15:txfldGUID>
                      <c15:f>Credit_2020Q4!$S$8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EFBB-472D-933F-E6F014E0176B}"/>
                </c:ext>
              </c:extLst>
            </c:dLbl>
            <c:dLbl>
              <c:idx val="4"/>
              <c:tx>
                <c:strRef>
                  <c:f>Credit_2020Q4!$V$8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{D2F55B11-5178-4BEB-A284-2A8EFEF71259}</c15:txfldGUID>
                      <c15:f>Credit_2020Q4!$V$8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EFBB-472D-933F-E6F014E017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(Credit_2020Q4!$J$5,Credit_2020Q4!$L$5,Credit_2020Q4!$O$5,Credit_2020Q4!$R$5,Credit_2020Q4!$U$5)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(Credit_2020Q4!$Z$8,Credit_2020Q4!$L$8,Credit_2020Q4!$O$8,Credit_2020Q4!$R$8,Credit_2020Q4!$U$8)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BB-472D-933F-E6F014E0176B}"/>
            </c:ext>
          </c:extLst>
        </c:ser>
        <c:ser>
          <c:idx val="1"/>
          <c:order val="1"/>
          <c:tx>
            <c:strRef>
              <c:f>Credit_2020Q4!$J$9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Credit_2020Q4!$J$9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{5F42AE3E-55E9-4EA1-A7E9-28784724BB0F}</c15:txfldGUID>
                      <c15:f>Credit_2020Q4!$J$9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EFBB-472D-933F-E6F014E0176B}"/>
                </c:ext>
              </c:extLst>
            </c:dLbl>
            <c:dLbl>
              <c:idx val="1"/>
              <c:layout/>
              <c:tx>
                <c:strRef>
                  <c:f>Credit_2020Q4!$M$9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{1AEE1EB1-D852-4CD1-8A2C-BDF7ABFD369D}</c15:txfldGUID>
                      <c15:f>Credit_2020Q4!$M$9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EFBB-472D-933F-E6F014E0176B}"/>
                </c:ext>
              </c:extLst>
            </c:dLbl>
            <c:dLbl>
              <c:idx val="2"/>
              <c:layout/>
              <c:tx>
                <c:strRef>
                  <c:f>Credit_2020Q4!$P$9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{A0504463-9FA5-46A4-A773-F222F9613F5E}</c15:txfldGUID>
                      <c15:f>Credit_2020Q4!$P$9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EFBB-472D-933F-E6F014E0176B}"/>
                </c:ext>
              </c:extLst>
            </c:dLbl>
            <c:dLbl>
              <c:idx val="3"/>
              <c:layout/>
              <c:tx>
                <c:strRef>
                  <c:f>Credit_2020Q4!$S$9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{F18A86CC-8B5A-4CE9-9FC4-40B9B385DF8F}</c15:txfldGUID>
                      <c15:f>Credit_2020Q4!$S$9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EFBB-472D-933F-E6F014E0176B}"/>
                </c:ext>
              </c:extLst>
            </c:dLbl>
            <c:dLbl>
              <c:idx val="4"/>
              <c:tx>
                <c:strRef>
                  <c:f>Credit_2020Q4!$V$9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{FCBDF672-C52F-4F26-8B88-A7D01D290598}</c15:txfldGUID>
                      <c15:f>Credit_2020Q4!$V$9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EFBB-472D-933F-E6F014E017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(Credit_2020Q4!$J$5,Credit_2020Q4!$L$5,Credit_2020Q4!$O$5,Credit_2020Q4!$R$5,Credit_2020Q4!$U$5)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(Credit_2020Q4!$Z$9,Credit_2020Q4!$L$9,Credit_2020Q4!$O$9,Credit_2020Q4!$R$9,Credit_2020Q4!$U$9)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FBB-472D-933F-E6F014E0176B}"/>
            </c:ext>
          </c:extLst>
        </c:ser>
        <c:ser>
          <c:idx val="2"/>
          <c:order val="2"/>
          <c:tx>
            <c:strRef>
              <c:f>Credit_2020Q4!$J$10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Credit_2020Q4!$J$10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{366552E5-61DD-48FF-ABE9-ECD7709E4548}</c15:txfldGUID>
                      <c15:f>Credit_2020Q4!$J$10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EFBB-472D-933F-E6F014E0176B}"/>
                </c:ext>
              </c:extLst>
            </c:dLbl>
            <c:dLbl>
              <c:idx val="1"/>
              <c:layout/>
              <c:tx>
                <c:strRef>
                  <c:f>Credit_2020Q4!$M$10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{6EB7940C-5C92-41F5-A222-AD9357AA7E4A}</c15:txfldGUID>
                      <c15:f>Credit_2020Q4!$M$10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EFBB-472D-933F-E6F014E0176B}"/>
                </c:ext>
              </c:extLst>
            </c:dLbl>
            <c:dLbl>
              <c:idx val="2"/>
              <c:layout/>
              <c:tx>
                <c:strRef>
                  <c:f>Credit_2020Q4!$P$10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{F365CE77-B1A9-4FE9-B3D5-9157A1E2E83B}</c15:txfldGUID>
                      <c15:f>Credit_2020Q4!$P$10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EFBB-472D-933F-E6F014E0176B}"/>
                </c:ext>
              </c:extLst>
            </c:dLbl>
            <c:dLbl>
              <c:idx val="3"/>
              <c:layout/>
              <c:tx>
                <c:strRef>
                  <c:f>Credit_2020Q4!$S$10</c:f>
                  <c:strCache>
                    <c:ptCount val="1"/>
                    <c:pt idx="0">
                      <c:v>60%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{080451B3-EFF6-47ED-93D4-69E57DABFD1F}</c15:txfldGUID>
                      <c15:f>Credit_2020Q4!$S$10</c15:f>
                      <c15:dlblFieldTableCache>
                        <c:ptCount val="1"/>
                        <c:pt idx="0">
                          <c:v>60%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EFBB-472D-933F-E6F014E0176B}"/>
                </c:ext>
              </c:extLst>
            </c:dLbl>
            <c:dLbl>
              <c:idx val="4"/>
              <c:tx>
                <c:strRef>
                  <c:f>Credit_2020Q4!$V$10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{E16CF2F9-BBA9-4913-BD40-DE4B51959985}</c15:txfldGUID>
                      <c15:f>Credit_2020Q4!$V$10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EFBB-472D-933F-E6F014E017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(Credit_2020Q4!$J$5,Credit_2020Q4!$L$5,Credit_2020Q4!$O$5,Credit_2020Q4!$R$5,Credit_2020Q4!$U$5)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(Credit_2020Q4!$Z$10,Credit_2020Q4!$L$10,Credit_2020Q4!$O$10,Credit_2020Q4!$R$10,Credit_2020Q4!$U$10)</c:f>
              <c:numCache>
                <c:formatCode>General</c:formatCode>
                <c:ptCount val="4"/>
                <c:pt idx="0">
                  <c:v>1</c:v>
                </c:pt>
                <c:pt idx="1">
                  <c:v>16</c:v>
                </c:pt>
                <c:pt idx="2">
                  <c:v>10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FBB-472D-933F-E6F014E0176B}"/>
            </c:ext>
          </c:extLst>
        </c:ser>
        <c:ser>
          <c:idx val="3"/>
          <c:order val="3"/>
          <c:tx>
            <c:strRef>
              <c:f>Credit_2020Q4!$J$11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Credit_2020Q4!$J$11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{F9FCF69A-F574-4BC8-A6FE-CF2594DCF0F0}</c15:txfldGUID>
                      <c15:f>Credit_2020Q4!$J$11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EFBB-472D-933F-E6F014E0176B}"/>
                </c:ext>
              </c:extLst>
            </c:dLbl>
            <c:dLbl>
              <c:idx val="1"/>
              <c:layout/>
              <c:tx>
                <c:strRef>
                  <c:f>Credit_2020Q4!$M$11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{364DC560-4224-492B-8F29-C3C9A7947E75}</c15:txfldGUID>
                      <c15:f>Credit_2020Q4!$M$11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EFBB-472D-933F-E6F014E0176B}"/>
                </c:ext>
              </c:extLst>
            </c:dLbl>
            <c:dLbl>
              <c:idx val="2"/>
              <c:layout/>
              <c:tx>
                <c:strRef>
                  <c:f>Credit_2020Q4!$P$11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{43A856C7-7AE1-49B7-AC09-F0259D787148}</c15:txfldGUID>
                      <c15:f>Credit_2020Q4!$P$11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EFBB-472D-933F-E6F014E0176B}"/>
                </c:ext>
              </c:extLst>
            </c:dLbl>
            <c:dLbl>
              <c:idx val="3"/>
              <c:layout/>
              <c:tx>
                <c:strRef>
                  <c:f>Credit_2020Q4!$S$11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{82270D95-ED36-44D3-A4C5-48E8CB91B98A}</c15:txfldGUID>
                      <c15:f>Credit_2020Q4!$S$11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EFBB-472D-933F-E6F014E0176B}"/>
                </c:ext>
              </c:extLst>
            </c:dLbl>
            <c:dLbl>
              <c:idx val="4"/>
              <c:tx>
                <c:strRef>
                  <c:f>Credit_2020Q4!$V$11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{9AE8406A-E305-443B-A0CF-47BF168C130E}</c15:txfldGUID>
                      <c15:f>Credit_2020Q4!$V$11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EFBB-472D-933F-E6F014E017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(Credit_2020Q4!$J$5,Credit_2020Q4!$L$5,Credit_2020Q4!$O$5,Credit_2020Q4!$R$5,Credit_2020Q4!$U$5)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(Credit_2020Q4!$Z$11,Credit_2020Q4!$L$11,Credit_2020Q4!$O$11,Credit_2020Q4!$R$11,Credit_2020Q4!$U$11)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FBB-472D-933F-E6F014E0176B}"/>
            </c:ext>
          </c:extLst>
        </c:ser>
        <c:ser>
          <c:idx val="4"/>
          <c:order val="4"/>
          <c:tx>
            <c:strRef>
              <c:f>Credit_2020Q4!$J$12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layout/>
              <c:tx>
                <c:strRef>
                  <c:f>Credit_2020Q4!$J$12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{4DC1F280-4206-451A-92E8-887405020289}</c15:txfldGUID>
                      <c15:f>Credit_2020Q4!$J$12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EFBB-472D-933F-E6F014E0176B}"/>
                </c:ext>
              </c:extLst>
            </c:dLbl>
            <c:dLbl>
              <c:idx val="1"/>
              <c:layout/>
              <c:tx>
                <c:strRef>
                  <c:f>Credit_2020Q4!$M$12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{E7E32D1A-0AC5-4EFA-9064-05A3F785E6B1}</c15:txfldGUID>
                      <c15:f>Credit_2020Q4!$M$12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EFBB-472D-933F-E6F014E0176B}"/>
                </c:ext>
              </c:extLst>
            </c:dLbl>
            <c:dLbl>
              <c:idx val="2"/>
              <c:layout/>
              <c:tx>
                <c:strRef>
                  <c:f>Credit_2020Q4!$P$12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{D7C01F22-C5B1-4157-BB9C-816D99996E4B}</c15:txfldGUID>
                      <c15:f>Credit_2020Q4!$P$12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EFBB-472D-933F-E6F014E0176B}"/>
                </c:ext>
              </c:extLst>
            </c:dLbl>
            <c:dLbl>
              <c:idx val="3"/>
              <c:layout/>
              <c:tx>
                <c:strRef>
                  <c:f>Credit_2020Q4!$S$12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{0EB78377-5ED4-497D-849E-63669012B674}</c15:txfldGUID>
                      <c15:f>Credit_2020Q4!$S$12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EFBB-472D-933F-E6F014E0176B}"/>
                </c:ext>
              </c:extLst>
            </c:dLbl>
            <c:dLbl>
              <c:idx val="4"/>
              <c:tx>
                <c:strRef>
                  <c:f>Credit_2020Q4!$V$12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{AAF6BF9F-B006-463C-BA5D-E183B5C8CA3C}</c15:txfldGUID>
                      <c15:f>Credit_2020Q4!$V$12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EFBB-472D-933F-E6F014E017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(Credit_2020Q4!$J$5,Credit_2020Q4!$L$5,Credit_2020Q4!$O$5,Credit_2020Q4!$R$5,Credit_2020Q4!$U$5)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(Credit_2020Q4!$Z$12,Credit_2020Q4!$L$12,Credit_2020Q4!$O$12,Credit_2020Q4!$R$12,Credit_2020Q4!$U$12)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FBB-472D-933F-E6F014E0176B}"/>
            </c:ext>
          </c:extLst>
        </c:ser>
        <c:ser>
          <c:idx val="5"/>
          <c:order val="5"/>
          <c:tx>
            <c:strRef>
              <c:f>Credit_2020Q4!$J$13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Credit_2020Q4!$J$13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{F29C64B5-1227-4432-9FA0-E218BE915FBE}</c15:txfldGUID>
                      <c15:f>Credit_2020Q4!$J$13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EFBB-472D-933F-E6F014E0176B}"/>
                </c:ext>
              </c:extLst>
            </c:dLbl>
            <c:dLbl>
              <c:idx val="1"/>
              <c:layout/>
              <c:tx>
                <c:strRef>
                  <c:f>Credit_2020Q4!$M$13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{3582FC8D-6713-4757-BE4B-934CEA178B48}</c15:txfldGUID>
                      <c15:f>Credit_2020Q4!$M$13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EFBB-472D-933F-E6F014E0176B}"/>
                </c:ext>
              </c:extLst>
            </c:dLbl>
            <c:dLbl>
              <c:idx val="2"/>
              <c:layout/>
              <c:tx>
                <c:strRef>
                  <c:f>Credit_2020Q4!$P$13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{D14B365A-E84B-4FF2-A501-C16D8594DCDC}</c15:txfldGUID>
                      <c15:f>Credit_2020Q4!$P$13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EFBB-472D-933F-E6F014E0176B}"/>
                </c:ext>
              </c:extLst>
            </c:dLbl>
            <c:dLbl>
              <c:idx val="3"/>
              <c:layout/>
              <c:tx>
                <c:strRef>
                  <c:f>Credit_2020Q4!$S$13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{6E389102-CBF0-4877-8D9C-BA05D94065DB}</c15:txfldGUID>
                      <c15:f>Credit_2020Q4!$S$13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EFBB-472D-933F-E6F014E0176B}"/>
                </c:ext>
              </c:extLst>
            </c:dLbl>
            <c:dLbl>
              <c:idx val="4"/>
              <c:tx>
                <c:strRef>
                  <c:f>Credit_2020Q4!$V$13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{5CFEFE33-6D72-4B8F-B094-A5EB2DD195CD}</c15:txfldGUID>
                      <c15:f>Credit_2020Q4!$V$13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EFBB-472D-933F-E6F014E017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(Credit_2020Q4!$J$5,Credit_2020Q4!$L$5,Credit_2020Q4!$O$5,Credit_2020Q4!$R$5,Credit_2020Q4!$U$5)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(Credit_2020Q4!$Z$13,Credit_2020Q4!$L$13,Credit_2020Q4!$O$13,Credit_2020Q4!$R$13,Credit_2020Q4!$U$13)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FBB-472D-933F-E6F014E01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FAB-476F-80BB-94C7DA85661B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FAB-476F-80BB-94C7DA85661B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FAB-476F-80BB-94C7DA85661B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FAB-476F-80BB-94C7DA85661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FAB-476F-80BB-94C7DA85661B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FAB-476F-80BB-94C7DA85661B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FAB-476F-80BB-94C7DA85661B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FAB-476F-80BB-94C7DA8566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Credit_2020Q3!$J$8:$J$13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Credit_2020Q3!$M$8:$M$13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0.27272727272727271</c:v>
                </c:pt>
                <c:pt idx="2">
                  <c:v>0.36363636363636365</c:v>
                </c:pt>
                <c:pt idx="3">
                  <c:v>0.20454545454545456</c:v>
                </c:pt>
                <c:pt idx="4">
                  <c:v>6.8181818181818177E-2</c:v>
                </c:pt>
                <c:pt idx="5">
                  <c:v>4.5454545454545456E-2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FAB-476F-80BB-94C7DA856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Credit_2020Q3!$J$8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Credit_2020Q3!$J$8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{142CC552-5318-4844-A082-3171BBB05FD4}</c15:txfldGUID>
                      <c15:f>Credit_2020Q3!$J$8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B2DC-4F3A-B85B-51162CF49A0B}"/>
                </c:ext>
              </c:extLst>
            </c:dLbl>
            <c:dLbl>
              <c:idx val="1"/>
              <c:layout/>
              <c:tx>
                <c:strRef>
                  <c:f>Credit_2020Q3!$M$8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{04A4B209-E5AB-4EE9-A717-40CE5201D18D}</c15:txfldGUID>
                      <c15:f>Credit_2020Q3!$M$8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B2DC-4F3A-B85B-51162CF49A0B}"/>
                </c:ext>
              </c:extLst>
            </c:dLbl>
            <c:dLbl>
              <c:idx val="2"/>
              <c:layout/>
              <c:tx>
                <c:strRef>
                  <c:f>Credit_2020Q3!$P$8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{2D034235-9422-4834-8A86-536898713D1C}</c15:txfldGUID>
                      <c15:f>Credit_2020Q3!$P$8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B2DC-4F3A-B85B-51162CF49A0B}"/>
                </c:ext>
              </c:extLst>
            </c:dLbl>
            <c:dLbl>
              <c:idx val="3"/>
              <c:layout/>
              <c:tx>
                <c:strRef>
                  <c:f>Credit_2020Q3!$S$8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{B73FB913-8089-4B53-A474-C729EAF4255D}</c15:txfldGUID>
                      <c15:f>Credit_2020Q3!$S$8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B2DC-4F3A-B85B-51162CF49A0B}"/>
                </c:ext>
              </c:extLst>
            </c:dLbl>
            <c:dLbl>
              <c:idx val="4"/>
              <c:tx>
                <c:strRef>
                  <c:f>Credit_2020Q3!$V$8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{B62FD4C4-AE18-4FF4-8A34-772C85F1EF76}</c15:txfldGUID>
                      <c15:f>Credit_2020Q3!$V$8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B2DC-4F3A-B85B-51162CF49A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(Credit_2020Q3!$J$5,Credit_2020Q3!$L$5,Credit_2020Q3!$O$5,Credit_2020Q3!$R$5,Credit_2020Q3!$U$5)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(Credit_2020Q3!$Z$8,Credit_2020Q3!$L$8,Credit_2020Q3!$O$8,Credit_2020Q3!$R$8,Credit_2020Q3!$U$8)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2DC-4F3A-B85B-51162CF49A0B}"/>
            </c:ext>
          </c:extLst>
        </c:ser>
        <c:ser>
          <c:idx val="1"/>
          <c:order val="1"/>
          <c:tx>
            <c:strRef>
              <c:f>Credit_2020Q3!$J$9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Credit_2020Q3!$J$9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{3BC317DB-54AA-476F-874D-2E1E4A4D7CA3}</c15:txfldGUID>
                      <c15:f>Credit_2020Q3!$J$9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B2DC-4F3A-B85B-51162CF49A0B}"/>
                </c:ext>
              </c:extLst>
            </c:dLbl>
            <c:dLbl>
              <c:idx val="1"/>
              <c:layout/>
              <c:tx>
                <c:strRef>
                  <c:f>Credit_2020Q3!$M$9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{39892C14-3B72-4DB8-B208-A5EFAF2C7B75}</c15:txfldGUID>
                      <c15:f>Credit_2020Q3!$M$9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B2DC-4F3A-B85B-51162CF49A0B}"/>
                </c:ext>
              </c:extLst>
            </c:dLbl>
            <c:dLbl>
              <c:idx val="2"/>
              <c:layout/>
              <c:tx>
                <c:strRef>
                  <c:f>Credit_2020Q3!$P$9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{0D680742-FE68-4E1A-BD1E-587CF250D11C}</c15:txfldGUID>
                      <c15:f>Credit_2020Q3!$P$9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B2DC-4F3A-B85B-51162CF49A0B}"/>
                </c:ext>
              </c:extLst>
            </c:dLbl>
            <c:dLbl>
              <c:idx val="3"/>
              <c:layout/>
              <c:tx>
                <c:strRef>
                  <c:f>Credit_2020Q3!$S$9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{3FC386EB-F7BB-4E2B-B254-BD8E60D8C49C}</c15:txfldGUID>
                      <c15:f>Credit_2020Q3!$S$9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B2DC-4F3A-B85B-51162CF49A0B}"/>
                </c:ext>
              </c:extLst>
            </c:dLbl>
            <c:dLbl>
              <c:idx val="4"/>
              <c:tx>
                <c:strRef>
                  <c:f>Credit_2020Q3!$V$9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{C22521A5-3CF7-4F4E-846F-61D8202D4C98}</c15:txfldGUID>
                      <c15:f>Credit_2020Q3!$V$9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B2DC-4F3A-B85B-51162CF49A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(Credit_2020Q3!$J$5,Credit_2020Q3!$L$5,Credit_2020Q3!$O$5,Credit_2020Q3!$R$5,Credit_2020Q3!$U$5)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(Credit_2020Q3!$Z$9,Credit_2020Q3!$L$9,Credit_2020Q3!$O$9,Credit_2020Q3!$R$9,Credit_2020Q3!$U$9)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2DC-4F3A-B85B-51162CF49A0B}"/>
            </c:ext>
          </c:extLst>
        </c:ser>
        <c:ser>
          <c:idx val="2"/>
          <c:order val="2"/>
          <c:tx>
            <c:strRef>
              <c:f>Credit_2020Q3!$J$10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Credit_2020Q3!$J$10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{94627C92-BC24-45F5-9535-747D37BF8040}</c15:txfldGUID>
                      <c15:f>Credit_2020Q3!$J$10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B2DC-4F3A-B85B-51162CF49A0B}"/>
                </c:ext>
              </c:extLst>
            </c:dLbl>
            <c:dLbl>
              <c:idx val="1"/>
              <c:layout/>
              <c:tx>
                <c:strRef>
                  <c:f>Credit_2020Q3!$M$10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{FF16C2D9-86C0-4600-8206-7105BED167C5}</c15:txfldGUID>
                      <c15:f>Credit_2020Q3!$M$10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B2DC-4F3A-B85B-51162CF49A0B}"/>
                </c:ext>
              </c:extLst>
            </c:dLbl>
            <c:dLbl>
              <c:idx val="2"/>
              <c:layout/>
              <c:tx>
                <c:strRef>
                  <c:f>Credit_2020Q3!$P$10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{6E09FE6A-C716-42E1-9218-1C71614F603F}</c15:txfldGUID>
                      <c15:f>Credit_2020Q3!$P$10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B2DC-4F3A-B85B-51162CF49A0B}"/>
                </c:ext>
              </c:extLst>
            </c:dLbl>
            <c:dLbl>
              <c:idx val="3"/>
              <c:layout/>
              <c:tx>
                <c:strRef>
                  <c:f>Credit_2020Q3!$S$10</c:f>
                  <c:strCache>
                    <c:ptCount val="1"/>
                    <c:pt idx="0">
                      <c:v>60%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{EE3A83DE-EB77-4853-B867-227F6274DD87}</c15:txfldGUID>
                      <c15:f>Credit_2020Q3!$S$10</c15:f>
                      <c15:dlblFieldTableCache>
                        <c:ptCount val="1"/>
                        <c:pt idx="0">
                          <c:v>60%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B2DC-4F3A-B85B-51162CF49A0B}"/>
                </c:ext>
              </c:extLst>
            </c:dLbl>
            <c:dLbl>
              <c:idx val="4"/>
              <c:tx>
                <c:strRef>
                  <c:f>Credit_2020Q3!$V$10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{5698237D-ABF6-486F-ADC0-53300E41CAE9}</c15:txfldGUID>
                      <c15:f>Credit_2020Q3!$V$10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B2DC-4F3A-B85B-51162CF49A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(Credit_2020Q3!$J$5,Credit_2020Q3!$L$5,Credit_2020Q3!$O$5,Credit_2020Q3!$R$5,Credit_2020Q3!$U$5)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(Credit_2020Q3!$Z$10,Credit_2020Q3!$L$10,Credit_2020Q3!$O$10,Credit_2020Q3!$R$10,Credit_2020Q3!$U$10)</c:f>
              <c:numCache>
                <c:formatCode>General</c:formatCode>
                <c:ptCount val="4"/>
                <c:pt idx="0">
                  <c:v>1</c:v>
                </c:pt>
                <c:pt idx="1">
                  <c:v>16</c:v>
                </c:pt>
                <c:pt idx="2">
                  <c:v>10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2DC-4F3A-B85B-51162CF49A0B}"/>
            </c:ext>
          </c:extLst>
        </c:ser>
        <c:ser>
          <c:idx val="3"/>
          <c:order val="3"/>
          <c:tx>
            <c:strRef>
              <c:f>Credit_2020Q3!$J$11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Credit_2020Q3!$J$11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{3004982F-C1B1-4515-9C99-63963FE547D4}</c15:txfldGUID>
                      <c15:f>Credit_2020Q3!$J$11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B2DC-4F3A-B85B-51162CF49A0B}"/>
                </c:ext>
              </c:extLst>
            </c:dLbl>
            <c:dLbl>
              <c:idx val="1"/>
              <c:layout/>
              <c:tx>
                <c:strRef>
                  <c:f>Credit_2020Q3!$M$11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{CC0F5066-77BC-45C7-B6B5-6213D61F75E4}</c15:txfldGUID>
                      <c15:f>Credit_2020Q3!$M$11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B2DC-4F3A-B85B-51162CF49A0B}"/>
                </c:ext>
              </c:extLst>
            </c:dLbl>
            <c:dLbl>
              <c:idx val="2"/>
              <c:layout/>
              <c:tx>
                <c:strRef>
                  <c:f>Credit_2020Q3!$P$11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{25C3C233-C45A-42AF-A6A6-DC0C1CF3EB3B}</c15:txfldGUID>
                      <c15:f>Credit_2020Q3!$P$11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B2DC-4F3A-B85B-51162CF49A0B}"/>
                </c:ext>
              </c:extLst>
            </c:dLbl>
            <c:dLbl>
              <c:idx val="3"/>
              <c:layout/>
              <c:tx>
                <c:strRef>
                  <c:f>Credit_2020Q3!$S$11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{C45561E7-44A9-4E89-BBCF-734391AD7886}</c15:txfldGUID>
                      <c15:f>Credit_2020Q3!$S$11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B2DC-4F3A-B85B-51162CF49A0B}"/>
                </c:ext>
              </c:extLst>
            </c:dLbl>
            <c:dLbl>
              <c:idx val="4"/>
              <c:tx>
                <c:strRef>
                  <c:f>Credit_2020Q3!$V$11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{E73E2A8D-B45E-42AA-B59A-86FA1792B636}</c15:txfldGUID>
                      <c15:f>Credit_2020Q3!$V$11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B2DC-4F3A-B85B-51162CF49A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(Credit_2020Q3!$J$5,Credit_2020Q3!$L$5,Credit_2020Q3!$O$5,Credit_2020Q3!$R$5,Credit_2020Q3!$U$5)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(Credit_2020Q3!$Z$11,Credit_2020Q3!$L$11,Credit_2020Q3!$O$11,Credit_2020Q3!$R$11,Credit_2020Q3!$U$11)</c:f>
              <c:numCache>
                <c:formatCode>General</c:formatCode>
                <c:ptCount val="4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2DC-4F3A-B85B-51162CF49A0B}"/>
            </c:ext>
          </c:extLst>
        </c:ser>
        <c:ser>
          <c:idx val="4"/>
          <c:order val="4"/>
          <c:tx>
            <c:strRef>
              <c:f>Credit_2020Q3!$J$12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layout/>
              <c:tx>
                <c:strRef>
                  <c:f>Credit_2020Q3!$J$12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{B531F656-142D-435C-B19D-86E1A7F34B00}</c15:txfldGUID>
                      <c15:f>Credit_2020Q3!$J$12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B2DC-4F3A-B85B-51162CF49A0B}"/>
                </c:ext>
              </c:extLst>
            </c:dLbl>
            <c:dLbl>
              <c:idx val="1"/>
              <c:layout/>
              <c:tx>
                <c:strRef>
                  <c:f>Credit_2020Q3!$M$12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{B22FEADD-DA35-47F6-A357-B1DEC432CE8B}</c15:txfldGUID>
                      <c15:f>Credit_2020Q3!$M$12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B2DC-4F3A-B85B-51162CF49A0B}"/>
                </c:ext>
              </c:extLst>
            </c:dLbl>
            <c:dLbl>
              <c:idx val="2"/>
              <c:layout/>
              <c:tx>
                <c:strRef>
                  <c:f>Credit_2020Q3!$P$12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{A04F852E-C0B8-4AD7-9AE3-DA639B0D68CE}</c15:txfldGUID>
                      <c15:f>Credit_2020Q3!$P$12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B2DC-4F3A-B85B-51162CF49A0B}"/>
                </c:ext>
              </c:extLst>
            </c:dLbl>
            <c:dLbl>
              <c:idx val="3"/>
              <c:layout/>
              <c:tx>
                <c:strRef>
                  <c:f>Credit_2020Q3!$S$12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{4E43037D-D470-49FB-9957-280E4A7ABE78}</c15:txfldGUID>
                      <c15:f>Credit_2020Q3!$S$12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B2DC-4F3A-B85B-51162CF49A0B}"/>
                </c:ext>
              </c:extLst>
            </c:dLbl>
            <c:dLbl>
              <c:idx val="4"/>
              <c:tx>
                <c:strRef>
                  <c:f>Credit_2020Q3!$V$12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{A9675BB4-461F-48E7-A1CB-FC2C0BDD0393}</c15:txfldGUID>
                      <c15:f>Credit_2020Q3!$V$12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B2DC-4F3A-B85B-51162CF49A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(Credit_2020Q3!$J$5,Credit_2020Q3!$L$5,Credit_2020Q3!$O$5,Credit_2020Q3!$R$5,Credit_2020Q3!$U$5)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(Credit_2020Q3!$Z$12,Credit_2020Q3!$L$12,Credit_2020Q3!$O$12,Credit_2020Q3!$R$12,Credit_2020Q3!$U$12)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2DC-4F3A-B85B-51162CF49A0B}"/>
            </c:ext>
          </c:extLst>
        </c:ser>
        <c:ser>
          <c:idx val="5"/>
          <c:order val="5"/>
          <c:tx>
            <c:strRef>
              <c:f>Credit_2020Q3!$J$13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Credit_2020Q3!$J$13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{92C5777F-04E6-4C05-8C02-632078C65242}</c15:txfldGUID>
                      <c15:f>Credit_2020Q3!$J$13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B2DC-4F3A-B85B-51162CF49A0B}"/>
                </c:ext>
              </c:extLst>
            </c:dLbl>
            <c:dLbl>
              <c:idx val="1"/>
              <c:layout/>
              <c:tx>
                <c:strRef>
                  <c:f>Credit_2020Q3!$M$13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{F39023A9-C37B-4589-B99F-89FB722B1B64}</c15:txfldGUID>
                      <c15:f>Credit_2020Q3!$M$13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B2DC-4F3A-B85B-51162CF49A0B}"/>
                </c:ext>
              </c:extLst>
            </c:dLbl>
            <c:dLbl>
              <c:idx val="2"/>
              <c:layout/>
              <c:tx>
                <c:strRef>
                  <c:f>Credit_2020Q3!$P$13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{6AC0765B-019D-457A-BEAE-75E25DE06E45}</c15:txfldGUID>
                      <c15:f>Credit_2020Q3!$P$13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B2DC-4F3A-B85B-51162CF49A0B}"/>
                </c:ext>
              </c:extLst>
            </c:dLbl>
            <c:dLbl>
              <c:idx val="3"/>
              <c:layout/>
              <c:tx>
                <c:strRef>
                  <c:f>Credit_2020Q3!$S$13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{2E466E32-A5F4-47EE-9DC2-87CB3970EBF7}</c15:txfldGUID>
                      <c15:f>Credit_2020Q3!$S$13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B2DC-4F3A-B85B-51162CF49A0B}"/>
                </c:ext>
              </c:extLst>
            </c:dLbl>
            <c:dLbl>
              <c:idx val="4"/>
              <c:tx>
                <c:strRef>
                  <c:f>Credit_2020Q3!$V$13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{1EB93191-5B03-4D52-85F7-7E72FE1A8A15}</c15:txfldGUID>
                      <c15:f>Credit_2020Q3!$V$13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B2DC-4F3A-B85B-51162CF49A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(Credit_2020Q3!$J$5,Credit_2020Q3!$L$5,Credit_2020Q3!$O$5,Credit_2020Q3!$R$5,Credit_2020Q3!$U$5)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(Credit_2020Q3!$Z$13,Credit_2020Q3!$L$13,Credit_2020Q3!$O$13,Credit_2020Q3!$R$13,Credit_2020Q3!$U$13)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2DC-4F3A-B85B-51162CF49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91F-4C4E-9BAB-287A631E9BE1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91F-4C4E-9BAB-287A631E9BE1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91F-4C4E-9BAB-287A631E9BE1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91F-4C4E-9BAB-287A631E9BE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991F-4C4E-9BAB-287A631E9BE1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991F-4C4E-9BAB-287A631E9BE1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91F-4C4E-9BAB-287A631E9BE1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991F-4C4E-9BAB-287A631E9B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Credit_2020Q2!$J$8:$J$13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Credit_2020Q2!$M$8:$M$13</c:f>
              <c:numCache>
                <c:formatCode>0%</c:formatCode>
                <c:ptCount val="6"/>
                <c:pt idx="0">
                  <c:v>4.4444444444444446E-2</c:v>
                </c:pt>
                <c:pt idx="1">
                  <c:v>0.26666666666666666</c:v>
                </c:pt>
                <c:pt idx="2">
                  <c:v>0.35555555555555557</c:v>
                </c:pt>
                <c:pt idx="3">
                  <c:v>0.22222222222222221</c:v>
                </c:pt>
                <c:pt idx="4">
                  <c:v>6.6666666666666666E-2</c:v>
                </c:pt>
                <c:pt idx="5">
                  <c:v>4.4444444444444446E-2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91F-4C4E-9BAB-287A631E9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Credit_2020Q2!$J$8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Credit_2020Q2!$J$8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{16E168DC-5495-4432-8C09-EB52334B9C59}</c15:txfldGUID>
                      <c15:f>Credit_2020Q2!$J$8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6308-4876-8ECB-F1BDDBCAD5C8}"/>
                </c:ext>
              </c:extLst>
            </c:dLbl>
            <c:dLbl>
              <c:idx val="1"/>
              <c:layout/>
              <c:tx>
                <c:strRef>
                  <c:f>Credit_2020Q2!$M$8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{95B0BF34-A396-4D7D-8E58-ABEF722F7F11}</c15:txfldGUID>
                      <c15:f>Credit_2020Q2!$M$8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6308-4876-8ECB-F1BDDBCAD5C8}"/>
                </c:ext>
              </c:extLst>
            </c:dLbl>
            <c:dLbl>
              <c:idx val="2"/>
              <c:layout/>
              <c:tx>
                <c:strRef>
                  <c:f>Credit_2020Q2!$P$8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{8BCE4D42-8E69-4950-9AC3-EB3E76D3F770}</c15:txfldGUID>
                      <c15:f>Credit_2020Q2!$P$8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6308-4876-8ECB-F1BDDBCAD5C8}"/>
                </c:ext>
              </c:extLst>
            </c:dLbl>
            <c:dLbl>
              <c:idx val="3"/>
              <c:layout/>
              <c:tx>
                <c:strRef>
                  <c:f>Credit_2020Q2!$S$8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{E1C03C7A-7ADC-46AF-998C-84E3D242CD94}</c15:txfldGUID>
                      <c15:f>Credit_2020Q2!$S$8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6308-4876-8ECB-F1BDDBCAD5C8}"/>
                </c:ext>
              </c:extLst>
            </c:dLbl>
            <c:dLbl>
              <c:idx val="4"/>
              <c:tx>
                <c:strRef>
                  <c:f>Credit_2020Q2!$V$8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{2939B1EC-C479-442F-A2EF-9590E2FFD306}</c15:txfldGUID>
                      <c15:f>Credit_2020Q2!$V$8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(Credit_2020Q2!$Z$8,Credit_2020Q2!$L$8,Credit_2020Q2!$O$8,Credit_2020Q2!$R$8,Credit_2020Q2!$U$8)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08-4876-8ECB-F1BDDBCAD5C8}"/>
            </c:ext>
          </c:extLst>
        </c:ser>
        <c:ser>
          <c:idx val="1"/>
          <c:order val="1"/>
          <c:tx>
            <c:strRef>
              <c:f>Credit_2020Q2!$J$9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Credit_2020Q2!$J$9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{987B8C16-3B95-44B1-93D9-8D738B2E8BF6}</c15:txfldGUID>
                      <c15:f>Credit_2020Q2!$J$9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6308-4876-8ECB-F1BDDBCAD5C8}"/>
                </c:ext>
              </c:extLst>
            </c:dLbl>
            <c:dLbl>
              <c:idx val="1"/>
              <c:layout/>
              <c:tx>
                <c:strRef>
                  <c:f>Credit_2020Q2!$M$9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{5C4235FD-2438-49FC-B1DF-1F932BAFACAE}</c15:txfldGUID>
                      <c15:f>Credit_2020Q2!$M$9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6308-4876-8ECB-F1BDDBCAD5C8}"/>
                </c:ext>
              </c:extLst>
            </c:dLbl>
            <c:dLbl>
              <c:idx val="2"/>
              <c:layout/>
              <c:tx>
                <c:strRef>
                  <c:f>Credit_2020Q2!$P$9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{440F2B8E-0B38-41DE-A2C9-2E77BB836D72}</c15:txfldGUID>
                      <c15:f>Credit_2020Q2!$P$9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6308-4876-8ECB-F1BDDBCAD5C8}"/>
                </c:ext>
              </c:extLst>
            </c:dLbl>
            <c:dLbl>
              <c:idx val="3"/>
              <c:layout/>
              <c:tx>
                <c:strRef>
                  <c:f>Credit_2020Q2!$S$9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{91A06C94-B24A-41E0-B62D-103075DF1BBC}</c15:txfldGUID>
                      <c15:f>Credit_2020Q2!$S$9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6308-4876-8ECB-F1BDDBCAD5C8}"/>
                </c:ext>
              </c:extLst>
            </c:dLbl>
            <c:dLbl>
              <c:idx val="4"/>
              <c:tx>
                <c:strRef>
                  <c:f>Credit_2020Q2!$V$9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{B54F4E65-896F-4AE1-A7E7-67CC217E0375}</c15:txfldGUID>
                      <c15:f>Credit_2020Q2!$V$9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(Credit_2020Q2!$Z$9,Credit_2020Q2!$L$9,Credit_2020Q2!$O$9,Credit_2020Q2!$R$9,Credit_2020Q2!$U$9)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308-4876-8ECB-F1BDDBCAD5C8}"/>
            </c:ext>
          </c:extLst>
        </c:ser>
        <c:ser>
          <c:idx val="2"/>
          <c:order val="2"/>
          <c:tx>
            <c:strRef>
              <c:f>Credit_2020Q2!$J$10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Credit_2020Q2!$J$10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{D3327CEB-E626-49FD-90F3-C5F91974162A}</c15:txfldGUID>
                      <c15:f>Credit_2020Q2!$J$10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6308-4876-8ECB-F1BDDBCAD5C8}"/>
                </c:ext>
              </c:extLst>
            </c:dLbl>
            <c:dLbl>
              <c:idx val="1"/>
              <c:layout/>
              <c:tx>
                <c:strRef>
                  <c:f>Credit_2020Q2!$M$10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{07219AB2-C4EA-4125-8BFB-177307946023}</c15:txfldGUID>
                      <c15:f>Credit_2020Q2!$M$10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6308-4876-8ECB-F1BDDBCAD5C8}"/>
                </c:ext>
              </c:extLst>
            </c:dLbl>
            <c:dLbl>
              <c:idx val="2"/>
              <c:layout/>
              <c:tx>
                <c:strRef>
                  <c:f>Credit_2020Q2!$P$10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{A21C093E-D10E-4B66-9A63-355FDD3C9A3E}</c15:txfldGUID>
                      <c15:f>Credit_2020Q2!$P$10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6308-4876-8ECB-F1BDDBCAD5C8}"/>
                </c:ext>
              </c:extLst>
            </c:dLbl>
            <c:dLbl>
              <c:idx val="3"/>
              <c:layout/>
              <c:tx>
                <c:strRef>
                  <c:f>Credit_2020Q2!$S$10</c:f>
                  <c:strCache>
                    <c:ptCount val="1"/>
                    <c:pt idx="0">
                      <c:v>60%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{1953FED7-EB28-4ED8-9F0F-CDD94F5DBBA7}</c15:txfldGUID>
                      <c15:f>Credit_2020Q2!$S$10</c15:f>
                      <c15:dlblFieldTableCache>
                        <c:ptCount val="1"/>
                        <c:pt idx="0">
                          <c:v>60%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6308-4876-8ECB-F1BDDBCAD5C8}"/>
                </c:ext>
              </c:extLst>
            </c:dLbl>
            <c:dLbl>
              <c:idx val="4"/>
              <c:tx>
                <c:strRef>
                  <c:f>Credit_2020Q2!$V$10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{301157A9-BCE9-4029-93AA-1033853BCA2E}</c15:txfldGUID>
                      <c15:f>Credit_2020Q2!$V$10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(Credit_2020Q2!$Z$10,Credit_2020Q2!$L$10,Credit_2020Q2!$O$10,Credit_2020Q2!$R$10,Credit_2020Q2!$U$10)</c:f>
              <c:numCache>
                <c:formatCode>General</c:formatCode>
                <c:ptCount val="4"/>
                <c:pt idx="0">
                  <c:v>1</c:v>
                </c:pt>
                <c:pt idx="1">
                  <c:v>16</c:v>
                </c:pt>
                <c:pt idx="2">
                  <c:v>10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308-4876-8ECB-F1BDDBCAD5C8}"/>
            </c:ext>
          </c:extLst>
        </c:ser>
        <c:ser>
          <c:idx val="3"/>
          <c:order val="3"/>
          <c:tx>
            <c:strRef>
              <c:f>Credit_2020Q2!$J$11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Credit_2020Q2!$J$11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{B10311E8-AC73-4CAC-B05D-F4398A795217}</c15:txfldGUID>
                      <c15:f>Credit_2020Q2!$J$11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6308-4876-8ECB-F1BDDBCAD5C8}"/>
                </c:ext>
              </c:extLst>
            </c:dLbl>
            <c:dLbl>
              <c:idx val="1"/>
              <c:layout/>
              <c:tx>
                <c:strRef>
                  <c:f>Credit_2020Q2!$M$11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{FBF75579-2A29-4AFA-AE89-B2A6F4677ADF}</c15:txfldGUID>
                      <c15:f>Credit_2020Q2!$M$11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6308-4876-8ECB-F1BDDBCAD5C8}"/>
                </c:ext>
              </c:extLst>
            </c:dLbl>
            <c:dLbl>
              <c:idx val="2"/>
              <c:layout/>
              <c:tx>
                <c:strRef>
                  <c:f>Credit_2020Q2!$P$11</c:f>
                  <c:strCache>
                    <c:ptCount val="1"/>
                    <c:pt idx="0">
                      <c:v>26%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{30320D46-A319-4D53-86A5-8F0D2E921422}</c15:txfldGUID>
                      <c15:f>Credit_2020Q2!$P$11</c15:f>
                      <c15:dlblFieldTableCache>
                        <c:ptCount val="1"/>
                        <c:pt idx="0">
                          <c:v>26%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6308-4876-8ECB-F1BDDBCAD5C8}"/>
                </c:ext>
              </c:extLst>
            </c:dLbl>
            <c:dLbl>
              <c:idx val="3"/>
              <c:layout/>
              <c:tx>
                <c:strRef>
                  <c:f>Credit_2020Q2!$S$11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{09C065E1-32ED-424D-971D-402C6D68354D}</c15:txfldGUID>
                      <c15:f>Credit_2020Q2!$S$11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6308-4876-8ECB-F1BDDBCAD5C8}"/>
                </c:ext>
              </c:extLst>
            </c:dLbl>
            <c:dLbl>
              <c:idx val="4"/>
              <c:tx>
                <c:strRef>
                  <c:f>Credit_2020Q2!$V$11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{C3DB168E-A88C-4EBC-B1B8-BF09A3B6C1C0}</c15:txfldGUID>
                      <c15:f>Credit_2020Q2!$V$11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(Credit_2020Q2!$Z$11,Credit_2020Q2!$L$11,Credit_2020Q2!$O$11,Credit_2020Q2!$R$11,Credit_2020Q2!$U$11)</c:f>
              <c:numCache>
                <c:formatCode>General</c:formatCode>
                <c:ptCount val="4"/>
                <c:pt idx="0">
                  <c:v>1</c:v>
                </c:pt>
                <c:pt idx="1">
                  <c:v>10</c:v>
                </c:pt>
                <c:pt idx="2">
                  <c:v>9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308-4876-8ECB-F1BDDBCAD5C8}"/>
            </c:ext>
          </c:extLst>
        </c:ser>
        <c:ser>
          <c:idx val="4"/>
          <c:order val="4"/>
          <c:tx>
            <c:strRef>
              <c:f>Credit_2020Q2!$J$12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layout/>
              <c:tx>
                <c:strRef>
                  <c:f>Credit_2020Q2!$J$12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{6529C7B7-73B1-43B5-B5B6-26B58937411D}</c15:txfldGUID>
                      <c15:f>Credit_2020Q2!$J$12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6308-4876-8ECB-F1BDDBCAD5C8}"/>
                </c:ext>
              </c:extLst>
            </c:dLbl>
            <c:dLbl>
              <c:idx val="1"/>
              <c:layout/>
              <c:tx>
                <c:strRef>
                  <c:f>Credit_2020Q2!$M$12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{60187CB8-CC8D-4BD7-8A69-9BFD8F79D437}</c15:txfldGUID>
                      <c15:f>Credit_2020Q2!$M$12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6308-4876-8ECB-F1BDDBCAD5C8}"/>
                </c:ext>
              </c:extLst>
            </c:dLbl>
            <c:dLbl>
              <c:idx val="2"/>
              <c:layout/>
              <c:tx>
                <c:strRef>
                  <c:f>Credit_2020Q2!$P$12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{B59D41CF-67D8-4ED8-A662-5FABEFC69626}</c15:txfldGUID>
                      <c15:f>Credit_2020Q2!$P$12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6308-4876-8ECB-F1BDDBCAD5C8}"/>
                </c:ext>
              </c:extLst>
            </c:dLbl>
            <c:dLbl>
              <c:idx val="3"/>
              <c:layout/>
              <c:tx>
                <c:strRef>
                  <c:f>Credit_2020Q2!$S$12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{E7E8542C-5708-4433-B3D4-53F624B2EB8A}</c15:txfldGUID>
                      <c15:f>Credit_2020Q2!$S$12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6308-4876-8ECB-F1BDDBCAD5C8}"/>
                </c:ext>
              </c:extLst>
            </c:dLbl>
            <c:dLbl>
              <c:idx val="4"/>
              <c:tx>
                <c:strRef>
                  <c:f>Credit_2020Q2!$V$12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{D3FF7FA2-7B3C-4368-B7E9-492270FCFFA0}</c15:txfldGUID>
                      <c15:f>Credit_2020Q2!$V$12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(Credit_2020Q2!$Z$12,Credit_2020Q2!$L$12,Credit_2020Q2!$O$12,Credit_2020Q2!$R$12,Credit_2020Q2!$U$12)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308-4876-8ECB-F1BDDBCAD5C8}"/>
            </c:ext>
          </c:extLst>
        </c:ser>
        <c:ser>
          <c:idx val="5"/>
          <c:order val="5"/>
          <c:tx>
            <c:strRef>
              <c:f>Credit_2020Q2!$J$13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Credit_2020Q2!$J$13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{0534A848-215B-4911-99EB-F2616B95D440}</c15:txfldGUID>
                      <c15:f>Credit_2020Q2!$J$13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6308-4876-8ECB-F1BDDBCAD5C8}"/>
                </c:ext>
              </c:extLst>
            </c:dLbl>
            <c:dLbl>
              <c:idx val="1"/>
              <c:layout/>
              <c:tx>
                <c:strRef>
                  <c:f>Credit_2020Q2!$M$13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{015671C3-D241-480E-85D4-95BAA7B3EF42}</c15:txfldGUID>
                      <c15:f>Credit_2020Q2!$M$13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6308-4876-8ECB-F1BDDBCAD5C8}"/>
                </c:ext>
              </c:extLst>
            </c:dLbl>
            <c:dLbl>
              <c:idx val="2"/>
              <c:layout/>
              <c:tx>
                <c:strRef>
                  <c:f>Credit_2020Q2!$P$13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{8E716D9C-F06C-459B-8BE9-252231BA7F71}</c15:txfldGUID>
                      <c15:f>Credit_2020Q2!$P$13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6308-4876-8ECB-F1BDDBCAD5C8}"/>
                </c:ext>
              </c:extLst>
            </c:dLbl>
            <c:dLbl>
              <c:idx val="3"/>
              <c:layout/>
              <c:tx>
                <c:strRef>
                  <c:f>Credit_2020Q2!$S$13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{55180540-7D50-44E9-AF0D-42069780A309}</c15:txfldGUID>
                      <c15:f>Credit_2020Q2!$S$13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6308-4876-8ECB-F1BDDBCAD5C8}"/>
                </c:ext>
              </c:extLst>
            </c:dLbl>
            <c:dLbl>
              <c:idx val="4"/>
              <c:tx>
                <c:strRef>
                  <c:f>Credit_2020Q2!$V$13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{2269FDE2-D4A1-403F-A374-482ADD52605A}</c15:txfldGUID>
                      <c15:f>Credit_2020Q2!$V$13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(Credit_2020Q2!$Z$13,Credit_2020Q2!$L$13,Credit_2020Q2!$O$13,Credit_2020Q2!$R$13,Credit_2020Q2!$U$13)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308-4876-8ECB-F1BDDBCAD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006744839781584E-2"/>
          <c:y val="4.6009056560237668E-2"/>
          <c:w val="0.93959793125913071"/>
          <c:h val="0.802985780623576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'II. Upgrades &amp; Downgrades'!$A$29</c:f>
              <c:strCache>
                <c:ptCount val="1"/>
                <c:pt idx="0">
                  <c:v>Fitch (upgrade)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strRef>
              <c:f>'II. Upgrades &amp; Downgrades'!$B$28:$CK$28</c:f>
              <c:strCache>
                <c:ptCount val="88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  <c:pt idx="77">
                  <c:v>2020Q2</c:v>
                </c:pt>
                <c:pt idx="78">
                  <c:v>2020Q3</c:v>
                </c:pt>
                <c:pt idx="79">
                  <c:v>2020Q4</c:v>
                </c:pt>
                <c:pt idx="80">
                  <c:v>2021Q1</c:v>
                </c:pt>
                <c:pt idx="81">
                  <c:v>2021Q2</c:v>
                </c:pt>
                <c:pt idx="82">
                  <c:v>2021Q3</c:v>
                </c:pt>
                <c:pt idx="83">
                  <c:v>2021Q4</c:v>
                </c:pt>
                <c:pt idx="84">
                  <c:v>2022Q1</c:v>
                </c:pt>
                <c:pt idx="85">
                  <c:v>2022Q2</c:v>
                </c:pt>
                <c:pt idx="86">
                  <c:v>2022Q3</c:v>
                </c:pt>
                <c:pt idx="87">
                  <c:v>2022Q4</c:v>
                </c:pt>
              </c:strCache>
            </c:strRef>
          </c:cat>
          <c:val>
            <c:numRef>
              <c:f>'II. Upgrades &amp; Downgrades'!$B$29:$CK$29</c:f>
              <c:numCache>
                <c:formatCode>General</c:formatCode>
                <c:ptCount val="88"/>
                <c:pt idx="0">
                  <c:v>3</c:v>
                </c:pt>
                <c:pt idx="1">
                  <c:v>3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12</c:v>
                </c:pt>
                <c:pt idx="10">
                  <c:v>5</c:v>
                </c:pt>
                <c:pt idx="11">
                  <c:v>0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7</c:v>
                </c:pt>
                <c:pt idx="16">
                  <c:v>4</c:v>
                </c:pt>
                <c:pt idx="17">
                  <c:v>1</c:v>
                </c:pt>
                <c:pt idx="18">
                  <c:v>11</c:v>
                </c:pt>
                <c:pt idx="19">
                  <c:v>2</c:v>
                </c:pt>
                <c:pt idx="20">
                  <c:v>6</c:v>
                </c:pt>
                <c:pt idx="21">
                  <c:v>5</c:v>
                </c:pt>
                <c:pt idx="22">
                  <c:v>10</c:v>
                </c:pt>
                <c:pt idx="23">
                  <c:v>4</c:v>
                </c:pt>
                <c:pt idx="24">
                  <c:v>14</c:v>
                </c:pt>
                <c:pt idx="25">
                  <c:v>3</c:v>
                </c:pt>
                <c:pt idx="26">
                  <c:v>4</c:v>
                </c:pt>
                <c:pt idx="27">
                  <c:v>7</c:v>
                </c:pt>
                <c:pt idx="28">
                  <c:v>1</c:v>
                </c:pt>
                <c:pt idx="29">
                  <c:v>0</c:v>
                </c:pt>
                <c:pt idx="30">
                  <c:v>3</c:v>
                </c:pt>
                <c:pt idx="31">
                  <c:v>4</c:v>
                </c:pt>
                <c:pt idx="32">
                  <c:v>0</c:v>
                </c:pt>
                <c:pt idx="33">
                  <c:v>3</c:v>
                </c:pt>
                <c:pt idx="34">
                  <c:v>1</c:v>
                </c:pt>
                <c:pt idx="35">
                  <c:v>2</c:v>
                </c:pt>
                <c:pt idx="36">
                  <c:v>1</c:v>
                </c:pt>
                <c:pt idx="37">
                  <c:v>4</c:v>
                </c:pt>
                <c:pt idx="38">
                  <c:v>2</c:v>
                </c:pt>
                <c:pt idx="39">
                  <c:v>0</c:v>
                </c:pt>
                <c:pt idx="40">
                  <c:v>3</c:v>
                </c:pt>
                <c:pt idx="41">
                  <c:v>8</c:v>
                </c:pt>
                <c:pt idx="42">
                  <c:v>2</c:v>
                </c:pt>
                <c:pt idx="43">
                  <c:v>1</c:v>
                </c:pt>
                <c:pt idx="44">
                  <c:v>2</c:v>
                </c:pt>
                <c:pt idx="45">
                  <c:v>8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6</c:v>
                </c:pt>
                <c:pt idx="50">
                  <c:v>0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1</c:v>
                </c:pt>
                <c:pt idx="55">
                  <c:v>3</c:v>
                </c:pt>
                <c:pt idx="56">
                  <c:v>0</c:v>
                </c:pt>
                <c:pt idx="57">
                  <c:v>4</c:v>
                </c:pt>
                <c:pt idx="58">
                  <c:v>0</c:v>
                </c:pt>
                <c:pt idx="59">
                  <c:v>2</c:v>
                </c:pt>
                <c:pt idx="60">
                  <c:v>5</c:v>
                </c:pt>
                <c:pt idx="61">
                  <c:v>4</c:v>
                </c:pt>
                <c:pt idx="62">
                  <c:v>3</c:v>
                </c:pt>
                <c:pt idx="63">
                  <c:v>1</c:v>
                </c:pt>
                <c:pt idx="64">
                  <c:v>2</c:v>
                </c:pt>
                <c:pt idx="65">
                  <c:v>1</c:v>
                </c:pt>
                <c:pt idx="66">
                  <c:v>5</c:v>
                </c:pt>
                <c:pt idx="67">
                  <c:v>3</c:v>
                </c:pt>
                <c:pt idx="68">
                  <c:v>1</c:v>
                </c:pt>
                <c:pt idx="69">
                  <c:v>2</c:v>
                </c:pt>
                <c:pt idx="70">
                  <c:v>1</c:v>
                </c:pt>
                <c:pt idx="71">
                  <c:v>8</c:v>
                </c:pt>
                <c:pt idx="72">
                  <c:v>3</c:v>
                </c:pt>
                <c:pt idx="73">
                  <c:v>7</c:v>
                </c:pt>
                <c:pt idx="74">
                  <c:v>3</c:v>
                </c:pt>
                <c:pt idx="75">
                  <c:v>13</c:v>
                </c:pt>
                <c:pt idx="76">
                  <c:v>0</c:v>
                </c:pt>
                <c:pt idx="77">
                  <c:v>4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1</c:v>
                </c:pt>
                <c:pt idx="8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6-4535-A766-8DCC143FE895}"/>
            </c:ext>
          </c:extLst>
        </c:ser>
        <c:ser>
          <c:idx val="1"/>
          <c:order val="1"/>
          <c:tx>
            <c:strRef>
              <c:f>'II. Upgrades &amp; Downgrades'!$A$30</c:f>
              <c:strCache>
                <c:ptCount val="1"/>
                <c:pt idx="0">
                  <c:v>Fitch (downgrade)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strRef>
              <c:f>'II. Upgrades &amp; Downgrades'!$B$28:$CK$28</c:f>
              <c:strCache>
                <c:ptCount val="88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  <c:pt idx="77">
                  <c:v>2020Q2</c:v>
                </c:pt>
                <c:pt idx="78">
                  <c:v>2020Q3</c:v>
                </c:pt>
                <c:pt idx="79">
                  <c:v>2020Q4</c:v>
                </c:pt>
                <c:pt idx="80">
                  <c:v>2021Q1</c:v>
                </c:pt>
                <c:pt idx="81">
                  <c:v>2021Q2</c:v>
                </c:pt>
                <c:pt idx="82">
                  <c:v>2021Q3</c:v>
                </c:pt>
                <c:pt idx="83">
                  <c:v>2021Q4</c:v>
                </c:pt>
                <c:pt idx="84">
                  <c:v>2022Q1</c:v>
                </c:pt>
                <c:pt idx="85">
                  <c:v>2022Q2</c:v>
                </c:pt>
                <c:pt idx="86">
                  <c:v>2022Q3</c:v>
                </c:pt>
                <c:pt idx="87">
                  <c:v>2022Q4</c:v>
                </c:pt>
              </c:strCache>
            </c:strRef>
          </c:cat>
          <c:val>
            <c:numRef>
              <c:f>'II. Upgrades &amp; Downgrades'!$B$30:$CK$30</c:f>
              <c:numCache>
                <c:formatCode>General</c:formatCode>
                <c:ptCount val="88"/>
                <c:pt idx="0">
                  <c:v>-14</c:v>
                </c:pt>
                <c:pt idx="1">
                  <c:v>-6</c:v>
                </c:pt>
                <c:pt idx="2">
                  <c:v>-1</c:v>
                </c:pt>
                <c:pt idx="3">
                  <c:v>-7</c:v>
                </c:pt>
                <c:pt idx="4">
                  <c:v>-3</c:v>
                </c:pt>
                <c:pt idx="5">
                  <c:v>-14</c:v>
                </c:pt>
                <c:pt idx="6">
                  <c:v>-32</c:v>
                </c:pt>
                <c:pt idx="7">
                  <c:v>-6</c:v>
                </c:pt>
                <c:pt idx="8">
                  <c:v>-19</c:v>
                </c:pt>
                <c:pt idx="9">
                  <c:v>-10</c:v>
                </c:pt>
                <c:pt idx="10">
                  <c:v>-9</c:v>
                </c:pt>
                <c:pt idx="11">
                  <c:v>-6</c:v>
                </c:pt>
                <c:pt idx="12">
                  <c:v>-2</c:v>
                </c:pt>
                <c:pt idx="13">
                  <c:v>-9</c:v>
                </c:pt>
                <c:pt idx="14">
                  <c:v>-5</c:v>
                </c:pt>
                <c:pt idx="15">
                  <c:v>-2</c:v>
                </c:pt>
                <c:pt idx="16">
                  <c:v>-2</c:v>
                </c:pt>
                <c:pt idx="17">
                  <c:v>-1</c:v>
                </c:pt>
                <c:pt idx="18">
                  <c:v>-1</c:v>
                </c:pt>
                <c:pt idx="19">
                  <c:v>0</c:v>
                </c:pt>
                <c:pt idx="20">
                  <c:v>-3</c:v>
                </c:pt>
                <c:pt idx="21">
                  <c:v>-2</c:v>
                </c:pt>
                <c:pt idx="22">
                  <c:v>-1</c:v>
                </c:pt>
                <c:pt idx="23">
                  <c:v>0</c:v>
                </c:pt>
                <c:pt idx="24">
                  <c:v>-4</c:v>
                </c:pt>
                <c:pt idx="25">
                  <c:v>-6</c:v>
                </c:pt>
                <c:pt idx="26">
                  <c:v>-1</c:v>
                </c:pt>
                <c:pt idx="27">
                  <c:v>-2</c:v>
                </c:pt>
                <c:pt idx="28">
                  <c:v>-8</c:v>
                </c:pt>
                <c:pt idx="29">
                  <c:v>0</c:v>
                </c:pt>
                <c:pt idx="30">
                  <c:v>-1</c:v>
                </c:pt>
                <c:pt idx="31">
                  <c:v>0</c:v>
                </c:pt>
                <c:pt idx="32">
                  <c:v>-3</c:v>
                </c:pt>
                <c:pt idx="33">
                  <c:v>-2</c:v>
                </c:pt>
                <c:pt idx="34">
                  <c:v>-3</c:v>
                </c:pt>
                <c:pt idx="35">
                  <c:v>0</c:v>
                </c:pt>
                <c:pt idx="36">
                  <c:v>-2</c:v>
                </c:pt>
                <c:pt idx="37">
                  <c:v>-7</c:v>
                </c:pt>
                <c:pt idx="38">
                  <c:v>-5</c:v>
                </c:pt>
                <c:pt idx="39">
                  <c:v>-3</c:v>
                </c:pt>
                <c:pt idx="40">
                  <c:v>0</c:v>
                </c:pt>
                <c:pt idx="41">
                  <c:v>-6</c:v>
                </c:pt>
                <c:pt idx="42">
                  <c:v>-1</c:v>
                </c:pt>
                <c:pt idx="43">
                  <c:v>-4</c:v>
                </c:pt>
                <c:pt idx="44">
                  <c:v>-3</c:v>
                </c:pt>
                <c:pt idx="45">
                  <c:v>-5</c:v>
                </c:pt>
                <c:pt idx="46">
                  <c:v>-1</c:v>
                </c:pt>
                <c:pt idx="47">
                  <c:v>-4</c:v>
                </c:pt>
                <c:pt idx="48">
                  <c:v>-4</c:v>
                </c:pt>
                <c:pt idx="49">
                  <c:v>0</c:v>
                </c:pt>
                <c:pt idx="50">
                  <c:v>-8</c:v>
                </c:pt>
                <c:pt idx="51">
                  <c:v>-1</c:v>
                </c:pt>
                <c:pt idx="52">
                  <c:v>0</c:v>
                </c:pt>
                <c:pt idx="53">
                  <c:v>-2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-5</c:v>
                </c:pt>
                <c:pt idx="58">
                  <c:v>0</c:v>
                </c:pt>
                <c:pt idx="59">
                  <c:v>0</c:v>
                </c:pt>
                <c:pt idx="60">
                  <c:v>-1</c:v>
                </c:pt>
                <c:pt idx="61">
                  <c:v>-2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-4</c:v>
                </c:pt>
                <c:pt idx="67">
                  <c:v>0</c:v>
                </c:pt>
                <c:pt idx="68">
                  <c:v>-5</c:v>
                </c:pt>
                <c:pt idx="69">
                  <c:v>-3</c:v>
                </c:pt>
                <c:pt idx="70">
                  <c:v>-11</c:v>
                </c:pt>
                <c:pt idx="71">
                  <c:v>-2</c:v>
                </c:pt>
                <c:pt idx="72">
                  <c:v>-7</c:v>
                </c:pt>
                <c:pt idx="73">
                  <c:v>0</c:v>
                </c:pt>
                <c:pt idx="74">
                  <c:v>0</c:v>
                </c:pt>
                <c:pt idx="75">
                  <c:v>-3</c:v>
                </c:pt>
                <c:pt idx="76">
                  <c:v>-1</c:v>
                </c:pt>
                <c:pt idx="77">
                  <c:v>-2</c:v>
                </c:pt>
                <c:pt idx="78">
                  <c:v>0</c:v>
                </c:pt>
                <c:pt idx="79">
                  <c:v>-16</c:v>
                </c:pt>
                <c:pt idx="80">
                  <c:v>0</c:v>
                </c:pt>
                <c:pt idx="81">
                  <c:v>-1</c:v>
                </c:pt>
                <c:pt idx="82">
                  <c:v>0</c:v>
                </c:pt>
                <c:pt idx="83">
                  <c:v>-3</c:v>
                </c:pt>
                <c:pt idx="84">
                  <c:v>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26-4535-A766-8DCC143FE895}"/>
            </c:ext>
          </c:extLst>
        </c:ser>
        <c:ser>
          <c:idx val="2"/>
          <c:order val="2"/>
          <c:tx>
            <c:strRef>
              <c:f>'II. Upgrades &amp; Downgrades'!$A$31</c:f>
              <c:strCache>
                <c:ptCount val="1"/>
                <c:pt idx="0">
                  <c:v>Moody's (upgrade)</c:v>
                </c:pt>
              </c:strCache>
            </c:strRef>
          </c:tx>
          <c:spPr>
            <a:solidFill>
              <a:srgbClr val="5F5F5F"/>
            </a:solidFill>
            <a:ln w="25400">
              <a:noFill/>
            </a:ln>
          </c:spPr>
          <c:invertIfNegative val="0"/>
          <c:cat>
            <c:strRef>
              <c:f>'II. Upgrades &amp; Downgrades'!$B$28:$CK$28</c:f>
              <c:strCache>
                <c:ptCount val="88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  <c:pt idx="77">
                  <c:v>2020Q2</c:v>
                </c:pt>
                <c:pt idx="78">
                  <c:v>2020Q3</c:v>
                </c:pt>
                <c:pt idx="79">
                  <c:v>2020Q4</c:v>
                </c:pt>
                <c:pt idx="80">
                  <c:v>2021Q1</c:v>
                </c:pt>
                <c:pt idx="81">
                  <c:v>2021Q2</c:v>
                </c:pt>
                <c:pt idx="82">
                  <c:v>2021Q3</c:v>
                </c:pt>
                <c:pt idx="83">
                  <c:v>2021Q4</c:v>
                </c:pt>
                <c:pt idx="84">
                  <c:v>2022Q1</c:v>
                </c:pt>
                <c:pt idx="85">
                  <c:v>2022Q2</c:v>
                </c:pt>
                <c:pt idx="86">
                  <c:v>2022Q3</c:v>
                </c:pt>
                <c:pt idx="87">
                  <c:v>2022Q4</c:v>
                </c:pt>
              </c:strCache>
            </c:strRef>
          </c:cat>
          <c:val>
            <c:numRef>
              <c:f>'II. Upgrades &amp; Downgrades'!$B$31:$CK$31</c:f>
              <c:numCache>
                <c:formatCode>General</c:formatCode>
                <c:ptCount val="88"/>
                <c:pt idx="0">
                  <c:v>14</c:v>
                </c:pt>
                <c:pt idx="1">
                  <c:v>4</c:v>
                </c:pt>
                <c:pt idx="2">
                  <c:v>0</c:v>
                </c:pt>
                <c:pt idx="3">
                  <c:v>9</c:v>
                </c:pt>
                <c:pt idx="4">
                  <c:v>3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8</c:v>
                </c:pt>
                <c:pt idx="12">
                  <c:v>3</c:v>
                </c:pt>
                <c:pt idx="13">
                  <c:v>4</c:v>
                </c:pt>
                <c:pt idx="14">
                  <c:v>9</c:v>
                </c:pt>
                <c:pt idx="15">
                  <c:v>4</c:v>
                </c:pt>
                <c:pt idx="16">
                  <c:v>12</c:v>
                </c:pt>
                <c:pt idx="17">
                  <c:v>11</c:v>
                </c:pt>
                <c:pt idx="18">
                  <c:v>8</c:v>
                </c:pt>
                <c:pt idx="19">
                  <c:v>0</c:v>
                </c:pt>
                <c:pt idx="20">
                  <c:v>5</c:v>
                </c:pt>
                <c:pt idx="21">
                  <c:v>12</c:v>
                </c:pt>
                <c:pt idx="22">
                  <c:v>3</c:v>
                </c:pt>
                <c:pt idx="23">
                  <c:v>2</c:v>
                </c:pt>
                <c:pt idx="24">
                  <c:v>1</c:v>
                </c:pt>
                <c:pt idx="25">
                  <c:v>4</c:v>
                </c:pt>
                <c:pt idx="26">
                  <c:v>4</c:v>
                </c:pt>
                <c:pt idx="27">
                  <c:v>10</c:v>
                </c:pt>
                <c:pt idx="28">
                  <c:v>1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2</c:v>
                </c:pt>
                <c:pt idx="34">
                  <c:v>3</c:v>
                </c:pt>
                <c:pt idx="35">
                  <c:v>0</c:v>
                </c:pt>
                <c:pt idx="36">
                  <c:v>0</c:v>
                </c:pt>
                <c:pt idx="37">
                  <c:v>2</c:v>
                </c:pt>
                <c:pt idx="38">
                  <c:v>4</c:v>
                </c:pt>
                <c:pt idx="39">
                  <c:v>1</c:v>
                </c:pt>
                <c:pt idx="40">
                  <c:v>3</c:v>
                </c:pt>
                <c:pt idx="41">
                  <c:v>4</c:v>
                </c:pt>
                <c:pt idx="42">
                  <c:v>0</c:v>
                </c:pt>
                <c:pt idx="43">
                  <c:v>0</c:v>
                </c:pt>
                <c:pt idx="44">
                  <c:v>5</c:v>
                </c:pt>
                <c:pt idx="45">
                  <c:v>9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4</c:v>
                </c:pt>
                <c:pt idx="50">
                  <c:v>8</c:v>
                </c:pt>
                <c:pt idx="51">
                  <c:v>0</c:v>
                </c:pt>
                <c:pt idx="52">
                  <c:v>78</c:v>
                </c:pt>
                <c:pt idx="53">
                  <c:v>2</c:v>
                </c:pt>
                <c:pt idx="54">
                  <c:v>5</c:v>
                </c:pt>
                <c:pt idx="55">
                  <c:v>0</c:v>
                </c:pt>
                <c:pt idx="56">
                  <c:v>2</c:v>
                </c:pt>
                <c:pt idx="57">
                  <c:v>4</c:v>
                </c:pt>
                <c:pt idx="58">
                  <c:v>1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1</c:v>
                </c:pt>
                <c:pt idx="63">
                  <c:v>0</c:v>
                </c:pt>
                <c:pt idx="64">
                  <c:v>4</c:v>
                </c:pt>
                <c:pt idx="65">
                  <c:v>3</c:v>
                </c:pt>
                <c:pt idx="66">
                  <c:v>3</c:v>
                </c:pt>
                <c:pt idx="67">
                  <c:v>0</c:v>
                </c:pt>
                <c:pt idx="68">
                  <c:v>0</c:v>
                </c:pt>
                <c:pt idx="69">
                  <c:v>2</c:v>
                </c:pt>
                <c:pt idx="70">
                  <c:v>0</c:v>
                </c:pt>
                <c:pt idx="71">
                  <c:v>1</c:v>
                </c:pt>
                <c:pt idx="72">
                  <c:v>2</c:v>
                </c:pt>
                <c:pt idx="73">
                  <c:v>2</c:v>
                </c:pt>
                <c:pt idx="74">
                  <c:v>5</c:v>
                </c:pt>
                <c:pt idx="75">
                  <c:v>0</c:v>
                </c:pt>
                <c:pt idx="76">
                  <c:v>1</c:v>
                </c:pt>
                <c:pt idx="77">
                  <c:v>1</c:v>
                </c:pt>
                <c:pt idx="78">
                  <c:v>2</c:v>
                </c:pt>
                <c:pt idx="79">
                  <c:v>1</c:v>
                </c:pt>
                <c:pt idx="80">
                  <c:v>2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26-4535-A766-8DCC143FE895}"/>
            </c:ext>
          </c:extLst>
        </c:ser>
        <c:ser>
          <c:idx val="3"/>
          <c:order val="3"/>
          <c:tx>
            <c:strRef>
              <c:f>'II. Upgrades &amp; Downgrades'!$A$32</c:f>
              <c:strCache>
                <c:ptCount val="1"/>
                <c:pt idx="0">
                  <c:v>Moody's (downgrade)</c:v>
                </c:pt>
              </c:strCache>
            </c:strRef>
          </c:tx>
          <c:spPr>
            <a:solidFill>
              <a:srgbClr val="969696"/>
            </a:solidFill>
            <a:ln w="25400">
              <a:noFill/>
            </a:ln>
          </c:spPr>
          <c:invertIfNegative val="0"/>
          <c:cat>
            <c:strRef>
              <c:f>'II. Upgrades &amp; Downgrades'!$B$28:$CK$28</c:f>
              <c:strCache>
                <c:ptCount val="88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  <c:pt idx="77">
                  <c:v>2020Q2</c:v>
                </c:pt>
                <c:pt idx="78">
                  <c:v>2020Q3</c:v>
                </c:pt>
                <c:pt idx="79">
                  <c:v>2020Q4</c:v>
                </c:pt>
                <c:pt idx="80">
                  <c:v>2021Q1</c:v>
                </c:pt>
                <c:pt idx="81">
                  <c:v>2021Q2</c:v>
                </c:pt>
                <c:pt idx="82">
                  <c:v>2021Q3</c:v>
                </c:pt>
                <c:pt idx="83">
                  <c:v>2021Q4</c:v>
                </c:pt>
                <c:pt idx="84">
                  <c:v>2022Q1</c:v>
                </c:pt>
                <c:pt idx="85">
                  <c:v>2022Q2</c:v>
                </c:pt>
                <c:pt idx="86">
                  <c:v>2022Q3</c:v>
                </c:pt>
                <c:pt idx="87">
                  <c:v>2022Q4</c:v>
                </c:pt>
              </c:strCache>
            </c:strRef>
          </c:cat>
          <c:val>
            <c:numRef>
              <c:f>'II. Upgrades &amp; Downgrades'!$B$32:$CG$32</c:f>
              <c:numCache>
                <c:formatCode>General</c:formatCode>
                <c:ptCount val="84"/>
                <c:pt idx="0">
                  <c:v>-21</c:v>
                </c:pt>
                <c:pt idx="1">
                  <c:v>-8</c:v>
                </c:pt>
                <c:pt idx="2">
                  <c:v>0</c:v>
                </c:pt>
                <c:pt idx="3">
                  <c:v>-12</c:v>
                </c:pt>
                <c:pt idx="4">
                  <c:v>-7</c:v>
                </c:pt>
                <c:pt idx="5">
                  <c:v>-20</c:v>
                </c:pt>
                <c:pt idx="6">
                  <c:v>-27</c:v>
                </c:pt>
                <c:pt idx="7">
                  <c:v>-59</c:v>
                </c:pt>
                <c:pt idx="8">
                  <c:v>-25</c:v>
                </c:pt>
                <c:pt idx="9">
                  <c:v>-21</c:v>
                </c:pt>
                <c:pt idx="10">
                  <c:v>-11</c:v>
                </c:pt>
                <c:pt idx="11">
                  <c:v>-11</c:v>
                </c:pt>
                <c:pt idx="12">
                  <c:v>-11</c:v>
                </c:pt>
                <c:pt idx="13">
                  <c:v>-6</c:v>
                </c:pt>
                <c:pt idx="14">
                  <c:v>-3</c:v>
                </c:pt>
                <c:pt idx="15">
                  <c:v>-2</c:v>
                </c:pt>
                <c:pt idx="16">
                  <c:v>-6</c:v>
                </c:pt>
                <c:pt idx="17">
                  <c:v>0</c:v>
                </c:pt>
                <c:pt idx="18">
                  <c:v>-3</c:v>
                </c:pt>
                <c:pt idx="19">
                  <c:v>-6</c:v>
                </c:pt>
                <c:pt idx="20">
                  <c:v>-2</c:v>
                </c:pt>
                <c:pt idx="21">
                  <c:v>-4</c:v>
                </c:pt>
                <c:pt idx="22">
                  <c:v>-11</c:v>
                </c:pt>
                <c:pt idx="23">
                  <c:v>0</c:v>
                </c:pt>
                <c:pt idx="24">
                  <c:v>-9</c:v>
                </c:pt>
                <c:pt idx="25">
                  <c:v>-1</c:v>
                </c:pt>
                <c:pt idx="26">
                  <c:v>0</c:v>
                </c:pt>
                <c:pt idx="27">
                  <c:v>-3</c:v>
                </c:pt>
                <c:pt idx="28">
                  <c:v>0</c:v>
                </c:pt>
                <c:pt idx="29">
                  <c:v>-2</c:v>
                </c:pt>
                <c:pt idx="30">
                  <c:v>-1</c:v>
                </c:pt>
                <c:pt idx="31">
                  <c:v>0</c:v>
                </c:pt>
                <c:pt idx="32">
                  <c:v>-2</c:v>
                </c:pt>
                <c:pt idx="33">
                  <c:v>-9</c:v>
                </c:pt>
                <c:pt idx="34">
                  <c:v>-5</c:v>
                </c:pt>
                <c:pt idx="35">
                  <c:v>-2</c:v>
                </c:pt>
                <c:pt idx="36">
                  <c:v>-2</c:v>
                </c:pt>
                <c:pt idx="37">
                  <c:v>-5</c:v>
                </c:pt>
                <c:pt idx="38">
                  <c:v>-3</c:v>
                </c:pt>
                <c:pt idx="39">
                  <c:v>-3</c:v>
                </c:pt>
                <c:pt idx="40">
                  <c:v>0</c:v>
                </c:pt>
                <c:pt idx="41">
                  <c:v>0</c:v>
                </c:pt>
                <c:pt idx="42">
                  <c:v>-3</c:v>
                </c:pt>
                <c:pt idx="43">
                  <c:v>-1</c:v>
                </c:pt>
                <c:pt idx="44">
                  <c:v>-2</c:v>
                </c:pt>
                <c:pt idx="45">
                  <c:v>-2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-2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-1</c:v>
                </c:pt>
                <c:pt idx="58">
                  <c:v>-1</c:v>
                </c:pt>
                <c:pt idx="59">
                  <c:v>-1</c:v>
                </c:pt>
                <c:pt idx="60">
                  <c:v>-2</c:v>
                </c:pt>
                <c:pt idx="61">
                  <c:v>0</c:v>
                </c:pt>
                <c:pt idx="62">
                  <c:v>-5</c:v>
                </c:pt>
                <c:pt idx="63">
                  <c:v>-1</c:v>
                </c:pt>
                <c:pt idx="64">
                  <c:v>0</c:v>
                </c:pt>
                <c:pt idx="65">
                  <c:v>0</c:v>
                </c:pt>
                <c:pt idx="66">
                  <c:v>-2</c:v>
                </c:pt>
                <c:pt idx="67">
                  <c:v>0</c:v>
                </c:pt>
                <c:pt idx="68">
                  <c:v>-4</c:v>
                </c:pt>
                <c:pt idx="69">
                  <c:v>0</c:v>
                </c:pt>
                <c:pt idx="70">
                  <c:v>-9</c:v>
                </c:pt>
                <c:pt idx="71">
                  <c:v>-7</c:v>
                </c:pt>
                <c:pt idx="72">
                  <c:v>-6</c:v>
                </c:pt>
                <c:pt idx="73">
                  <c:v>-2</c:v>
                </c:pt>
                <c:pt idx="74">
                  <c:v>-1</c:v>
                </c:pt>
                <c:pt idx="75">
                  <c:v>-2</c:v>
                </c:pt>
                <c:pt idx="76">
                  <c:v>-3</c:v>
                </c:pt>
                <c:pt idx="77">
                  <c:v>-1</c:v>
                </c:pt>
                <c:pt idx="78">
                  <c:v>-2</c:v>
                </c:pt>
                <c:pt idx="79">
                  <c:v>-1</c:v>
                </c:pt>
                <c:pt idx="80">
                  <c:v>-3</c:v>
                </c:pt>
                <c:pt idx="81">
                  <c:v>0</c:v>
                </c:pt>
                <c:pt idx="82">
                  <c:v>-3</c:v>
                </c:pt>
                <c:pt idx="83">
                  <c:v>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26-4535-A766-8DCC143FE895}"/>
            </c:ext>
          </c:extLst>
        </c:ser>
        <c:ser>
          <c:idx val="4"/>
          <c:order val="4"/>
          <c:tx>
            <c:strRef>
              <c:f>'II. Upgrades &amp; Downgrades'!$A$33</c:f>
              <c:strCache>
                <c:ptCount val="1"/>
                <c:pt idx="0">
                  <c:v>Standard &amp; Poor's (upgrade)</c:v>
                </c:pt>
              </c:strCache>
            </c:strRef>
          </c:tx>
          <c:spPr>
            <a:solidFill>
              <a:srgbClr val="B2B2B2"/>
            </a:solidFill>
            <a:ln w="25400">
              <a:noFill/>
            </a:ln>
          </c:spPr>
          <c:invertIfNegative val="0"/>
          <c:cat>
            <c:strRef>
              <c:f>'II. Upgrades &amp; Downgrades'!$B$28:$CK$28</c:f>
              <c:strCache>
                <c:ptCount val="88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  <c:pt idx="77">
                  <c:v>2020Q2</c:v>
                </c:pt>
                <c:pt idx="78">
                  <c:v>2020Q3</c:v>
                </c:pt>
                <c:pt idx="79">
                  <c:v>2020Q4</c:v>
                </c:pt>
                <c:pt idx="80">
                  <c:v>2021Q1</c:v>
                </c:pt>
                <c:pt idx="81">
                  <c:v>2021Q2</c:v>
                </c:pt>
                <c:pt idx="82">
                  <c:v>2021Q3</c:v>
                </c:pt>
                <c:pt idx="83">
                  <c:v>2021Q4</c:v>
                </c:pt>
                <c:pt idx="84">
                  <c:v>2022Q1</c:v>
                </c:pt>
                <c:pt idx="85">
                  <c:v>2022Q2</c:v>
                </c:pt>
                <c:pt idx="86">
                  <c:v>2022Q3</c:v>
                </c:pt>
                <c:pt idx="87">
                  <c:v>2022Q4</c:v>
                </c:pt>
              </c:strCache>
            </c:strRef>
          </c:cat>
          <c:val>
            <c:numRef>
              <c:f>'II. Upgrades &amp; Downgrades'!$B$33:$CK$33</c:f>
              <c:numCache>
                <c:formatCode>General</c:formatCode>
                <c:ptCount val="88"/>
                <c:pt idx="0">
                  <c:v>6</c:v>
                </c:pt>
                <c:pt idx="1">
                  <c:v>7</c:v>
                </c:pt>
                <c:pt idx="2">
                  <c:v>5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9</c:v>
                </c:pt>
                <c:pt idx="7">
                  <c:v>1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9</c:v>
                </c:pt>
                <c:pt idx="15">
                  <c:v>3</c:v>
                </c:pt>
                <c:pt idx="16">
                  <c:v>7</c:v>
                </c:pt>
                <c:pt idx="17">
                  <c:v>8</c:v>
                </c:pt>
                <c:pt idx="18">
                  <c:v>1</c:v>
                </c:pt>
                <c:pt idx="19">
                  <c:v>8</c:v>
                </c:pt>
                <c:pt idx="20">
                  <c:v>7</c:v>
                </c:pt>
                <c:pt idx="21">
                  <c:v>7</c:v>
                </c:pt>
                <c:pt idx="22">
                  <c:v>6</c:v>
                </c:pt>
                <c:pt idx="23">
                  <c:v>0</c:v>
                </c:pt>
                <c:pt idx="24">
                  <c:v>7</c:v>
                </c:pt>
                <c:pt idx="25">
                  <c:v>16</c:v>
                </c:pt>
                <c:pt idx="26">
                  <c:v>0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6</c:v>
                </c:pt>
                <c:pt idx="31">
                  <c:v>1</c:v>
                </c:pt>
                <c:pt idx="32">
                  <c:v>1</c:v>
                </c:pt>
                <c:pt idx="33">
                  <c:v>5</c:v>
                </c:pt>
                <c:pt idx="34">
                  <c:v>3</c:v>
                </c:pt>
                <c:pt idx="35">
                  <c:v>3</c:v>
                </c:pt>
                <c:pt idx="36">
                  <c:v>0</c:v>
                </c:pt>
                <c:pt idx="37">
                  <c:v>6</c:v>
                </c:pt>
                <c:pt idx="38">
                  <c:v>5</c:v>
                </c:pt>
                <c:pt idx="39">
                  <c:v>4</c:v>
                </c:pt>
                <c:pt idx="40">
                  <c:v>5</c:v>
                </c:pt>
                <c:pt idx="41">
                  <c:v>9</c:v>
                </c:pt>
                <c:pt idx="42">
                  <c:v>2</c:v>
                </c:pt>
                <c:pt idx="43">
                  <c:v>2</c:v>
                </c:pt>
                <c:pt idx="44">
                  <c:v>1</c:v>
                </c:pt>
                <c:pt idx="45">
                  <c:v>7</c:v>
                </c:pt>
                <c:pt idx="46">
                  <c:v>0</c:v>
                </c:pt>
                <c:pt idx="47">
                  <c:v>2</c:v>
                </c:pt>
                <c:pt idx="48">
                  <c:v>13</c:v>
                </c:pt>
                <c:pt idx="49">
                  <c:v>10</c:v>
                </c:pt>
                <c:pt idx="50">
                  <c:v>6</c:v>
                </c:pt>
                <c:pt idx="51">
                  <c:v>8</c:v>
                </c:pt>
                <c:pt idx="52">
                  <c:v>0</c:v>
                </c:pt>
                <c:pt idx="53">
                  <c:v>4</c:v>
                </c:pt>
                <c:pt idx="54">
                  <c:v>0</c:v>
                </c:pt>
                <c:pt idx="55">
                  <c:v>2</c:v>
                </c:pt>
                <c:pt idx="56">
                  <c:v>0</c:v>
                </c:pt>
                <c:pt idx="57">
                  <c:v>18</c:v>
                </c:pt>
                <c:pt idx="58">
                  <c:v>0</c:v>
                </c:pt>
                <c:pt idx="59">
                  <c:v>2</c:v>
                </c:pt>
                <c:pt idx="60">
                  <c:v>6</c:v>
                </c:pt>
                <c:pt idx="61">
                  <c:v>6</c:v>
                </c:pt>
                <c:pt idx="62">
                  <c:v>19</c:v>
                </c:pt>
                <c:pt idx="63">
                  <c:v>0</c:v>
                </c:pt>
                <c:pt idx="64">
                  <c:v>7</c:v>
                </c:pt>
                <c:pt idx="65">
                  <c:v>3</c:v>
                </c:pt>
                <c:pt idx="66">
                  <c:v>0</c:v>
                </c:pt>
                <c:pt idx="67">
                  <c:v>7</c:v>
                </c:pt>
                <c:pt idx="68">
                  <c:v>5</c:v>
                </c:pt>
                <c:pt idx="69">
                  <c:v>2</c:v>
                </c:pt>
                <c:pt idx="70">
                  <c:v>16</c:v>
                </c:pt>
                <c:pt idx="71">
                  <c:v>3</c:v>
                </c:pt>
                <c:pt idx="72">
                  <c:v>9</c:v>
                </c:pt>
                <c:pt idx="73">
                  <c:v>1</c:v>
                </c:pt>
                <c:pt idx="74">
                  <c:v>4</c:v>
                </c:pt>
                <c:pt idx="75">
                  <c:v>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14</c:v>
                </c:pt>
                <c:pt idx="8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26-4535-A766-8DCC143FE895}"/>
            </c:ext>
          </c:extLst>
        </c:ser>
        <c:ser>
          <c:idx val="5"/>
          <c:order val="5"/>
          <c:tx>
            <c:strRef>
              <c:f>'II. Upgrades &amp; Downgrades'!$A$34</c:f>
              <c:strCache>
                <c:ptCount val="1"/>
                <c:pt idx="0">
                  <c:v>Standard &amp; Poor's (downgrade)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cat>
            <c:strRef>
              <c:f>'II. Upgrades &amp; Downgrades'!$B$28:$CK$28</c:f>
              <c:strCache>
                <c:ptCount val="88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  <c:pt idx="77">
                  <c:v>2020Q2</c:v>
                </c:pt>
                <c:pt idx="78">
                  <c:v>2020Q3</c:v>
                </c:pt>
                <c:pt idx="79">
                  <c:v>2020Q4</c:v>
                </c:pt>
                <c:pt idx="80">
                  <c:v>2021Q1</c:v>
                </c:pt>
                <c:pt idx="81">
                  <c:v>2021Q2</c:v>
                </c:pt>
                <c:pt idx="82">
                  <c:v>2021Q3</c:v>
                </c:pt>
                <c:pt idx="83">
                  <c:v>2021Q4</c:v>
                </c:pt>
                <c:pt idx="84">
                  <c:v>2022Q1</c:v>
                </c:pt>
                <c:pt idx="85">
                  <c:v>2022Q2</c:v>
                </c:pt>
                <c:pt idx="86">
                  <c:v>2022Q3</c:v>
                </c:pt>
                <c:pt idx="87">
                  <c:v>2022Q4</c:v>
                </c:pt>
              </c:strCache>
            </c:strRef>
          </c:cat>
          <c:val>
            <c:numRef>
              <c:f>'II. Upgrades &amp; Downgrades'!$B$34:$CK$34</c:f>
              <c:numCache>
                <c:formatCode>General</c:formatCode>
                <c:ptCount val="88"/>
                <c:pt idx="0">
                  <c:v>-24</c:v>
                </c:pt>
                <c:pt idx="1">
                  <c:v>-7</c:v>
                </c:pt>
                <c:pt idx="2">
                  <c:v>-12</c:v>
                </c:pt>
                <c:pt idx="3">
                  <c:v>-38</c:v>
                </c:pt>
                <c:pt idx="4">
                  <c:v>-24</c:v>
                </c:pt>
                <c:pt idx="5">
                  <c:v>-33</c:v>
                </c:pt>
                <c:pt idx="6">
                  <c:v>-32</c:v>
                </c:pt>
                <c:pt idx="7">
                  <c:v>-22</c:v>
                </c:pt>
                <c:pt idx="8">
                  <c:v>-44</c:v>
                </c:pt>
                <c:pt idx="9">
                  <c:v>-24</c:v>
                </c:pt>
                <c:pt idx="10">
                  <c:v>-18</c:v>
                </c:pt>
                <c:pt idx="11">
                  <c:v>-20</c:v>
                </c:pt>
                <c:pt idx="12">
                  <c:v>-6</c:v>
                </c:pt>
                <c:pt idx="13">
                  <c:v>-4</c:v>
                </c:pt>
                <c:pt idx="14">
                  <c:v>-2</c:v>
                </c:pt>
                <c:pt idx="15">
                  <c:v>-7</c:v>
                </c:pt>
                <c:pt idx="16">
                  <c:v>-1</c:v>
                </c:pt>
                <c:pt idx="17">
                  <c:v>-9</c:v>
                </c:pt>
                <c:pt idx="18">
                  <c:v>-3</c:v>
                </c:pt>
                <c:pt idx="19">
                  <c:v>-16</c:v>
                </c:pt>
                <c:pt idx="20">
                  <c:v>-2</c:v>
                </c:pt>
                <c:pt idx="21">
                  <c:v>-4</c:v>
                </c:pt>
                <c:pt idx="22">
                  <c:v>-6</c:v>
                </c:pt>
                <c:pt idx="23">
                  <c:v>-8</c:v>
                </c:pt>
                <c:pt idx="24">
                  <c:v>-4</c:v>
                </c:pt>
                <c:pt idx="25">
                  <c:v>-11</c:v>
                </c:pt>
                <c:pt idx="26">
                  <c:v>-1</c:v>
                </c:pt>
                <c:pt idx="27">
                  <c:v>-6</c:v>
                </c:pt>
                <c:pt idx="28">
                  <c:v>-5</c:v>
                </c:pt>
                <c:pt idx="29">
                  <c:v>-3</c:v>
                </c:pt>
                <c:pt idx="30">
                  <c:v>-3</c:v>
                </c:pt>
                <c:pt idx="31">
                  <c:v>-3</c:v>
                </c:pt>
                <c:pt idx="32">
                  <c:v>-4</c:v>
                </c:pt>
                <c:pt idx="33">
                  <c:v>-3</c:v>
                </c:pt>
                <c:pt idx="34">
                  <c:v>0</c:v>
                </c:pt>
                <c:pt idx="35">
                  <c:v>-1</c:v>
                </c:pt>
                <c:pt idx="36">
                  <c:v>-13</c:v>
                </c:pt>
                <c:pt idx="37">
                  <c:v>-2</c:v>
                </c:pt>
                <c:pt idx="38">
                  <c:v>0</c:v>
                </c:pt>
                <c:pt idx="39">
                  <c:v>-6</c:v>
                </c:pt>
                <c:pt idx="40">
                  <c:v>0</c:v>
                </c:pt>
                <c:pt idx="41">
                  <c:v>-2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-4</c:v>
                </c:pt>
                <c:pt idx="46">
                  <c:v>-5</c:v>
                </c:pt>
                <c:pt idx="47">
                  <c:v>-8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-3</c:v>
                </c:pt>
                <c:pt idx="52">
                  <c:v>0</c:v>
                </c:pt>
                <c:pt idx="53">
                  <c:v>-1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-1</c:v>
                </c:pt>
                <c:pt idx="58">
                  <c:v>-5</c:v>
                </c:pt>
                <c:pt idx="59">
                  <c:v>-1</c:v>
                </c:pt>
                <c:pt idx="60">
                  <c:v>-2</c:v>
                </c:pt>
                <c:pt idx="61">
                  <c:v>-1</c:v>
                </c:pt>
                <c:pt idx="62">
                  <c:v>-3</c:v>
                </c:pt>
                <c:pt idx="63">
                  <c:v>-1</c:v>
                </c:pt>
                <c:pt idx="64">
                  <c:v>-4</c:v>
                </c:pt>
                <c:pt idx="65">
                  <c:v>-1</c:v>
                </c:pt>
                <c:pt idx="66">
                  <c:v>-3</c:v>
                </c:pt>
                <c:pt idx="67">
                  <c:v>0</c:v>
                </c:pt>
                <c:pt idx="68">
                  <c:v>-2</c:v>
                </c:pt>
                <c:pt idx="69">
                  <c:v>-4</c:v>
                </c:pt>
                <c:pt idx="70">
                  <c:v>-3</c:v>
                </c:pt>
                <c:pt idx="71">
                  <c:v>-2</c:v>
                </c:pt>
                <c:pt idx="72">
                  <c:v>-8</c:v>
                </c:pt>
                <c:pt idx="73">
                  <c:v>0</c:v>
                </c:pt>
                <c:pt idx="74">
                  <c:v>-4</c:v>
                </c:pt>
                <c:pt idx="75">
                  <c:v>-2</c:v>
                </c:pt>
                <c:pt idx="76">
                  <c:v>0</c:v>
                </c:pt>
                <c:pt idx="77">
                  <c:v>-3</c:v>
                </c:pt>
                <c:pt idx="78">
                  <c:v>-2</c:v>
                </c:pt>
                <c:pt idx="79">
                  <c:v>-16</c:v>
                </c:pt>
                <c:pt idx="80">
                  <c:v>-9</c:v>
                </c:pt>
                <c:pt idx="81">
                  <c:v>-1</c:v>
                </c:pt>
                <c:pt idx="82">
                  <c:v>-2</c:v>
                </c:pt>
                <c:pt idx="83">
                  <c:v>-7</c:v>
                </c:pt>
                <c:pt idx="8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26-4535-A766-8DCC143FE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54662144"/>
        <c:axId val="254663680"/>
      </c:barChart>
      <c:catAx>
        <c:axId val="254662144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anklin Gothic Book"/>
                <a:ea typeface="Franklin Gothic Book"/>
                <a:cs typeface="Franklin Gothic Book"/>
              </a:defRPr>
            </a:pPr>
            <a:endParaRPr lang="en-US"/>
          </a:p>
        </c:txPr>
        <c:crossAx val="254663680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254663680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General" sourceLinked="1"/>
        <c:majorTickMark val="none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anklin Gothic Book"/>
                <a:ea typeface="Franklin Gothic Book"/>
                <a:cs typeface="Franklin Gothic Book"/>
              </a:defRPr>
            </a:pPr>
            <a:endParaRPr lang="en-US"/>
          </a:p>
        </c:txPr>
        <c:crossAx val="2546621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178" r="0.75000000000000178" t="1" header="0.5" footer="0.5"/>
    <c:pageSetup orientation="landscape" horizontalDpi="1200" verticalDpi="12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E7A-42E2-8375-80E77FCA0C9E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E7A-42E2-8375-80E77FCA0C9E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E7A-42E2-8375-80E77FCA0C9E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E7A-42E2-8375-80E77FCA0C9E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E7A-42E2-8375-80E77FCA0C9E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E7A-42E2-8375-80E77FCA0C9E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E7A-42E2-8375-80E77FCA0C9E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E7A-42E2-8375-80E77FCA0C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Credit_2020Q1!$J$8:$J$13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Credit_2020Q1!$M$8:$M$13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0.27272727272727271</c:v>
                </c:pt>
                <c:pt idx="2">
                  <c:v>0.40909090909090912</c:v>
                </c:pt>
                <c:pt idx="3">
                  <c:v>0.18181818181818182</c:v>
                </c:pt>
                <c:pt idx="4">
                  <c:v>6.8181818181818177E-2</c:v>
                </c:pt>
                <c:pt idx="5">
                  <c:v>2.2727272727272728E-2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E7A-42E2-8375-80E77FCA0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Credit_2020Q1!$J$8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Credit_2020Q1!$J$8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{278AFA3C-147D-4A85-B7CE-243280ABBCA3}</c15:txfldGUID>
                      <c15:f>Credit_2020Q1!$J$8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9B5A-4A00-A627-4710F659E222}"/>
                </c:ext>
              </c:extLst>
            </c:dLbl>
            <c:dLbl>
              <c:idx val="1"/>
              <c:layout/>
              <c:tx>
                <c:strRef>
                  <c:f>Credit_2020Q1!$M$8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{E73D2987-56D7-4618-8F06-275C42893FAA}</c15:txfldGUID>
                      <c15:f>Credit_2020Q1!$M$8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9B5A-4A00-A627-4710F659E222}"/>
                </c:ext>
              </c:extLst>
            </c:dLbl>
            <c:dLbl>
              <c:idx val="2"/>
              <c:layout/>
              <c:tx>
                <c:strRef>
                  <c:f>Credit_2020Q1!$P$8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{D0E8D934-35E1-471F-8808-62CB3FD60823}</c15:txfldGUID>
                      <c15:f>Credit_2020Q1!$P$8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9B5A-4A00-A627-4710F659E222}"/>
                </c:ext>
              </c:extLst>
            </c:dLbl>
            <c:dLbl>
              <c:idx val="3"/>
              <c:layout/>
              <c:tx>
                <c:strRef>
                  <c:f>Credit_2020Q1!$S$8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{5F10523C-B381-4BEE-8058-AD52BC4AF011}</c15:txfldGUID>
                      <c15:f>Credit_2020Q1!$S$8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9B5A-4A00-A627-4710F659E222}"/>
                </c:ext>
              </c:extLst>
            </c:dLbl>
            <c:dLbl>
              <c:idx val="4"/>
              <c:tx>
                <c:strRef>
                  <c:f>Credit_2020Q1!$V$8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{BE788940-ABBB-4A3D-A42E-D0A0BA2CCF2A}</c15:txfldGUID>
                      <c15:f>Credit_2020Q1!$V$8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(Credit_2020Q1!$Z$8,Credit_2020Q1!$L$8,Credit_2020Q1!$O$8,Credit_2020Q1!$R$8,Credit_2020Q1!$U$8)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5A-4A00-A627-4710F659E222}"/>
            </c:ext>
          </c:extLst>
        </c:ser>
        <c:ser>
          <c:idx val="1"/>
          <c:order val="1"/>
          <c:tx>
            <c:strRef>
              <c:f>Credit_2020Q1!$J$9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Credit_2020Q1!$J$9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{2DD3A56A-5342-4D68-AD48-3236464EC283}</c15:txfldGUID>
                      <c15:f>Credit_2020Q1!$J$9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9B5A-4A00-A627-4710F659E222}"/>
                </c:ext>
              </c:extLst>
            </c:dLbl>
            <c:dLbl>
              <c:idx val="1"/>
              <c:layout/>
              <c:tx>
                <c:strRef>
                  <c:f>Credit_2020Q1!$M$9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{7C1E9784-CEC1-4723-9362-45BA5C382226}</c15:txfldGUID>
                      <c15:f>Credit_2020Q1!$M$9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9B5A-4A00-A627-4710F659E222}"/>
                </c:ext>
              </c:extLst>
            </c:dLbl>
            <c:dLbl>
              <c:idx val="2"/>
              <c:layout/>
              <c:tx>
                <c:strRef>
                  <c:f>Credit_2020Q1!$P$9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{59728639-334C-4B19-90BC-3F705B851EE1}</c15:txfldGUID>
                      <c15:f>Credit_2020Q1!$P$9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9B5A-4A00-A627-4710F659E222}"/>
                </c:ext>
              </c:extLst>
            </c:dLbl>
            <c:dLbl>
              <c:idx val="3"/>
              <c:layout/>
              <c:tx>
                <c:strRef>
                  <c:f>Credit_2020Q1!$S$9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{3DD7783E-A097-448B-9445-10508BC1B82E}</c15:txfldGUID>
                      <c15:f>Credit_2020Q1!$S$9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9B5A-4A00-A627-4710F659E222}"/>
                </c:ext>
              </c:extLst>
            </c:dLbl>
            <c:dLbl>
              <c:idx val="4"/>
              <c:tx>
                <c:strRef>
                  <c:f>Credit_2020Q1!$V$9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{F34524F3-F7CD-4913-81DA-CDC795ABEC86}</c15:txfldGUID>
                      <c15:f>Credit_2020Q1!$V$9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(Credit_2020Q1!$Z$9,Credit_2020Q1!$L$9,Credit_2020Q1!$O$9,Credit_2020Q1!$R$9,Credit_2020Q1!$U$9)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B5A-4A00-A627-4710F659E222}"/>
            </c:ext>
          </c:extLst>
        </c:ser>
        <c:ser>
          <c:idx val="2"/>
          <c:order val="2"/>
          <c:tx>
            <c:strRef>
              <c:f>Credit_2020Q1!$J$10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Credit_2020Q1!$J$10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{02B85255-C7FC-4B08-BEAB-0FA19CCFA349}</c15:txfldGUID>
                      <c15:f>Credit_2020Q1!$J$10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9B5A-4A00-A627-4710F659E222}"/>
                </c:ext>
              </c:extLst>
            </c:dLbl>
            <c:dLbl>
              <c:idx val="1"/>
              <c:layout/>
              <c:tx>
                <c:strRef>
                  <c:f>Credit_2020Q1!$M$10</c:f>
                  <c:strCache>
                    <c:ptCount val="1"/>
                    <c:pt idx="0">
                      <c:v>41%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{8E315E69-45C7-49E3-ABDE-B5C6847F84DC}</c15:txfldGUID>
                      <c15:f>Credit_2020Q1!$M$10</c15:f>
                      <c15:dlblFieldTableCache>
                        <c:ptCount val="1"/>
                        <c:pt idx="0">
                          <c:v>41%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9B5A-4A00-A627-4710F659E222}"/>
                </c:ext>
              </c:extLst>
            </c:dLbl>
            <c:dLbl>
              <c:idx val="2"/>
              <c:layout/>
              <c:tx>
                <c:strRef>
                  <c:f>Credit_2020Q1!$P$10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{4F2D7077-0AE2-4882-85AB-45CF7CB2EC1F}</c15:txfldGUID>
                      <c15:f>Credit_2020Q1!$P$10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9B5A-4A00-A627-4710F659E222}"/>
                </c:ext>
              </c:extLst>
            </c:dLbl>
            <c:dLbl>
              <c:idx val="3"/>
              <c:layout/>
              <c:tx>
                <c:strRef>
                  <c:f>Credit_2020Q1!$S$10</c:f>
                  <c:strCache>
                    <c:ptCount val="1"/>
                    <c:pt idx="0">
                      <c:v>70%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{0E6118D0-C7D9-44CF-A441-3194770BC34B}</c15:txfldGUID>
                      <c15:f>Credit_2020Q1!$S$10</c15:f>
                      <c15:dlblFieldTableCache>
                        <c:ptCount val="1"/>
                        <c:pt idx="0">
                          <c:v>70%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9B5A-4A00-A627-4710F659E222}"/>
                </c:ext>
              </c:extLst>
            </c:dLbl>
            <c:dLbl>
              <c:idx val="4"/>
              <c:tx>
                <c:strRef>
                  <c:f>Credit_2020Q1!$V$10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{BD6774BE-1F11-4562-923C-0ECD9DC23D28}</c15:txfldGUID>
                      <c15:f>Credit_2020Q1!$V$10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(Credit_2020Q1!$Z$10,Credit_2020Q1!$L$10,Credit_2020Q1!$O$10,Credit_2020Q1!$R$10,Credit_2020Q1!$U$10)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B5A-4A00-A627-4710F659E222}"/>
            </c:ext>
          </c:extLst>
        </c:ser>
        <c:ser>
          <c:idx val="3"/>
          <c:order val="3"/>
          <c:tx>
            <c:strRef>
              <c:f>Credit_2020Q1!$J$11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Credit_2020Q1!$J$11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{C39D11C1-88A1-4858-AD3C-9D1658300C44}</c15:txfldGUID>
                      <c15:f>Credit_2020Q1!$J$11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9B5A-4A00-A627-4710F659E222}"/>
                </c:ext>
              </c:extLst>
            </c:dLbl>
            <c:dLbl>
              <c:idx val="1"/>
              <c:layout/>
              <c:tx>
                <c:strRef>
                  <c:f>Credit_2020Q1!$M$11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{092EAD96-C097-4EEB-A6BD-184E97A53F86}</c15:txfldGUID>
                      <c15:f>Credit_2020Q1!$M$11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9B5A-4A00-A627-4710F659E222}"/>
                </c:ext>
              </c:extLst>
            </c:dLbl>
            <c:dLbl>
              <c:idx val="2"/>
              <c:layout/>
              <c:tx>
                <c:strRef>
                  <c:f>Credit_2020Q1!$P$11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{20486BE9-5D42-4C6D-9A0A-045DAC01F7F3}</c15:txfldGUID>
                      <c15:f>Credit_2020Q1!$P$11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9B5A-4A00-A627-4710F659E222}"/>
                </c:ext>
              </c:extLst>
            </c:dLbl>
            <c:dLbl>
              <c:idx val="3"/>
              <c:layout/>
              <c:tx>
                <c:strRef>
                  <c:f>Credit_2020Q1!$S$11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{3598AFC1-1ED3-4536-9180-DCD60E073E68}</c15:txfldGUID>
                      <c15:f>Credit_2020Q1!$S$11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9B5A-4A00-A627-4710F659E222}"/>
                </c:ext>
              </c:extLst>
            </c:dLbl>
            <c:dLbl>
              <c:idx val="4"/>
              <c:tx>
                <c:strRef>
                  <c:f>Credit_2020Q1!$V$11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{F6052A41-662E-4897-BBEA-DF5093642612}</c15:txfldGUID>
                      <c15:f>Credit_2020Q1!$V$11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(Credit_2020Q1!$Z$11,Credit_2020Q1!$L$11,Credit_2020Q1!$O$11,Credit_2020Q1!$R$11,Credit_2020Q1!$U$11)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B5A-4A00-A627-4710F659E222}"/>
            </c:ext>
          </c:extLst>
        </c:ser>
        <c:ser>
          <c:idx val="4"/>
          <c:order val="4"/>
          <c:tx>
            <c:strRef>
              <c:f>Credit_2020Q1!$J$12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layout/>
              <c:tx>
                <c:strRef>
                  <c:f>Credit_2020Q1!$J$12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{A5DEAF64-ECEE-4257-A0A6-A9DF6D0735F9}</c15:txfldGUID>
                      <c15:f>Credit_2020Q1!$J$12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9B5A-4A00-A627-4710F659E222}"/>
                </c:ext>
              </c:extLst>
            </c:dLbl>
            <c:dLbl>
              <c:idx val="1"/>
              <c:layout/>
              <c:tx>
                <c:strRef>
                  <c:f>Credit_2020Q1!$M$12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{D33AAC60-A25A-47E8-9B0D-0B54021586D0}</c15:txfldGUID>
                      <c15:f>Credit_2020Q1!$M$12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9B5A-4A00-A627-4710F659E222}"/>
                </c:ext>
              </c:extLst>
            </c:dLbl>
            <c:dLbl>
              <c:idx val="2"/>
              <c:layout/>
              <c:tx>
                <c:strRef>
                  <c:f>Credit_2020Q1!$P$12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{03943ED1-885A-4C08-BA3B-87A6D833092B}</c15:txfldGUID>
                      <c15:f>Credit_2020Q1!$P$12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9B5A-4A00-A627-4710F659E222}"/>
                </c:ext>
              </c:extLst>
            </c:dLbl>
            <c:dLbl>
              <c:idx val="3"/>
              <c:layout/>
              <c:tx>
                <c:strRef>
                  <c:f>Credit_2020Q1!$S$12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{B38944BA-A6DE-40E4-91B5-4D5436DAC928}</c15:txfldGUID>
                      <c15:f>Credit_2020Q1!$S$12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9B5A-4A00-A627-4710F659E222}"/>
                </c:ext>
              </c:extLst>
            </c:dLbl>
            <c:dLbl>
              <c:idx val="4"/>
              <c:tx>
                <c:strRef>
                  <c:f>Credit_2020Q1!$V$12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{B2D737F5-A395-4428-88DE-D125B9B55F1D}</c15:txfldGUID>
                      <c15:f>Credit_2020Q1!$V$12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(Credit_2020Q1!$Z$12,Credit_2020Q1!$L$12,Credit_2020Q1!$O$12,Credit_2020Q1!$R$12,Credit_2020Q1!$U$12)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B5A-4A00-A627-4710F659E222}"/>
            </c:ext>
          </c:extLst>
        </c:ser>
        <c:ser>
          <c:idx val="5"/>
          <c:order val="5"/>
          <c:tx>
            <c:strRef>
              <c:f>Credit_2020Q1!$J$13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Credit_2020Q1!$J$13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{734A6E8A-3B4B-4311-9CFB-7C8C4F3BCE9F}</c15:txfldGUID>
                      <c15:f>Credit_2020Q1!$J$13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9B5A-4A00-A627-4710F659E222}"/>
                </c:ext>
              </c:extLst>
            </c:dLbl>
            <c:dLbl>
              <c:idx val="1"/>
              <c:layout/>
              <c:tx>
                <c:strRef>
                  <c:f>Credit_2020Q1!$M$13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{16690CC0-68CC-4599-8515-245FFF8F140D}</c15:txfldGUID>
                      <c15:f>Credit_2020Q1!$M$13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9B5A-4A00-A627-4710F659E222}"/>
                </c:ext>
              </c:extLst>
            </c:dLbl>
            <c:dLbl>
              <c:idx val="2"/>
              <c:layout/>
              <c:tx>
                <c:strRef>
                  <c:f>Credit_2020Q1!$P$13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{6D066338-9533-40D6-BFEE-0D1A8C92FCEB}</c15:txfldGUID>
                      <c15:f>Credit_2020Q1!$P$13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9B5A-4A00-A627-4710F659E222}"/>
                </c:ext>
              </c:extLst>
            </c:dLbl>
            <c:dLbl>
              <c:idx val="3"/>
              <c:layout/>
              <c:tx>
                <c:strRef>
                  <c:f>Credit_2020Q1!$S$13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{A6E43635-C147-499E-8A94-186030DBD917}</c15:txfldGUID>
                      <c15:f>Credit_2020Q1!$S$13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9B5A-4A00-A627-4710F659E222}"/>
                </c:ext>
              </c:extLst>
            </c:dLbl>
            <c:dLbl>
              <c:idx val="4"/>
              <c:tx>
                <c:strRef>
                  <c:f>Credit_2020Q1!$V$13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{189DC170-2CDD-4C6F-B010-E33D7142EE96}</c15:txfldGUID>
                      <c15:f>Credit_2020Q1!$V$13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(Credit_2020Q1!$Z$13,Credit_2020Q1!$L$13,Credit_2020Q1!$O$13,Credit_2020Q1!$R$13,Credit_2020Q1!$U$13)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B5A-4A00-A627-4710F659E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FBC-48D4-BC50-81A915F0EEC6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FBC-48D4-BC50-81A915F0EEC6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FBC-48D4-BC50-81A915F0EEC6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FBC-48D4-BC50-81A915F0EEC6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FBC-48D4-BC50-81A915F0EEC6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FBC-48D4-BC50-81A915F0EEC6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FBC-48D4-BC50-81A915F0EEC6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FBC-48D4-BC50-81A915F0EE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Credit_2019Q4!$J$8:$J$13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Credit_2019Q4!$M$8:$M$13</c:f>
              <c:numCache>
                <c:formatCode>0%</c:formatCode>
                <c:ptCount val="6"/>
                <c:pt idx="0">
                  <c:v>4.4444444444444446E-2</c:v>
                </c:pt>
                <c:pt idx="1">
                  <c:v>0.26666666666666666</c:v>
                </c:pt>
                <c:pt idx="2">
                  <c:v>0.4</c:v>
                </c:pt>
                <c:pt idx="3">
                  <c:v>0.17777777777777778</c:v>
                </c:pt>
                <c:pt idx="4">
                  <c:v>6.6666666666666666E-2</c:v>
                </c:pt>
                <c:pt idx="5">
                  <c:v>4.4444444444444446E-2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FBC-48D4-BC50-81A915F0E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Credit_2019Q4!$J$8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Credit_2019Q4!$J$8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{D21710B7-F9C8-41BD-922A-E10248C707FD}</c15:txfldGUID>
                      <c15:f>Credit_2019Q4!$J$8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CA27-4FB1-BA16-8A6540551410}"/>
                </c:ext>
              </c:extLst>
            </c:dLbl>
            <c:dLbl>
              <c:idx val="1"/>
              <c:layout/>
              <c:tx>
                <c:strRef>
                  <c:f>Credit_2019Q4!$M$8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{A115184C-088B-4C69-9B87-5C4CDB8ED01D}</c15:txfldGUID>
                      <c15:f>Credit_2019Q4!$M$8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CA27-4FB1-BA16-8A6540551410}"/>
                </c:ext>
              </c:extLst>
            </c:dLbl>
            <c:dLbl>
              <c:idx val="2"/>
              <c:layout/>
              <c:tx>
                <c:strRef>
                  <c:f>Credit_2019Q4!$P$8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{669B9BC7-8A91-4589-BC47-5A891B4983F1}</c15:txfldGUID>
                      <c15:f>Credit_2019Q4!$P$8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CA27-4FB1-BA16-8A6540551410}"/>
                </c:ext>
              </c:extLst>
            </c:dLbl>
            <c:dLbl>
              <c:idx val="3"/>
              <c:layout/>
              <c:tx>
                <c:strRef>
                  <c:f>Credit_2019Q4!$S$8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{09D9A600-BD49-4211-BEED-9ED91279FAFB}</c15:txfldGUID>
                      <c15:f>Credit_2019Q4!$S$8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CA27-4FB1-BA16-8A6540551410}"/>
                </c:ext>
              </c:extLst>
            </c:dLbl>
            <c:dLbl>
              <c:idx val="4"/>
              <c:tx>
                <c:strRef>
                  <c:f>Credit_2019Q4!$V$8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{ABA74C04-0570-4A5D-AF6B-A54499B17013}</c15:txfldGUID>
                      <c15:f>Credit_2019Q4!$V$8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(Credit_2019Q4!$Z$8,Credit_2019Q4!$L$8,Credit_2019Q4!$O$8,Credit_2019Q4!$R$8,Credit_2019Q4!$U$8)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A27-4FB1-BA16-8A6540551410}"/>
            </c:ext>
          </c:extLst>
        </c:ser>
        <c:ser>
          <c:idx val="1"/>
          <c:order val="1"/>
          <c:tx>
            <c:strRef>
              <c:f>Credit_2019Q4!$J$9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Credit_2019Q4!$J$9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{DFF2FF84-FD48-4F89-8A05-E140F17A8893}</c15:txfldGUID>
                      <c15:f>Credit_2019Q4!$J$9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CA27-4FB1-BA16-8A6540551410}"/>
                </c:ext>
              </c:extLst>
            </c:dLbl>
            <c:dLbl>
              <c:idx val="1"/>
              <c:layout/>
              <c:tx>
                <c:strRef>
                  <c:f>Credit_2019Q4!$M$9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{C5E61CF5-6F01-4EB4-9003-1F4055AC13FF}</c15:txfldGUID>
                      <c15:f>Credit_2019Q4!$M$9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CA27-4FB1-BA16-8A6540551410}"/>
                </c:ext>
              </c:extLst>
            </c:dLbl>
            <c:dLbl>
              <c:idx val="2"/>
              <c:layout/>
              <c:tx>
                <c:strRef>
                  <c:f>Credit_2019Q4!$P$9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{3118136A-B58E-4B36-B4B4-9875D33441A7}</c15:txfldGUID>
                      <c15:f>Credit_2019Q4!$P$9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CA27-4FB1-BA16-8A6540551410}"/>
                </c:ext>
              </c:extLst>
            </c:dLbl>
            <c:dLbl>
              <c:idx val="3"/>
              <c:layout/>
              <c:tx>
                <c:strRef>
                  <c:f>Credit_2019Q4!$S$9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{DBCD4026-9AC7-42F9-BEFD-C716973DAB7C}</c15:txfldGUID>
                      <c15:f>Credit_2019Q4!$S$9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CA27-4FB1-BA16-8A6540551410}"/>
                </c:ext>
              </c:extLst>
            </c:dLbl>
            <c:dLbl>
              <c:idx val="4"/>
              <c:tx>
                <c:strRef>
                  <c:f>Credit_2019Q4!$V$9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{5AB8739C-1343-48AF-9303-5EDD3A3B9855}</c15:txfldGUID>
                      <c15:f>Credit_2019Q4!$V$9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(Credit_2019Q4!$Z$9,Credit_2019Q4!$L$9,Credit_2019Q4!$O$9,Credit_2019Q4!$R$9,Credit_2019Q4!$U$9)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A27-4FB1-BA16-8A6540551410}"/>
            </c:ext>
          </c:extLst>
        </c:ser>
        <c:ser>
          <c:idx val="2"/>
          <c:order val="2"/>
          <c:tx>
            <c:strRef>
              <c:f>Credit_2019Q4!$J$10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Credit_2019Q4!$J$10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{AEB338A7-D3D8-440F-B284-B7CD8FB4236E}</c15:txfldGUID>
                      <c15:f>Credit_2019Q4!$J$10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CA27-4FB1-BA16-8A6540551410}"/>
                </c:ext>
              </c:extLst>
            </c:dLbl>
            <c:dLbl>
              <c:idx val="1"/>
              <c:layout/>
              <c:tx>
                <c:strRef>
                  <c:f>Credit_2019Q4!$M$10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{CABD751B-E53F-40DD-A4E8-FC6F7FCEA6F9}</c15:txfldGUID>
                      <c15:f>Credit_2019Q4!$M$10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CA27-4FB1-BA16-8A6540551410}"/>
                </c:ext>
              </c:extLst>
            </c:dLbl>
            <c:dLbl>
              <c:idx val="2"/>
              <c:layout/>
              <c:tx>
                <c:strRef>
                  <c:f>Credit_2019Q4!$P$10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{FF346C7C-6519-4C51-9F10-957FFBA9E5A3}</c15:txfldGUID>
                      <c15:f>Credit_2019Q4!$P$10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CA27-4FB1-BA16-8A6540551410}"/>
                </c:ext>
              </c:extLst>
            </c:dLbl>
            <c:dLbl>
              <c:idx val="3"/>
              <c:layout/>
              <c:tx>
                <c:strRef>
                  <c:f>Credit_2019Q4!$S$10</c:f>
                  <c:strCache>
                    <c:ptCount val="1"/>
                    <c:pt idx="0">
                      <c:v>70%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{66D3E890-2D6D-49B3-BDDF-E4E51E266505}</c15:txfldGUID>
                      <c15:f>Credit_2019Q4!$S$10</c15:f>
                      <c15:dlblFieldTableCache>
                        <c:ptCount val="1"/>
                        <c:pt idx="0">
                          <c:v>70%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CA27-4FB1-BA16-8A6540551410}"/>
                </c:ext>
              </c:extLst>
            </c:dLbl>
            <c:dLbl>
              <c:idx val="4"/>
              <c:tx>
                <c:strRef>
                  <c:f>Credit_2019Q4!$V$10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{BFE79480-C1D6-45F1-9D46-E0D5F75245E1}</c15:txfldGUID>
                      <c15:f>Credit_2019Q4!$V$10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(Credit_2019Q4!$Z$10,Credit_2019Q4!$L$10,Credit_2019Q4!$O$10,Credit_2019Q4!$R$10,Credit_2019Q4!$U$10)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A27-4FB1-BA16-8A6540551410}"/>
            </c:ext>
          </c:extLst>
        </c:ser>
        <c:ser>
          <c:idx val="3"/>
          <c:order val="3"/>
          <c:tx>
            <c:strRef>
              <c:f>Credit_2019Q4!$J$11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Credit_2019Q4!$J$11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{704218E8-C852-484F-B514-100A6DDF03A7}</c15:txfldGUID>
                      <c15:f>Credit_2019Q4!$J$11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CA27-4FB1-BA16-8A6540551410}"/>
                </c:ext>
              </c:extLst>
            </c:dLbl>
            <c:dLbl>
              <c:idx val="1"/>
              <c:layout/>
              <c:tx>
                <c:strRef>
                  <c:f>Credit_2019Q4!$M$11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{A8E3936C-CC08-4D80-BCD8-6AA2FA82F188}</c15:txfldGUID>
                      <c15:f>Credit_2019Q4!$M$11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CA27-4FB1-BA16-8A6540551410}"/>
                </c:ext>
              </c:extLst>
            </c:dLbl>
            <c:dLbl>
              <c:idx val="2"/>
              <c:layout/>
              <c:tx>
                <c:strRef>
                  <c:f>Credit_2019Q4!$P$11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{96B01F20-E2A1-4BD0-8430-818420E24631}</c15:txfldGUID>
                      <c15:f>Credit_2019Q4!$P$11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CA27-4FB1-BA16-8A6540551410}"/>
                </c:ext>
              </c:extLst>
            </c:dLbl>
            <c:dLbl>
              <c:idx val="3"/>
              <c:layout/>
              <c:tx>
                <c:strRef>
                  <c:f>Credit_2019Q4!$S$11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{7B780231-9C69-4245-857F-926D04078BAF}</c15:txfldGUID>
                      <c15:f>Credit_2019Q4!$S$11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CA27-4FB1-BA16-8A6540551410}"/>
                </c:ext>
              </c:extLst>
            </c:dLbl>
            <c:dLbl>
              <c:idx val="4"/>
              <c:tx>
                <c:strRef>
                  <c:f>Credit_2019Q4!$V$11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{DB71EABF-FAD7-45DD-9D00-DE0BA0B9E990}</c15:txfldGUID>
                      <c15:f>Credit_2019Q4!$V$11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(Credit_2019Q4!$Z$11,Credit_2019Q4!$L$11,Credit_2019Q4!$O$11,Credit_2019Q4!$R$11,Credit_2019Q4!$U$11)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A27-4FB1-BA16-8A6540551410}"/>
            </c:ext>
          </c:extLst>
        </c:ser>
        <c:ser>
          <c:idx val="4"/>
          <c:order val="4"/>
          <c:tx>
            <c:strRef>
              <c:f>Credit_2019Q4!$J$12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layout/>
              <c:tx>
                <c:strRef>
                  <c:f>Credit_2019Q4!$J$12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{C17ADCC4-1139-430E-9EA7-2DF555040EA7}</c15:txfldGUID>
                      <c15:f>Credit_2019Q4!$J$12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CA27-4FB1-BA16-8A6540551410}"/>
                </c:ext>
              </c:extLst>
            </c:dLbl>
            <c:dLbl>
              <c:idx val="1"/>
              <c:layout/>
              <c:tx>
                <c:strRef>
                  <c:f>Credit_2019Q4!$M$12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{2FF307BD-4E64-4470-ADC7-3B287E7C15E5}</c15:txfldGUID>
                      <c15:f>Credit_2019Q4!$M$12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CA27-4FB1-BA16-8A6540551410}"/>
                </c:ext>
              </c:extLst>
            </c:dLbl>
            <c:dLbl>
              <c:idx val="2"/>
              <c:layout/>
              <c:tx>
                <c:strRef>
                  <c:f>Credit_2019Q4!$P$12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{DE77AB6B-C0C7-44A5-BA87-13CB6794F6F7}</c15:txfldGUID>
                      <c15:f>Credit_2019Q4!$P$12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CA27-4FB1-BA16-8A6540551410}"/>
                </c:ext>
              </c:extLst>
            </c:dLbl>
            <c:dLbl>
              <c:idx val="3"/>
              <c:layout/>
              <c:tx>
                <c:strRef>
                  <c:f>Credit_2019Q4!$S$12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{38750F06-5E9F-4F22-8898-B200256868CF}</c15:txfldGUID>
                      <c15:f>Credit_2019Q4!$S$12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CA27-4FB1-BA16-8A6540551410}"/>
                </c:ext>
              </c:extLst>
            </c:dLbl>
            <c:dLbl>
              <c:idx val="4"/>
              <c:tx>
                <c:strRef>
                  <c:f>Credit_2019Q4!$V$12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{EF03AFD0-6DA5-43BD-B9A8-233302A4E0E5}</c15:txfldGUID>
                      <c15:f>Credit_2019Q4!$V$12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(Credit_2019Q4!$Z$12,Credit_2019Q4!$L$12,Credit_2019Q4!$O$12,Credit_2019Q4!$R$12,Credit_2019Q4!$U$12)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A27-4FB1-BA16-8A6540551410}"/>
            </c:ext>
          </c:extLst>
        </c:ser>
        <c:ser>
          <c:idx val="5"/>
          <c:order val="5"/>
          <c:tx>
            <c:strRef>
              <c:f>Credit_2019Q4!$J$13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Credit_2019Q4!$J$13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{38169A3F-A822-4D5A-9E2E-259CDFE3619B}</c15:txfldGUID>
                      <c15:f>Credit_2019Q4!$J$13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CA27-4FB1-BA16-8A6540551410}"/>
                </c:ext>
              </c:extLst>
            </c:dLbl>
            <c:dLbl>
              <c:idx val="1"/>
              <c:layout/>
              <c:tx>
                <c:strRef>
                  <c:f>Credit_2019Q4!$M$13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{88F61868-170A-4E71-961F-4E5BD5CA4F90}</c15:txfldGUID>
                      <c15:f>Credit_2019Q4!$M$13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CA27-4FB1-BA16-8A6540551410}"/>
                </c:ext>
              </c:extLst>
            </c:dLbl>
            <c:dLbl>
              <c:idx val="2"/>
              <c:layout/>
              <c:tx>
                <c:strRef>
                  <c:f>Credit_2019Q4!$P$13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{424D68B1-2A84-4126-BD81-78CB88CCEC6A}</c15:txfldGUID>
                      <c15:f>Credit_2019Q4!$P$13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CA27-4FB1-BA16-8A6540551410}"/>
                </c:ext>
              </c:extLst>
            </c:dLbl>
            <c:dLbl>
              <c:idx val="3"/>
              <c:layout/>
              <c:tx>
                <c:strRef>
                  <c:f>Credit_2019Q4!$S$13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{F94E42F9-C0C5-49B7-B58F-BC50A5EB5208}</c15:txfldGUID>
                      <c15:f>Credit_2019Q4!$S$13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CA27-4FB1-BA16-8A6540551410}"/>
                </c:ext>
              </c:extLst>
            </c:dLbl>
            <c:dLbl>
              <c:idx val="4"/>
              <c:tx>
                <c:strRef>
                  <c:f>Credit_2019Q4!$V$13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{E8BA53CF-A301-4526-9546-2E2B6BCE7A38}</c15:txfldGUID>
                      <c15:f>Credit_2019Q4!$V$13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(Credit_2019Q4!$Z$13,Credit_2019Q4!$L$13,Credit_2019Q4!$O$13,Credit_2019Q4!$R$13,Credit_2019Q4!$U$13)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CA27-4FB1-BA16-8A6540551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62B-4B69-99D7-41A5C17E64B4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62B-4B69-99D7-41A5C17E64B4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62B-4B69-99D7-41A5C17E64B4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62B-4B69-99D7-41A5C17E64B4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62B-4B69-99D7-41A5C17E64B4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62B-4B69-99D7-41A5C17E64B4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62B-4B69-99D7-41A5C17E64B4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62B-4B69-99D7-41A5C17E64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Credit_2019Q3!$J$8:$J$13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Credit_2019Q3!$M$8:$M$13</c:f>
              <c:numCache>
                <c:formatCode>0%</c:formatCode>
                <c:ptCount val="6"/>
                <c:pt idx="0">
                  <c:v>4.4444444444444446E-2</c:v>
                </c:pt>
                <c:pt idx="1">
                  <c:v>0.26666666666666666</c:v>
                </c:pt>
                <c:pt idx="2">
                  <c:v>0.4</c:v>
                </c:pt>
                <c:pt idx="3">
                  <c:v>0.17777777777777778</c:v>
                </c:pt>
                <c:pt idx="4">
                  <c:v>8.8888888888888892E-2</c:v>
                </c:pt>
                <c:pt idx="5">
                  <c:v>2.2222222222222223E-2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62B-4B69-99D7-41A5C17E6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Credit_2019Q3!$J$8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Credit_2019Q3!$J$8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{8E5E2423-ED45-487B-A59C-6783A995986D}</c15:txfldGUID>
                      <c15:f>Credit_2019Q3!$J$8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3C1B-4663-919D-6309926AEBDA}"/>
                </c:ext>
              </c:extLst>
            </c:dLbl>
            <c:dLbl>
              <c:idx val="1"/>
              <c:layout/>
              <c:tx>
                <c:strRef>
                  <c:f>Credit_2019Q3!$M$8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{1DFF2F3D-E730-44BF-9D40-6487AF0B5262}</c15:txfldGUID>
                      <c15:f>Credit_2019Q3!$M$8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3C1B-4663-919D-6309926AEBDA}"/>
                </c:ext>
              </c:extLst>
            </c:dLbl>
            <c:dLbl>
              <c:idx val="2"/>
              <c:layout/>
              <c:tx>
                <c:strRef>
                  <c:f>Credit_2019Q3!$P$8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{FD5D0D13-2F0A-4BF1-BC2E-5C74744E4266}</c15:txfldGUID>
                      <c15:f>Credit_2019Q3!$P$8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3C1B-4663-919D-6309926AEBDA}"/>
                </c:ext>
              </c:extLst>
            </c:dLbl>
            <c:dLbl>
              <c:idx val="3"/>
              <c:layout/>
              <c:tx>
                <c:strRef>
                  <c:f>Credit_2019Q3!$S$8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{15DB0952-511A-42D8-83E8-DEFB38AB5327}</c15:txfldGUID>
                      <c15:f>Credit_2019Q3!$S$8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3C1B-4663-919D-6309926AEBDA}"/>
                </c:ext>
              </c:extLst>
            </c:dLbl>
            <c:dLbl>
              <c:idx val="4"/>
              <c:tx>
                <c:strRef>
                  <c:f>Credit_2019Q3!$V$8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{1E61548E-745D-4582-8292-BBBEB59B8A68}</c15:txfldGUID>
                      <c15:f>Credit_2019Q3!$V$8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(Credit_2019Q3!$Z$8,Credit_2019Q3!$L$8,Credit_2019Q3!$O$8,Credit_2019Q3!$R$8,Credit_2019Q3!$U$8)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1B-4663-919D-6309926AEBDA}"/>
            </c:ext>
          </c:extLst>
        </c:ser>
        <c:ser>
          <c:idx val="1"/>
          <c:order val="1"/>
          <c:tx>
            <c:strRef>
              <c:f>Credit_2019Q3!$J$9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Credit_2019Q3!$J$9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{18F323BF-93EC-48BC-906D-DF646A94D2F9}</c15:txfldGUID>
                      <c15:f>Credit_2019Q3!$J$9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3C1B-4663-919D-6309926AEBDA}"/>
                </c:ext>
              </c:extLst>
            </c:dLbl>
            <c:dLbl>
              <c:idx val="1"/>
              <c:layout/>
              <c:tx>
                <c:strRef>
                  <c:f>Credit_2019Q3!$M$9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{ECCA6192-0A16-4096-8F8F-15017609C637}</c15:txfldGUID>
                      <c15:f>Credit_2019Q3!$M$9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3C1B-4663-919D-6309926AEBDA}"/>
                </c:ext>
              </c:extLst>
            </c:dLbl>
            <c:dLbl>
              <c:idx val="2"/>
              <c:layout/>
              <c:tx>
                <c:strRef>
                  <c:f>Credit_2019Q3!$P$9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{E6215F86-8D24-4466-94C4-93256C72D4DD}</c15:txfldGUID>
                      <c15:f>Credit_2019Q3!$P$9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3C1B-4663-919D-6309926AEBDA}"/>
                </c:ext>
              </c:extLst>
            </c:dLbl>
            <c:dLbl>
              <c:idx val="3"/>
              <c:layout/>
              <c:tx>
                <c:strRef>
                  <c:f>Credit_2019Q3!$S$9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{2A490746-1EEE-409F-9EA0-F6E73260F084}</c15:txfldGUID>
                      <c15:f>Credit_2019Q3!$S$9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3C1B-4663-919D-6309926AEBDA}"/>
                </c:ext>
              </c:extLst>
            </c:dLbl>
            <c:dLbl>
              <c:idx val="4"/>
              <c:tx>
                <c:strRef>
                  <c:f>Credit_2019Q3!$V$9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{E1DA4221-13AD-4A7F-B5A3-FA6F4439797C}</c15:txfldGUID>
                      <c15:f>Credit_2019Q3!$V$9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(Credit_2019Q3!$Z$9,Credit_2019Q3!$L$9,Credit_2019Q3!$O$9,Credit_2019Q3!$R$9,Credit_2019Q3!$U$9)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C1B-4663-919D-6309926AEBDA}"/>
            </c:ext>
          </c:extLst>
        </c:ser>
        <c:ser>
          <c:idx val="2"/>
          <c:order val="2"/>
          <c:tx>
            <c:strRef>
              <c:f>Credit_2019Q3!$J$10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Credit_2019Q3!$J$10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{C8FD9ABD-2CDB-4A8C-B9C5-2A2922162FC1}</c15:txfldGUID>
                      <c15:f>Credit_2019Q3!$J$10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3C1B-4663-919D-6309926AEBDA}"/>
                </c:ext>
              </c:extLst>
            </c:dLbl>
            <c:dLbl>
              <c:idx val="1"/>
              <c:layout/>
              <c:tx>
                <c:strRef>
                  <c:f>Credit_2019Q3!$M$10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{BFDF4815-C6B3-4643-B38E-92B5C21AC673}</c15:txfldGUID>
                      <c15:f>Credit_2019Q3!$M$10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3C1B-4663-919D-6309926AEBDA}"/>
                </c:ext>
              </c:extLst>
            </c:dLbl>
            <c:dLbl>
              <c:idx val="2"/>
              <c:layout/>
              <c:tx>
                <c:strRef>
                  <c:f>Credit_2019Q3!$P$10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{096ABE18-0D25-458C-869A-3EF3472AAF2D}</c15:txfldGUID>
                      <c15:f>Credit_2019Q3!$P$10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3C1B-4663-919D-6309926AEBDA}"/>
                </c:ext>
              </c:extLst>
            </c:dLbl>
            <c:dLbl>
              <c:idx val="3"/>
              <c:layout/>
              <c:tx>
                <c:strRef>
                  <c:f>Credit_2019Q3!$S$10</c:f>
                  <c:strCache>
                    <c:ptCount val="1"/>
                    <c:pt idx="0">
                      <c:v>70%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{1DD34113-68C3-43F7-847B-DA306CF81E43}</c15:txfldGUID>
                      <c15:f>Credit_2019Q3!$S$10</c15:f>
                      <c15:dlblFieldTableCache>
                        <c:ptCount val="1"/>
                        <c:pt idx="0">
                          <c:v>70%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3C1B-4663-919D-6309926AEBDA}"/>
                </c:ext>
              </c:extLst>
            </c:dLbl>
            <c:dLbl>
              <c:idx val="4"/>
              <c:tx>
                <c:strRef>
                  <c:f>Credit_2019Q3!$V$10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{023D4BC4-3C67-4FF7-880C-0E14DFCD0289}</c15:txfldGUID>
                      <c15:f>Credit_2019Q3!$V$10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(Credit_2019Q3!$Z$10,Credit_2019Q3!$L$10,Credit_2019Q3!$O$10,Credit_2019Q3!$R$10,Credit_2019Q3!$U$10)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C1B-4663-919D-6309926AEBDA}"/>
            </c:ext>
          </c:extLst>
        </c:ser>
        <c:ser>
          <c:idx val="3"/>
          <c:order val="3"/>
          <c:tx>
            <c:strRef>
              <c:f>Credit_2019Q3!$J$11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Credit_2019Q3!$J$11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{1B50720F-14BF-4269-9340-802456F02ACC}</c15:txfldGUID>
                      <c15:f>Credit_2019Q3!$J$11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3C1B-4663-919D-6309926AEBDA}"/>
                </c:ext>
              </c:extLst>
            </c:dLbl>
            <c:dLbl>
              <c:idx val="1"/>
              <c:layout/>
              <c:tx>
                <c:strRef>
                  <c:f>Credit_2019Q3!$M$11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{1A10BC02-B0E2-49AD-86D9-90B8CAC7609A}</c15:txfldGUID>
                      <c15:f>Credit_2019Q3!$M$11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3C1B-4663-919D-6309926AEBDA}"/>
                </c:ext>
              </c:extLst>
            </c:dLbl>
            <c:dLbl>
              <c:idx val="2"/>
              <c:layout/>
              <c:tx>
                <c:strRef>
                  <c:f>Credit_2019Q3!$P$11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{A041CBA4-68B3-464C-9449-F86287B28189}</c15:txfldGUID>
                      <c15:f>Credit_2019Q3!$P$11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3C1B-4663-919D-6309926AEBDA}"/>
                </c:ext>
              </c:extLst>
            </c:dLbl>
            <c:dLbl>
              <c:idx val="3"/>
              <c:layout/>
              <c:tx>
                <c:strRef>
                  <c:f>Credit_2019Q3!$S$11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{1DEE9CD3-8B5A-4CDB-A1AC-9FB1706EEB86}</c15:txfldGUID>
                      <c15:f>Credit_2019Q3!$S$11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3C1B-4663-919D-6309926AEBDA}"/>
                </c:ext>
              </c:extLst>
            </c:dLbl>
            <c:dLbl>
              <c:idx val="4"/>
              <c:tx>
                <c:strRef>
                  <c:f>Credit_2019Q3!$V$11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{9E87419E-CD46-44FD-BCD6-91067AD84D03}</c15:txfldGUID>
                      <c15:f>Credit_2019Q3!$V$11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(Credit_2019Q3!$Z$11,Credit_2019Q3!$L$11,Credit_2019Q3!$O$11,Credit_2019Q3!$R$11,Credit_2019Q3!$U$11)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C1B-4663-919D-6309926AEBDA}"/>
            </c:ext>
          </c:extLst>
        </c:ser>
        <c:ser>
          <c:idx val="4"/>
          <c:order val="4"/>
          <c:tx>
            <c:strRef>
              <c:f>Credit_2019Q3!$J$12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layout/>
              <c:tx>
                <c:strRef>
                  <c:f>Credit_2019Q3!$J$12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{68800D6D-A7C3-45F7-A2AA-F90ABDDC7ED1}</c15:txfldGUID>
                      <c15:f>Credit_2019Q3!$J$12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3C1B-4663-919D-6309926AEBDA}"/>
                </c:ext>
              </c:extLst>
            </c:dLbl>
            <c:dLbl>
              <c:idx val="1"/>
              <c:layout/>
              <c:tx>
                <c:strRef>
                  <c:f>Credit_2019Q3!$M$12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{BC77988A-64EF-4DB9-8F26-EB2150AE6204}</c15:txfldGUID>
                      <c15:f>Credit_2019Q3!$M$12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3C1B-4663-919D-6309926AEBDA}"/>
                </c:ext>
              </c:extLst>
            </c:dLbl>
            <c:dLbl>
              <c:idx val="2"/>
              <c:layout/>
              <c:tx>
                <c:strRef>
                  <c:f>Credit_2019Q3!$P$12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{67DFB681-B000-4696-ADEB-2B1480DE2035}</c15:txfldGUID>
                      <c15:f>Credit_2019Q3!$P$12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3C1B-4663-919D-6309926AEBDA}"/>
                </c:ext>
              </c:extLst>
            </c:dLbl>
            <c:dLbl>
              <c:idx val="3"/>
              <c:layout/>
              <c:tx>
                <c:strRef>
                  <c:f>Credit_2019Q3!$S$12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{787B9B66-7EA5-41F6-98CC-213F21AAFB8D}</c15:txfldGUID>
                      <c15:f>Credit_2019Q3!$S$12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3C1B-4663-919D-6309926AEBDA}"/>
                </c:ext>
              </c:extLst>
            </c:dLbl>
            <c:dLbl>
              <c:idx val="4"/>
              <c:tx>
                <c:strRef>
                  <c:f>Credit_2019Q3!$V$12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{27B63976-42C2-4047-A869-ED35F9687174}</c15:txfldGUID>
                      <c15:f>Credit_2019Q3!$V$12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(Credit_2019Q3!$Z$12,Credit_2019Q3!$L$12,Credit_2019Q3!$O$12,Credit_2019Q3!$R$12,Credit_2019Q3!$U$12)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C1B-4663-919D-6309926AEBDA}"/>
            </c:ext>
          </c:extLst>
        </c:ser>
        <c:ser>
          <c:idx val="5"/>
          <c:order val="5"/>
          <c:tx>
            <c:strRef>
              <c:f>Credit_2019Q3!$J$13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Credit_2019Q3!$J$13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{61527215-F4A8-4AFD-BADE-1350ED50957F}</c15:txfldGUID>
                      <c15:f>Credit_2019Q3!$J$13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3C1B-4663-919D-6309926AEBDA}"/>
                </c:ext>
              </c:extLst>
            </c:dLbl>
            <c:dLbl>
              <c:idx val="1"/>
              <c:layout/>
              <c:tx>
                <c:strRef>
                  <c:f>Credit_2019Q3!$M$13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{B7A779B9-C2E3-4D8E-AEB2-33D4E9926ED4}</c15:txfldGUID>
                      <c15:f>Credit_2019Q3!$M$13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3C1B-4663-919D-6309926AEBDA}"/>
                </c:ext>
              </c:extLst>
            </c:dLbl>
            <c:dLbl>
              <c:idx val="2"/>
              <c:layout/>
              <c:tx>
                <c:strRef>
                  <c:f>Credit_2019Q3!$P$13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{508C51E0-E67F-4917-B383-1647708F4860}</c15:txfldGUID>
                      <c15:f>Credit_2019Q3!$P$13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3C1B-4663-919D-6309926AEBDA}"/>
                </c:ext>
              </c:extLst>
            </c:dLbl>
            <c:dLbl>
              <c:idx val="3"/>
              <c:layout/>
              <c:tx>
                <c:strRef>
                  <c:f>Credit_2019Q3!$S$13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{B8EA7B80-25FD-4DE2-81EA-F5663773F2FD}</c15:txfldGUID>
                      <c15:f>Credit_2019Q3!$S$13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3C1B-4663-919D-6309926AEBDA}"/>
                </c:ext>
              </c:extLst>
            </c:dLbl>
            <c:dLbl>
              <c:idx val="4"/>
              <c:tx>
                <c:strRef>
                  <c:f>Credit_2019Q3!$V$13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{E09AA680-4D85-4351-BC3A-B9D27DE2D9AC}</c15:txfldGUID>
                      <c15:f>Credit_2019Q3!$V$13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(Credit_2019Q3!$Z$13,Credit_2019Q3!$L$13,Credit_2019Q3!$O$13,Credit_2019Q3!$R$13,Credit_2019Q3!$U$13)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C1B-4663-919D-6309926AE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A97-457E-9D17-74D389703B63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A97-457E-9D17-74D389703B63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A97-457E-9D17-74D389703B63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A97-457E-9D17-74D389703B63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A97-457E-9D17-74D389703B63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A97-457E-9D17-74D389703B63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A97-457E-9D17-74D389703B63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A97-457E-9D17-74D389703B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Credit_2019Q2!$J$8:$J$13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Credit_2019Q2!$M$8:$M$13</c:f>
              <c:numCache>
                <c:formatCode>0%</c:formatCode>
                <c:ptCount val="6"/>
                <c:pt idx="0">
                  <c:v>6.6666666666666666E-2</c:v>
                </c:pt>
                <c:pt idx="1">
                  <c:v>0.24444444444444444</c:v>
                </c:pt>
                <c:pt idx="2">
                  <c:v>0.4</c:v>
                </c:pt>
                <c:pt idx="3">
                  <c:v>0.17777777777777778</c:v>
                </c:pt>
                <c:pt idx="4">
                  <c:v>8.8888888888888892E-2</c:v>
                </c:pt>
                <c:pt idx="5">
                  <c:v>2.2222222222222223E-2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97-457E-9D17-74D389703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Credit_2019Q2!$J$8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Credit_2019Q2!$J$8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{02F9E712-5B60-4D85-A847-CD576D316ED3}</c15:txfldGUID>
                      <c15:f>Credit_2019Q2!$J$8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D4D8-4EE5-AB09-E8E7C4BD4A27}"/>
                </c:ext>
              </c:extLst>
            </c:dLbl>
            <c:dLbl>
              <c:idx val="1"/>
              <c:layout/>
              <c:tx>
                <c:strRef>
                  <c:f>Credit_2019Q2!$M$8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{E63EDFD8-BE7A-4FFC-A3C2-933ECF1FCA44}</c15:txfldGUID>
                      <c15:f>Credit_2019Q2!$M$8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D4D8-4EE5-AB09-E8E7C4BD4A27}"/>
                </c:ext>
              </c:extLst>
            </c:dLbl>
            <c:dLbl>
              <c:idx val="2"/>
              <c:layout/>
              <c:tx>
                <c:strRef>
                  <c:f>Credit_2019Q2!$P$8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{9A67F840-3DAF-41A7-9414-4E3E5BFFD7A3}</c15:txfldGUID>
                      <c15:f>Credit_2019Q2!$P$8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D4D8-4EE5-AB09-E8E7C4BD4A27}"/>
                </c:ext>
              </c:extLst>
            </c:dLbl>
            <c:dLbl>
              <c:idx val="3"/>
              <c:layout/>
              <c:tx>
                <c:strRef>
                  <c:f>Credit_2019Q2!$S$8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{ACBC2C92-711C-4A10-AAE2-FAA7147E77DE}</c15:txfldGUID>
                      <c15:f>Credit_2019Q2!$S$8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D4D8-4EE5-AB09-E8E7C4BD4A27}"/>
                </c:ext>
              </c:extLst>
            </c:dLbl>
            <c:dLbl>
              <c:idx val="4"/>
              <c:tx>
                <c:strRef>
                  <c:f>Credit_2019Q2!$V$8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{979C6F28-E132-4040-879B-22A3CA2EAE1E}</c15:txfldGUID>
                      <c15:f>Credit_2019Q2!$V$8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(Credit_2019Q2!$Z$8,Credit_2019Q2!$L$8,Credit_2019Q2!$O$8,Credit_2019Q2!$R$8,Credit_2019Q2!$U$8)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D8-4EE5-AB09-E8E7C4BD4A27}"/>
            </c:ext>
          </c:extLst>
        </c:ser>
        <c:ser>
          <c:idx val="1"/>
          <c:order val="1"/>
          <c:tx>
            <c:strRef>
              <c:f>Credit_2019Q2!$J$9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Credit_2019Q2!$J$9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{2ED4D881-B6DB-4E1E-82FA-0F5E180B9C53}</c15:txfldGUID>
                      <c15:f>Credit_2019Q2!$J$9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D4D8-4EE5-AB09-E8E7C4BD4A27}"/>
                </c:ext>
              </c:extLst>
            </c:dLbl>
            <c:dLbl>
              <c:idx val="1"/>
              <c:layout/>
              <c:tx>
                <c:strRef>
                  <c:f>Credit_2019Q2!$M$9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{8F3FE1DC-DF04-44C1-AE40-9912752946DE}</c15:txfldGUID>
                      <c15:f>Credit_2019Q2!$M$9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D4D8-4EE5-AB09-E8E7C4BD4A27}"/>
                </c:ext>
              </c:extLst>
            </c:dLbl>
            <c:dLbl>
              <c:idx val="2"/>
              <c:layout/>
              <c:tx>
                <c:strRef>
                  <c:f>Credit_2019Q2!$P$9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{A62996BC-7B42-4F3D-AD65-A621D755701E}</c15:txfldGUID>
                      <c15:f>Credit_2019Q2!$P$9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D4D8-4EE5-AB09-E8E7C4BD4A27}"/>
                </c:ext>
              </c:extLst>
            </c:dLbl>
            <c:dLbl>
              <c:idx val="3"/>
              <c:layout/>
              <c:tx>
                <c:strRef>
                  <c:f>Credit_2019Q2!$S$9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{3E721C34-7DD8-4B3B-8642-27D08DC27F1B}</c15:txfldGUID>
                      <c15:f>Credit_2019Q2!$S$9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D4D8-4EE5-AB09-E8E7C4BD4A27}"/>
                </c:ext>
              </c:extLst>
            </c:dLbl>
            <c:dLbl>
              <c:idx val="4"/>
              <c:tx>
                <c:strRef>
                  <c:f>Credit_2019Q2!$V$9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{9D71450D-9B93-4201-BD7E-07E238313BF1}</c15:txfldGUID>
                      <c15:f>Credit_2019Q2!$V$9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(Credit_2019Q2!$Z$9,Credit_2019Q2!$L$9,Credit_2019Q2!$O$9,Credit_2019Q2!$R$9,Credit_2019Q2!$U$9)</c:f>
              <c:numCache>
                <c:formatCode>General</c:formatCode>
                <c:ptCount val="4"/>
                <c:pt idx="0">
                  <c:v>1</c:v>
                </c:pt>
                <c:pt idx="1">
                  <c:v>11</c:v>
                </c:pt>
                <c:pt idx="2">
                  <c:v>10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4D8-4EE5-AB09-E8E7C4BD4A27}"/>
            </c:ext>
          </c:extLst>
        </c:ser>
        <c:ser>
          <c:idx val="2"/>
          <c:order val="2"/>
          <c:tx>
            <c:strRef>
              <c:f>Credit_2019Q2!$J$10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Credit_2019Q2!$J$10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{64CAA0D5-6107-44F1-ABC2-A1C22BA78BD7}</c15:txfldGUID>
                      <c15:f>Credit_2019Q2!$J$10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D4D8-4EE5-AB09-E8E7C4BD4A27}"/>
                </c:ext>
              </c:extLst>
            </c:dLbl>
            <c:dLbl>
              <c:idx val="1"/>
              <c:layout/>
              <c:tx>
                <c:strRef>
                  <c:f>Credit_2019Q2!$M$10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{645CE1F0-73AE-4C91-A982-ED305C6E8637}</c15:txfldGUID>
                      <c15:f>Credit_2019Q2!$M$10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D4D8-4EE5-AB09-E8E7C4BD4A27}"/>
                </c:ext>
              </c:extLst>
            </c:dLbl>
            <c:dLbl>
              <c:idx val="2"/>
              <c:layout/>
              <c:tx>
                <c:strRef>
                  <c:f>Credit_2019Q2!$P$10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{FA9B6AA2-4E0C-41EC-B964-B652A0F6C93F}</c15:txfldGUID>
                      <c15:f>Credit_2019Q2!$P$10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D4D8-4EE5-AB09-E8E7C4BD4A27}"/>
                </c:ext>
              </c:extLst>
            </c:dLbl>
            <c:dLbl>
              <c:idx val="3"/>
              <c:layout/>
              <c:tx>
                <c:strRef>
                  <c:f>Credit_2019Q2!$S$10</c:f>
                  <c:strCache>
                    <c:ptCount val="1"/>
                    <c:pt idx="0">
                      <c:v>70%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{5C17649E-6AD9-499F-B77F-5C4A87C6D28B}</c15:txfldGUID>
                      <c15:f>Credit_2019Q2!$S$10</c15:f>
                      <c15:dlblFieldTableCache>
                        <c:ptCount val="1"/>
                        <c:pt idx="0">
                          <c:v>70%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D4D8-4EE5-AB09-E8E7C4BD4A27}"/>
                </c:ext>
              </c:extLst>
            </c:dLbl>
            <c:dLbl>
              <c:idx val="4"/>
              <c:tx>
                <c:strRef>
                  <c:f>Credit_2019Q2!$V$10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{D3C1F59F-A5CE-49FE-8FCD-ED3F5B837C68}</c15:txfldGUID>
                      <c15:f>Credit_2019Q2!$V$10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(Credit_2019Q2!$Z$10,Credit_2019Q2!$L$10,Credit_2019Q2!$O$10,Credit_2019Q2!$R$10,Credit_2019Q2!$U$10)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4D8-4EE5-AB09-E8E7C4BD4A27}"/>
            </c:ext>
          </c:extLst>
        </c:ser>
        <c:ser>
          <c:idx val="3"/>
          <c:order val="3"/>
          <c:tx>
            <c:strRef>
              <c:f>Credit_2019Q2!$J$11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Credit_2019Q2!$J$11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{EE2C2C18-60FE-477C-B075-E4A86E14F0D4}</c15:txfldGUID>
                      <c15:f>Credit_2019Q2!$J$11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D4D8-4EE5-AB09-E8E7C4BD4A27}"/>
                </c:ext>
              </c:extLst>
            </c:dLbl>
            <c:dLbl>
              <c:idx val="1"/>
              <c:layout/>
              <c:tx>
                <c:strRef>
                  <c:f>Credit_2019Q2!$M$11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{033CB5D2-784E-4F4F-91B5-D5886B7A395D}</c15:txfldGUID>
                      <c15:f>Credit_2019Q2!$M$11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D4D8-4EE5-AB09-E8E7C4BD4A27}"/>
                </c:ext>
              </c:extLst>
            </c:dLbl>
            <c:dLbl>
              <c:idx val="2"/>
              <c:layout/>
              <c:tx>
                <c:strRef>
                  <c:f>Credit_2019Q2!$P$11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{E136C1CC-CA3C-4623-ABB4-701AF1602519}</c15:txfldGUID>
                      <c15:f>Credit_2019Q2!$P$11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D4D8-4EE5-AB09-E8E7C4BD4A27}"/>
                </c:ext>
              </c:extLst>
            </c:dLbl>
            <c:dLbl>
              <c:idx val="3"/>
              <c:layout/>
              <c:tx>
                <c:strRef>
                  <c:f>Credit_2019Q2!$S$11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{5D3E82C0-73BC-4D07-BE51-7B57DCB829E3}</c15:txfldGUID>
                      <c15:f>Credit_2019Q2!$S$11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D4D8-4EE5-AB09-E8E7C4BD4A27}"/>
                </c:ext>
              </c:extLst>
            </c:dLbl>
            <c:dLbl>
              <c:idx val="4"/>
              <c:tx>
                <c:strRef>
                  <c:f>Credit_2019Q2!$V$11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{11508A00-845D-4572-9351-A3DB021F61A1}</c15:txfldGUID>
                      <c15:f>Credit_2019Q2!$V$11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(Credit_2019Q2!$Z$11,Credit_2019Q2!$L$11,Credit_2019Q2!$O$11,Credit_2019Q2!$R$11,Credit_2019Q2!$U$11)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4D8-4EE5-AB09-E8E7C4BD4A27}"/>
            </c:ext>
          </c:extLst>
        </c:ser>
        <c:ser>
          <c:idx val="4"/>
          <c:order val="4"/>
          <c:tx>
            <c:strRef>
              <c:f>Credit_2019Q2!$J$12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layout/>
              <c:tx>
                <c:strRef>
                  <c:f>Credit_2019Q2!$J$12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{D37A2959-C8E3-4959-BC99-9116C5EC3245}</c15:txfldGUID>
                      <c15:f>Credit_2019Q2!$J$12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D4D8-4EE5-AB09-E8E7C4BD4A27}"/>
                </c:ext>
              </c:extLst>
            </c:dLbl>
            <c:dLbl>
              <c:idx val="1"/>
              <c:layout/>
              <c:tx>
                <c:strRef>
                  <c:f>Credit_2019Q2!$M$12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{677CBCD3-AD15-4904-9C32-32AC2D96D85D}</c15:txfldGUID>
                      <c15:f>Credit_2019Q2!$M$12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D4D8-4EE5-AB09-E8E7C4BD4A27}"/>
                </c:ext>
              </c:extLst>
            </c:dLbl>
            <c:dLbl>
              <c:idx val="2"/>
              <c:layout/>
              <c:tx>
                <c:strRef>
                  <c:f>Credit_2019Q2!$P$12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{B8D85791-9CB3-4C75-9E71-24239EB0530B}</c15:txfldGUID>
                      <c15:f>Credit_2019Q2!$P$12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D4D8-4EE5-AB09-E8E7C4BD4A27}"/>
                </c:ext>
              </c:extLst>
            </c:dLbl>
            <c:dLbl>
              <c:idx val="3"/>
              <c:layout/>
              <c:tx>
                <c:strRef>
                  <c:f>Credit_2019Q2!$S$12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{FEE52ED1-BFEC-454A-9BE6-443E38F645F0}</c15:txfldGUID>
                      <c15:f>Credit_2019Q2!$S$12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D4D8-4EE5-AB09-E8E7C4BD4A27}"/>
                </c:ext>
              </c:extLst>
            </c:dLbl>
            <c:dLbl>
              <c:idx val="4"/>
              <c:tx>
                <c:strRef>
                  <c:f>Credit_2019Q2!$V$12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{E24363C9-06B0-4526-81FA-A3DE16AD0F4B}</c15:txfldGUID>
                      <c15:f>Credit_2019Q2!$V$12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(Credit_2019Q2!$Z$12,Credit_2019Q2!$L$12,Credit_2019Q2!$O$12,Credit_2019Q2!$R$12,Credit_2019Q2!$U$12)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4D8-4EE5-AB09-E8E7C4BD4A27}"/>
            </c:ext>
          </c:extLst>
        </c:ser>
        <c:ser>
          <c:idx val="5"/>
          <c:order val="5"/>
          <c:tx>
            <c:strRef>
              <c:f>Credit_2019Q2!$J$13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Credit_2019Q2!$J$13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{BAF0C951-E940-4586-9FA8-DB3F1DDED2BD}</c15:txfldGUID>
                      <c15:f>Credit_2019Q2!$J$13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D4D8-4EE5-AB09-E8E7C4BD4A27}"/>
                </c:ext>
              </c:extLst>
            </c:dLbl>
            <c:dLbl>
              <c:idx val="1"/>
              <c:layout/>
              <c:tx>
                <c:strRef>
                  <c:f>Credit_2019Q2!$M$13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{67EEF6C1-BAA2-4CD1-92FA-3D0AC3CAB20F}</c15:txfldGUID>
                      <c15:f>Credit_2019Q2!$M$13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D4D8-4EE5-AB09-E8E7C4BD4A27}"/>
                </c:ext>
              </c:extLst>
            </c:dLbl>
            <c:dLbl>
              <c:idx val="2"/>
              <c:layout/>
              <c:tx>
                <c:strRef>
                  <c:f>Credit_2019Q2!$P$13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{D497C19A-67FD-4A70-BECA-C7C18977C35E}</c15:txfldGUID>
                      <c15:f>Credit_2019Q2!$P$13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D4D8-4EE5-AB09-E8E7C4BD4A27}"/>
                </c:ext>
              </c:extLst>
            </c:dLbl>
            <c:dLbl>
              <c:idx val="3"/>
              <c:layout/>
              <c:tx>
                <c:strRef>
                  <c:f>Credit_2019Q2!$S$13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{BE26BF4A-D82A-46C8-AD87-3DB674741C66}</c15:txfldGUID>
                      <c15:f>Credit_2019Q2!$S$13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D4D8-4EE5-AB09-E8E7C4BD4A27}"/>
                </c:ext>
              </c:extLst>
            </c:dLbl>
            <c:dLbl>
              <c:idx val="4"/>
              <c:tx>
                <c:strRef>
                  <c:f>Credit_2019Q2!$V$13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{4967436B-3610-47F0-8F89-1FD2BF1C10A8}</c15:txfldGUID>
                      <c15:f>Credit_2019Q2!$V$13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(Credit_2019Q2!$Z$13,Credit_2019Q2!$L$13,Credit_2019Q2!$O$13,Credit_2019Q2!$R$13,Credit_2019Q2!$U$13)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4D8-4EE5-AB09-E8E7C4BD4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55ED-4134-850E-BE1F635166C5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5ED-4134-850E-BE1F635166C5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55ED-4134-850E-BE1F635166C5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55ED-4134-850E-BE1F635166C5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55ED-4134-850E-BE1F635166C5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55ED-4134-850E-BE1F635166C5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5ED-4134-850E-BE1F635166C5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55ED-4134-850E-BE1F635166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Credit_2019Q1!$J$8:$J$13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Credit_2019Q1!$M$8:$M$13</c:f>
              <c:numCache>
                <c:formatCode>0%</c:formatCode>
                <c:ptCount val="6"/>
                <c:pt idx="0">
                  <c:v>6.6666666666666666E-2</c:v>
                </c:pt>
                <c:pt idx="1">
                  <c:v>0.24444444444444444</c:v>
                </c:pt>
                <c:pt idx="2">
                  <c:v>0.4</c:v>
                </c:pt>
                <c:pt idx="3">
                  <c:v>0.17777777777777778</c:v>
                </c:pt>
                <c:pt idx="4">
                  <c:v>8.8888888888888892E-2</c:v>
                </c:pt>
                <c:pt idx="5">
                  <c:v>2.2222222222222223E-2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5ED-4134-850E-BE1F63516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Credit_2019Q1!$J$8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Credit_2019Q1!$J$8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{13178286-137C-4C8D-B0DD-960EBA30FD5D}</c15:txfldGUID>
                      <c15:f>Credit_2019Q1!$J$8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B700-414C-97E4-4370D1D32C30}"/>
                </c:ext>
              </c:extLst>
            </c:dLbl>
            <c:dLbl>
              <c:idx val="1"/>
              <c:layout/>
              <c:tx>
                <c:strRef>
                  <c:f>Credit_2019Q1!$M$8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{42D1B1E3-4E5E-4E0B-93E5-51B811E76E26}</c15:txfldGUID>
                      <c15:f>Credit_2019Q1!$M$8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B700-414C-97E4-4370D1D32C30}"/>
                </c:ext>
              </c:extLst>
            </c:dLbl>
            <c:dLbl>
              <c:idx val="2"/>
              <c:layout/>
              <c:tx>
                <c:strRef>
                  <c:f>Credit_2019Q1!$P$8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{33351601-6127-4D15-B901-48CA05CC203A}</c15:txfldGUID>
                      <c15:f>Credit_2019Q1!$P$8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B700-414C-97E4-4370D1D32C30}"/>
                </c:ext>
              </c:extLst>
            </c:dLbl>
            <c:dLbl>
              <c:idx val="3"/>
              <c:layout/>
              <c:tx>
                <c:strRef>
                  <c:f>Credit_2019Q1!$S$8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{FAE5B82A-FA93-4302-BD52-63849F1A4FA9}</c15:txfldGUID>
                      <c15:f>Credit_2019Q1!$S$8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B700-414C-97E4-4370D1D32C30}"/>
                </c:ext>
              </c:extLst>
            </c:dLbl>
            <c:dLbl>
              <c:idx val="4"/>
              <c:tx>
                <c:strRef>
                  <c:f>Credit_2019Q1!$V$8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{075BA6C6-9426-4AD7-81A9-D93F98043463}</c15:txfldGUID>
                      <c15:f>Credit_2019Q1!$V$8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(Credit_2019Q1!$Z$8,Credit_2019Q1!$L$8,Credit_2019Q1!$O$8,Credit_2019Q1!$R$8,Credit_2019Q1!$U$8)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00-414C-97E4-4370D1D32C30}"/>
            </c:ext>
          </c:extLst>
        </c:ser>
        <c:ser>
          <c:idx val="1"/>
          <c:order val="1"/>
          <c:tx>
            <c:strRef>
              <c:f>Credit_2019Q1!$J$9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Credit_2019Q1!$J$9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{73C07981-E15E-412D-92D7-5F229D1AA1D0}</c15:txfldGUID>
                      <c15:f>Credit_2019Q1!$J$9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B700-414C-97E4-4370D1D32C30}"/>
                </c:ext>
              </c:extLst>
            </c:dLbl>
            <c:dLbl>
              <c:idx val="1"/>
              <c:layout/>
              <c:tx>
                <c:strRef>
                  <c:f>Credit_2019Q1!$M$9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{C2174CDE-AD75-4234-BBBB-00A68C47A410}</c15:txfldGUID>
                      <c15:f>Credit_2019Q1!$M$9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B700-414C-97E4-4370D1D32C30}"/>
                </c:ext>
              </c:extLst>
            </c:dLbl>
            <c:dLbl>
              <c:idx val="2"/>
              <c:layout/>
              <c:tx>
                <c:strRef>
                  <c:f>Credit_2019Q1!$P$9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{54023838-7474-4C94-A456-BF3E38594D77}</c15:txfldGUID>
                      <c15:f>Credit_2019Q1!$P$9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B700-414C-97E4-4370D1D32C30}"/>
                </c:ext>
              </c:extLst>
            </c:dLbl>
            <c:dLbl>
              <c:idx val="3"/>
              <c:layout/>
              <c:tx>
                <c:strRef>
                  <c:f>Credit_2019Q1!$S$9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{7C69F732-ECC7-42A1-B5DF-E2B0F2F83921}</c15:txfldGUID>
                      <c15:f>Credit_2019Q1!$S$9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B700-414C-97E4-4370D1D32C30}"/>
                </c:ext>
              </c:extLst>
            </c:dLbl>
            <c:dLbl>
              <c:idx val="4"/>
              <c:tx>
                <c:strRef>
                  <c:f>Credit_2019Q1!$V$9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{C2373469-2B0C-463E-8676-5B9419937C69}</c15:txfldGUID>
                      <c15:f>Credit_2019Q1!$V$9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(Credit_2019Q1!$Z$9,Credit_2019Q1!$L$9,Credit_2019Q1!$O$9,Credit_2019Q1!$R$9,Credit_2019Q1!$U$9)</c:f>
              <c:numCache>
                <c:formatCode>General</c:formatCode>
                <c:ptCount val="4"/>
                <c:pt idx="0">
                  <c:v>1</c:v>
                </c:pt>
                <c:pt idx="1">
                  <c:v>11</c:v>
                </c:pt>
                <c:pt idx="2">
                  <c:v>10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700-414C-97E4-4370D1D32C30}"/>
            </c:ext>
          </c:extLst>
        </c:ser>
        <c:ser>
          <c:idx val="2"/>
          <c:order val="2"/>
          <c:tx>
            <c:strRef>
              <c:f>Credit_2019Q1!$J$10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Credit_2019Q1!$J$10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{7743407D-3CE7-4B0E-88AE-182672C0910E}</c15:txfldGUID>
                      <c15:f>Credit_2019Q1!$J$10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B700-414C-97E4-4370D1D32C30}"/>
                </c:ext>
              </c:extLst>
            </c:dLbl>
            <c:dLbl>
              <c:idx val="1"/>
              <c:layout/>
              <c:tx>
                <c:strRef>
                  <c:f>Credit_2019Q1!$M$10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{ED6DDFF5-36B2-4E03-9175-AA0ED3CF2052}</c15:txfldGUID>
                      <c15:f>Credit_2019Q1!$M$10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B700-414C-97E4-4370D1D32C30}"/>
                </c:ext>
              </c:extLst>
            </c:dLbl>
            <c:dLbl>
              <c:idx val="2"/>
              <c:layout/>
              <c:tx>
                <c:strRef>
                  <c:f>Credit_2019Q1!$P$10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{77FAFD5A-3436-4122-AF1C-09E5A95055D9}</c15:txfldGUID>
                      <c15:f>Credit_2019Q1!$P$10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B700-414C-97E4-4370D1D32C30}"/>
                </c:ext>
              </c:extLst>
            </c:dLbl>
            <c:dLbl>
              <c:idx val="3"/>
              <c:layout/>
              <c:tx>
                <c:strRef>
                  <c:f>Credit_2019Q1!$S$10</c:f>
                  <c:strCache>
                    <c:ptCount val="1"/>
                    <c:pt idx="0">
                      <c:v>70%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{30A9655D-EBF6-406D-B24A-59FA8D330D67}</c15:txfldGUID>
                      <c15:f>Credit_2019Q1!$S$10</c15:f>
                      <c15:dlblFieldTableCache>
                        <c:ptCount val="1"/>
                        <c:pt idx="0">
                          <c:v>70%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B700-414C-97E4-4370D1D32C30}"/>
                </c:ext>
              </c:extLst>
            </c:dLbl>
            <c:dLbl>
              <c:idx val="4"/>
              <c:tx>
                <c:strRef>
                  <c:f>Credit_2019Q1!$V$10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{F943A588-E2A5-4098-91F5-B7107E3E22B9}</c15:txfldGUID>
                      <c15:f>Credit_2019Q1!$V$10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(Credit_2019Q1!$Z$10,Credit_2019Q1!$L$10,Credit_2019Q1!$O$10,Credit_2019Q1!$R$10,Credit_2019Q1!$U$10)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700-414C-97E4-4370D1D32C30}"/>
            </c:ext>
          </c:extLst>
        </c:ser>
        <c:ser>
          <c:idx val="3"/>
          <c:order val="3"/>
          <c:tx>
            <c:strRef>
              <c:f>Credit_2019Q1!$J$11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Credit_2019Q1!$J$11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{4F7681D8-9272-4F91-A2C0-21EB76D7C235}</c15:txfldGUID>
                      <c15:f>Credit_2019Q1!$J$11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B700-414C-97E4-4370D1D32C30}"/>
                </c:ext>
              </c:extLst>
            </c:dLbl>
            <c:dLbl>
              <c:idx val="1"/>
              <c:layout/>
              <c:tx>
                <c:strRef>
                  <c:f>Credit_2019Q1!$M$11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{5F522A42-979E-4989-A38B-5EC665DB6A9E}</c15:txfldGUID>
                      <c15:f>Credit_2019Q1!$M$11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B700-414C-97E4-4370D1D32C30}"/>
                </c:ext>
              </c:extLst>
            </c:dLbl>
            <c:dLbl>
              <c:idx val="2"/>
              <c:layout/>
              <c:tx>
                <c:strRef>
                  <c:f>Credit_2019Q1!$P$11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{C29EC1FE-ABB5-4F81-98B1-486D6830CB2E}</c15:txfldGUID>
                      <c15:f>Credit_2019Q1!$P$11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B700-414C-97E4-4370D1D32C30}"/>
                </c:ext>
              </c:extLst>
            </c:dLbl>
            <c:dLbl>
              <c:idx val="3"/>
              <c:layout/>
              <c:tx>
                <c:strRef>
                  <c:f>Credit_2019Q1!$S$11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{5227685D-238C-4773-9423-DEBEEFB3FCDE}</c15:txfldGUID>
                      <c15:f>Credit_2019Q1!$S$11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B700-414C-97E4-4370D1D32C30}"/>
                </c:ext>
              </c:extLst>
            </c:dLbl>
            <c:dLbl>
              <c:idx val="4"/>
              <c:tx>
                <c:strRef>
                  <c:f>Credit_2019Q1!$V$11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{1F543500-1DB3-4025-953C-7A33B40F20A0}</c15:txfldGUID>
                      <c15:f>Credit_2019Q1!$V$11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(Credit_2019Q1!$Z$11,Credit_2019Q1!$L$11,Credit_2019Q1!$O$11,Credit_2019Q1!$R$11,Credit_2019Q1!$U$11)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700-414C-97E4-4370D1D32C30}"/>
            </c:ext>
          </c:extLst>
        </c:ser>
        <c:ser>
          <c:idx val="4"/>
          <c:order val="4"/>
          <c:tx>
            <c:strRef>
              <c:f>Credit_2019Q1!$J$12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layout/>
              <c:tx>
                <c:strRef>
                  <c:f>Credit_2019Q1!$J$12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{1083EC00-CE33-4C4A-8231-B1F82FF37748}</c15:txfldGUID>
                      <c15:f>Credit_2019Q1!$J$12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B700-414C-97E4-4370D1D32C30}"/>
                </c:ext>
              </c:extLst>
            </c:dLbl>
            <c:dLbl>
              <c:idx val="1"/>
              <c:layout/>
              <c:tx>
                <c:strRef>
                  <c:f>Credit_2019Q1!$M$12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{31040386-69F8-442E-BF79-750B3A80B5CB}</c15:txfldGUID>
                      <c15:f>Credit_2019Q1!$M$12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B700-414C-97E4-4370D1D32C30}"/>
                </c:ext>
              </c:extLst>
            </c:dLbl>
            <c:dLbl>
              <c:idx val="2"/>
              <c:layout/>
              <c:tx>
                <c:strRef>
                  <c:f>Credit_2019Q1!$P$12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{64ACF301-9EC6-48F3-9592-0277E6995276}</c15:txfldGUID>
                      <c15:f>Credit_2019Q1!$P$12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B700-414C-97E4-4370D1D32C30}"/>
                </c:ext>
              </c:extLst>
            </c:dLbl>
            <c:dLbl>
              <c:idx val="3"/>
              <c:layout/>
              <c:tx>
                <c:strRef>
                  <c:f>Credit_2019Q1!$S$12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{5483C28E-9970-40F6-A759-017E8D4D3031}</c15:txfldGUID>
                      <c15:f>Credit_2019Q1!$S$12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B700-414C-97E4-4370D1D32C30}"/>
                </c:ext>
              </c:extLst>
            </c:dLbl>
            <c:dLbl>
              <c:idx val="4"/>
              <c:tx>
                <c:strRef>
                  <c:f>Credit_2019Q1!$V$12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{717CEEEE-D802-49A0-9EED-F85428BBD51F}</c15:txfldGUID>
                      <c15:f>Credit_2019Q1!$V$12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(Credit_2019Q1!$Z$12,Credit_2019Q1!$L$12,Credit_2019Q1!$O$12,Credit_2019Q1!$R$12,Credit_2019Q1!$U$12)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700-414C-97E4-4370D1D32C30}"/>
            </c:ext>
          </c:extLst>
        </c:ser>
        <c:ser>
          <c:idx val="5"/>
          <c:order val="5"/>
          <c:tx>
            <c:strRef>
              <c:f>Credit_2019Q1!$J$13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Credit_2019Q1!$J$13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{7DA02040-D8F3-40ED-94F3-6DCCD2C3CD85}</c15:txfldGUID>
                      <c15:f>Credit_2019Q1!$J$13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B700-414C-97E4-4370D1D32C30}"/>
                </c:ext>
              </c:extLst>
            </c:dLbl>
            <c:dLbl>
              <c:idx val="1"/>
              <c:layout/>
              <c:tx>
                <c:strRef>
                  <c:f>Credit_2019Q1!$M$13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{366C973D-65AC-438B-A0DB-90C16096DC24}</c15:txfldGUID>
                      <c15:f>Credit_2019Q1!$M$13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B700-414C-97E4-4370D1D32C30}"/>
                </c:ext>
              </c:extLst>
            </c:dLbl>
            <c:dLbl>
              <c:idx val="2"/>
              <c:layout/>
              <c:tx>
                <c:strRef>
                  <c:f>Credit_2019Q1!$P$13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{1124801F-9BC0-4F0F-A486-A2496D73C762}</c15:txfldGUID>
                      <c15:f>Credit_2019Q1!$P$13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B700-414C-97E4-4370D1D32C30}"/>
                </c:ext>
              </c:extLst>
            </c:dLbl>
            <c:dLbl>
              <c:idx val="3"/>
              <c:layout/>
              <c:tx>
                <c:strRef>
                  <c:f>Credit_2019Q1!$S$13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{731F525A-336B-4E53-AB48-9EC2E361B731}</c15:txfldGUID>
                      <c15:f>Credit_2019Q1!$S$13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B700-414C-97E4-4370D1D32C30}"/>
                </c:ext>
              </c:extLst>
            </c:dLbl>
            <c:dLbl>
              <c:idx val="4"/>
              <c:tx>
                <c:strRef>
                  <c:f>Credit_2019Q1!$V$13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{5901C881-AC4C-4950-8A9D-19A24BB089E3}</c15:txfldGUID>
                      <c15:f>Credit_2019Q1!$V$13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(Credit_2019Q1!$Z$13,Credit_2019Q1!$L$13,Credit_2019Q1!$O$13,Credit_2019Q1!$R$13,Credit_2019Q1!$U$13)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700-414C-97E4-4370D1D32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95094615655159E-2"/>
          <c:y val="0.11219538918490186"/>
          <c:w val="0.84172980031071476"/>
          <c:h val="0.66341621431072384"/>
        </c:manualLayout>
      </c:layout>
      <c:lineChart>
        <c:grouping val="standard"/>
        <c:varyColors val="0"/>
        <c:ser>
          <c:idx val="1"/>
          <c:order val="0"/>
          <c:tx>
            <c:strRef>
              <c:f>'IV. Direction of Rating Action'!$C$13</c:f>
              <c:strCache>
                <c:ptCount val="1"/>
                <c:pt idx="0">
                  <c:v>% Upgrades</c:v>
                </c:pt>
              </c:strCache>
            </c:strRef>
          </c:tx>
          <c:spPr>
            <a:ln w="25400">
              <a:solidFill>
                <a:srgbClr val="80808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808080"/>
              </a:solidFill>
              <a:ln>
                <a:solidFill>
                  <a:srgbClr val="808080"/>
                </a:solidFill>
                <a:prstDash val="solid"/>
              </a:ln>
            </c:spPr>
          </c:marker>
          <c:dLbls>
            <c:dLbl>
              <c:idx val="17"/>
              <c:layout>
                <c:manualLayout>
                  <c:x val="-1.4220889000256743E-2"/>
                  <c:y val="-5.3359173732889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70E-4C4B-A921-A3CA6EE7AB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Franklin Gothic Book"/>
                    <a:ea typeface="Franklin Gothic Book"/>
                    <a:cs typeface="Franklin Gothic Book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'IV. Direction of Rating Action'!$G$9:$X$9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'IV. Direction of Rating Action'!$G$13:$X$13</c:f>
              <c:numCache>
                <c:formatCode>0.0%</c:formatCode>
                <c:ptCount val="18"/>
                <c:pt idx="0">
                  <c:v>0.60330578512396693</c:v>
                </c:pt>
                <c:pt idx="1">
                  <c:v>0.60909090909090913</c:v>
                </c:pt>
                <c:pt idx="2">
                  <c:v>0.60330578512396693</c:v>
                </c:pt>
                <c:pt idx="3">
                  <c:v>0.48</c:v>
                </c:pt>
                <c:pt idx="4">
                  <c:v>0.40350877192982454</c:v>
                </c:pt>
                <c:pt idx="5">
                  <c:v>0.36249999999999999</c:v>
                </c:pt>
                <c:pt idx="6">
                  <c:v>0.65</c:v>
                </c:pt>
                <c:pt idx="7">
                  <c:v>0.48684210526315791</c:v>
                </c:pt>
                <c:pt idx="8">
                  <c:v>0.75</c:v>
                </c:pt>
                <c:pt idx="9">
                  <c:v>0.97169811320754718</c:v>
                </c:pt>
                <c:pt idx="10">
                  <c:v>0.7</c:v>
                </c:pt>
                <c:pt idx="11">
                  <c:v>0.73134328358208955</c:v>
                </c:pt>
                <c:pt idx="12">
                  <c:v>0.73076923076923073</c:v>
                </c:pt>
                <c:pt idx="13">
                  <c:v>0.44086021505376344</c:v>
                </c:pt>
                <c:pt idx="14">
                  <c:v>0.61111111111111116</c:v>
                </c:pt>
                <c:pt idx="15">
                  <c:v>0.20338983050847459</c:v>
                </c:pt>
                <c:pt idx="16">
                  <c:v>0.38461538461538464</c:v>
                </c:pt>
                <c:pt idx="17">
                  <c:v>0.625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66-45A5-888E-6ADA2E87D04C}"/>
            </c:ext>
          </c:extLst>
        </c:ser>
        <c:ser>
          <c:idx val="2"/>
          <c:order val="2"/>
          <c:tx>
            <c:strRef>
              <c:f>'IV. Direction of Rating Action'!$C$16</c:f>
              <c:strCache>
                <c:ptCount val="1"/>
                <c:pt idx="0">
                  <c:v>Upgrades = Downgrades</c:v>
                </c:pt>
              </c:strCache>
            </c:strRef>
          </c:tx>
          <c:spPr>
            <a:ln>
              <a:solidFill>
                <a:srgbClr val="0070C0"/>
              </a:solidFill>
              <a:prstDash val="sysDash"/>
            </a:ln>
          </c:spPr>
          <c:marker>
            <c:symbol val="none"/>
          </c:marker>
          <c:cat>
            <c:numRef>
              <c:f>'IV. Direction of Rating Action'!$G$9:$X$9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'IV. Direction of Rating Action'!$G$16:$X$16</c:f>
              <c:numCache>
                <c:formatCode>0%</c:formatCode>
                <c:ptCount val="18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0.5</c:v>
                </c:pt>
                <c:pt idx="11">
                  <c:v>0.5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  <c:pt idx="17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66-45A5-888E-6ADA2E87D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932096"/>
        <c:axId val="256582400"/>
      </c:lineChart>
      <c:lineChart>
        <c:grouping val="standard"/>
        <c:varyColors val="0"/>
        <c:ser>
          <c:idx val="0"/>
          <c:order val="1"/>
          <c:tx>
            <c:strRef>
              <c:f>'IV. Direction of Rating Action'!$C$14</c:f>
              <c:strCache>
                <c:ptCount val="1"/>
                <c:pt idx="0">
                  <c:v>Total Rating Activity</c:v>
                </c:pt>
              </c:strCache>
            </c:strRef>
          </c:tx>
          <c:spPr>
            <a:ln w="38100">
              <a:solidFill>
                <a:srgbClr val="CCCC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CCCCFF"/>
              </a:solidFill>
              <a:ln>
                <a:solidFill>
                  <a:srgbClr val="CCCCFF"/>
                </a:solidFill>
                <a:prstDash val="solid"/>
              </a:ln>
            </c:spPr>
          </c:marker>
          <c:dLbls>
            <c:dLbl>
              <c:idx val="13"/>
              <c:layout>
                <c:manualLayout>
                  <c:x val="-1.7813468481875115E-2"/>
                  <c:y val="-4.8967859555853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CA66-45A5-888E-6ADA2E87D04C}"/>
                </c:ext>
              </c:extLst>
            </c:dLbl>
            <c:dLbl>
              <c:idx val="17"/>
              <c:layout>
                <c:manualLayout>
                  <c:x val="-1.3982331377405672E-2"/>
                  <c:y val="4.9102680729171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4A0-4FF0-BD60-706C660B470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Franklin Gothic Book"/>
                    <a:ea typeface="Franklin Gothic Book"/>
                    <a:cs typeface="Franklin Gothic Book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'IV. Direction of Rating Action'!$G$9:$X$9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'IV. Direction of Rating Action'!$G$14:$X$14</c:f>
              <c:numCache>
                <c:formatCode>General</c:formatCode>
                <c:ptCount val="18"/>
                <c:pt idx="0">
                  <c:v>121</c:v>
                </c:pt>
                <c:pt idx="1">
                  <c:v>110</c:v>
                </c:pt>
                <c:pt idx="2">
                  <c:v>121</c:v>
                </c:pt>
                <c:pt idx="3">
                  <c:v>50</c:v>
                </c:pt>
                <c:pt idx="4">
                  <c:v>57</c:v>
                </c:pt>
                <c:pt idx="5">
                  <c:v>80</c:v>
                </c:pt>
                <c:pt idx="6">
                  <c:v>60</c:v>
                </c:pt>
                <c:pt idx="7">
                  <c:v>76</c:v>
                </c:pt>
                <c:pt idx="8">
                  <c:v>80</c:v>
                </c:pt>
                <c:pt idx="9">
                  <c:v>106</c:v>
                </c:pt>
                <c:pt idx="10">
                  <c:v>50</c:v>
                </c:pt>
                <c:pt idx="11">
                  <c:v>67</c:v>
                </c:pt>
                <c:pt idx="12">
                  <c:v>52</c:v>
                </c:pt>
                <c:pt idx="13">
                  <c:v>93</c:v>
                </c:pt>
                <c:pt idx="14">
                  <c:v>90</c:v>
                </c:pt>
                <c:pt idx="15">
                  <c:v>59</c:v>
                </c:pt>
                <c:pt idx="16">
                  <c:v>52</c:v>
                </c:pt>
                <c:pt idx="17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66-45A5-888E-6ADA2E87D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583936"/>
        <c:axId val="256593920"/>
      </c:lineChart>
      <c:catAx>
        <c:axId val="25893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anklin Gothic Book"/>
                <a:ea typeface="Franklin Gothic Book"/>
                <a:cs typeface="Franklin Gothic Book"/>
              </a:defRPr>
            </a:pPr>
            <a:endParaRPr lang="en-US"/>
          </a:p>
        </c:txPr>
        <c:crossAx val="256582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6582400"/>
        <c:scaling>
          <c:orientation val="minMax"/>
          <c:max val="1"/>
          <c:min val="0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anklin Gothic Book"/>
                <a:ea typeface="Franklin Gothic Book"/>
                <a:cs typeface="Franklin Gothic Book"/>
              </a:defRPr>
            </a:pPr>
            <a:endParaRPr lang="en-US"/>
          </a:p>
        </c:txPr>
        <c:crossAx val="258932096"/>
        <c:crosses val="autoZero"/>
        <c:crossBetween val="between"/>
        <c:majorUnit val="0.25"/>
      </c:valAx>
      <c:catAx>
        <c:axId val="256583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6593920"/>
        <c:crosses val="autoZero"/>
        <c:auto val="0"/>
        <c:lblAlgn val="ctr"/>
        <c:lblOffset val="100"/>
        <c:noMultiLvlLbl val="0"/>
      </c:catAx>
      <c:valAx>
        <c:axId val="25659392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anklin Gothic Book"/>
                <a:ea typeface="Franklin Gothic Book"/>
                <a:cs typeface="Franklin Gothic Book"/>
              </a:defRPr>
            </a:pPr>
            <a:endParaRPr lang="en-US"/>
          </a:p>
        </c:txPr>
        <c:crossAx val="256583936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178" r="0.75000000000000178" t="1" header="0.5" footer="0.5"/>
    <c:pageSetup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3DE0-4EB4-9A78-1A2722508421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DE0-4EB4-9A78-1A2722508421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3DE0-4EB4-9A78-1A2722508421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3DE0-4EB4-9A78-1A272250842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3DE0-4EB4-9A78-1A2722508421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3DE0-4EB4-9A78-1A2722508421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DE0-4EB4-9A78-1A2722508421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DE0-4EB4-9A78-1A27225084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Credit_2018Q4!$J$8:$J$13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Credit_2018Q4!$M$8:$M$13</c:f>
              <c:numCache>
                <c:formatCode>0%</c:formatCode>
                <c:ptCount val="6"/>
                <c:pt idx="0">
                  <c:v>6.3829787234042548E-2</c:v>
                </c:pt>
                <c:pt idx="1">
                  <c:v>0.27659574468085107</c:v>
                </c:pt>
                <c:pt idx="2">
                  <c:v>0.38297872340425532</c:v>
                </c:pt>
                <c:pt idx="3">
                  <c:v>0.1702127659574468</c:v>
                </c:pt>
                <c:pt idx="4">
                  <c:v>0.10638297872340426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DE0-4EB4-9A78-1A2722508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Credit_2018Q4!$J$8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Credit_2018Q4!$J$8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{9F590751-5313-4BF1-AC17-8C8CB9703085}</c15:txfldGUID>
                      <c15:f>Credit_2018Q4!$J$8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D43C-4BA4-903B-FCD5C821590D}"/>
                </c:ext>
              </c:extLst>
            </c:dLbl>
            <c:dLbl>
              <c:idx val="1"/>
              <c:layout/>
              <c:tx>
                <c:strRef>
                  <c:f>Credit_2018Q4!$M$8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{FACBFB6D-AC64-41B0-86F2-9B8B4CB12DC1}</c15:txfldGUID>
                      <c15:f>Credit_2018Q4!$M$8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D43C-4BA4-903B-FCD5C821590D}"/>
                </c:ext>
              </c:extLst>
            </c:dLbl>
            <c:dLbl>
              <c:idx val="2"/>
              <c:layout/>
              <c:tx>
                <c:strRef>
                  <c:f>Credit_2018Q4!$P$8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{14C30368-DE0B-45E5-9BAA-4618C91F8768}</c15:txfldGUID>
                      <c15:f>Credit_2018Q4!$P$8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D43C-4BA4-903B-FCD5C821590D}"/>
                </c:ext>
              </c:extLst>
            </c:dLbl>
            <c:dLbl>
              <c:idx val="3"/>
              <c:layout/>
              <c:tx>
                <c:strRef>
                  <c:f>Credit_2018Q4!$S$8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{F5A15617-95B7-48D1-830C-4EE6E92C720B}</c15:txfldGUID>
                      <c15:f>Credit_2018Q4!$S$8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D43C-4BA4-903B-FCD5C821590D}"/>
                </c:ext>
              </c:extLst>
            </c:dLbl>
            <c:dLbl>
              <c:idx val="4"/>
              <c:tx>
                <c:strRef>
                  <c:f>Credit_2018Q4!$V$8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{D2D487EA-CF64-460B-89A7-ECBFAD9CDEB0}</c15:txfldGUID>
                      <c15:f>Credit_2018Q4!$V$8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(Credit_2018Q4!$Z$8,Credit_2018Q4!$L$8,Credit_2018Q4!$O$8,Credit_2018Q4!$R$8,Credit_2018Q4!$U$8)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3C-4BA4-903B-FCD5C821590D}"/>
            </c:ext>
          </c:extLst>
        </c:ser>
        <c:ser>
          <c:idx val="1"/>
          <c:order val="1"/>
          <c:tx>
            <c:strRef>
              <c:f>Credit_2018Q4!$J$9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Credit_2018Q4!$J$9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{1139C31A-2AAC-4016-A8A8-EA920FF5C936}</c15:txfldGUID>
                      <c15:f>Credit_2018Q4!$J$9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D43C-4BA4-903B-FCD5C821590D}"/>
                </c:ext>
              </c:extLst>
            </c:dLbl>
            <c:dLbl>
              <c:idx val="1"/>
              <c:layout/>
              <c:tx>
                <c:strRef>
                  <c:f>Credit_2018Q4!$M$9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{119334C5-A1E2-4AA6-9616-407B5AC03F64}</c15:txfldGUID>
                      <c15:f>Credit_2018Q4!$M$9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D43C-4BA4-903B-FCD5C821590D}"/>
                </c:ext>
              </c:extLst>
            </c:dLbl>
            <c:dLbl>
              <c:idx val="2"/>
              <c:layout/>
              <c:tx>
                <c:strRef>
                  <c:f>Credit_2018Q4!$P$9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{C9DDF246-268A-4667-BE2D-372508816F7C}</c15:txfldGUID>
                      <c15:f>Credit_2018Q4!$P$9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D43C-4BA4-903B-FCD5C821590D}"/>
                </c:ext>
              </c:extLst>
            </c:dLbl>
            <c:dLbl>
              <c:idx val="3"/>
              <c:layout/>
              <c:tx>
                <c:strRef>
                  <c:f>Credit_2018Q4!$S$9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{51FCFF86-7046-4DC2-9C0C-C304BD3347EC}</c15:txfldGUID>
                      <c15:f>Credit_2018Q4!$S$9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D43C-4BA4-903B-FCD5C821590D}"/>
                </c:ext>
              </c:extLst>
            </c:dLbl>
            <c:dLbl>
              <c:idx val="4"/>
              <c:tx>
                <c:strRef>
                  <c:f>Credit_2018Q4!$V$9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{E4E0B5BE-D4DC-47A6-9F97-6583E035C574}</c15:txfldGUID>
                      <c15:f>Credit_2018Q4!$V$9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(Credit_2018Q4!$Z$9,Credit_2018Q4!$L$9,Credit_2018Q4!$O$9,Credit_2018Q4!$R$9,Credit_2018Q4!$U$9)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43C-4BA4-903B-FCD5C821590D}"/>
            </c:ext>
          </c:extLst>
        </c:ser>
        <c:ser>
          <c:idx val="2"/>
          <c:order val="2"/>
          <c:tx>
            <c:strRef>
              <c:f>Credit_2018Q4!$J$10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Credit_2018Q4!$J$10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{A2658C50-FE1C-47CD-A605-9C7C13AB5860}</c15:txfldGUID>
                      <c15:f>Credit_2018Q4!$J$10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D43C-4BA4-903B-FCD5C821590D}"/>
                </c:ext>
              </c:extLst>
            </c:dLbl>
            <c:dLbl>
              <c:idx val="1"/>
              <c:layout/>
              <c:tx>
                <c:strRef>
                  <c:f>Credit_2018Q4!$M$10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{A2498C04-568E-4AF2-A26C-BF9E5B51865C}</c15:txfldGUID>
                      <c15:f>Credit_2018Q4!$M$10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D43C-4BA4-903B-FCD5C821590D}"/>
                </c:ext>
              </c:extLst>
            </c:dLbl>
            <c:dLbl>
              <c:idx val="2"/>
              <c:layout/>
              <c:tx>
                <c:strRef>
                  <c:f>Credit_2018Q4!$P$10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{513254DF-E980-4E6B-B62F-E3558528FEBA}</c15:txfldGUID>
                      <c15:f>Credit_2018Q4!$P$10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D43C-4BA4-903B-FCD5C821590D}"/>
                </c:ext>
              </c:extLst>
            </c:dLbl>
            <c:dLbl>
              <c:idx val="3"/>
              <c:layout/>
              <c:tx>
                <c:strRef>
                  <c:f>Credit_2018Q4!$S$10</c:f>
                  <c:strCache>
                    <c:ptCount val="1"/>
                    <c:pt idx="0">
                      <c:v>54%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{C649EFD7-E6AB-4D90-BC02-12AEEA552063}</c15:txfldGUID>
                      <c15:f>Credit_2018Q4!$S$10</c15:f>
                      <c15:dlblFieldTableCache>
                        <c:ptCount val="1"/>
                        <c:pt idx="0">
                          <c:v>54%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D43C-4BA4-903B-FCD5C821590D}"/>
                </c:ext>
              </c:extLst>
            </c:dLbl>
            <c:dLbl>
              <c:idx val="4"/>
              <c:tx>
                <c:strRef>
                  <c:f>Credit_2018Q4!$V$10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{636EEF65-8289-443C-B7BA-2E743307FCC6}</c15:txfldGUID>
                      <c15:f>Credit_2018Q4!$V$10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(Credit_2018Q4!$Z$10,Credit_2018Q4!$L$10,Credit_2018Q4!$O$10,Credit_2018Q4!$R$10,Credit_2018Q4!$U$10)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43C-4BA4-903B-FCD5C821590D}"/>
            </c:ext>
          </c:extLst>
        </c:ser>
        <c:ser>
          <c:idx val="3"/>
          <c:order val="3"/>
          <c:tx>
            <c:strRef>
              <c:f>Credit_2018Q4!$J$11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Credit_2018Q4!$J$11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{AD756DED-647D-42F6-B56C-7B38F7ECD801}</c15:txfldGUID>
                      <c15:f>Credit_2018Q4!$J$11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D43C-4BA4-903B-FCD5C821590D}"/>
                </c:ext>
              </c:extLst>
            </c:dLbl>
            <c:dLbl>
              <c:idx val="1"/>
              <c:layout/>
              <c:tx>
                <c:strRef>
                  <c:f>Credit_2018Q4!$M$11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{FBB07AF4-B826-4FAA-AE13-6D2596E287A4}</c15:txfldGUID>
                      <c15:f>Credit_2018Q4!$M$11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D43C-4BA4-903B-FCD5C821590D}"/>
                </c:ext>
              </c:extLst>
            </c:dLbl>
            <c:dLbl>
              <c:idx val="2"/>
              <c:layout/>
              <c:tx>
                <c:strRef>
                  <c:f>Credit_2018Q4!$P$11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{A37B5102-7142-46EF-8C66-A2179ABCA03B}</c15:txfldGUID>
                      <c15:f>Credit_2018Q4!$P$11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D43C-4BA4-903B-FCD5C821590D}"/>
                </c:ext>
              </c:extLst>
            </c:dLbl>
            <c:dLbl>
              <c:idx val="3"/>
              <c:layout/>
              <c:tx>
                <c:strRef>
                  <c:f>Credit_2018Q4!$S$11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{D330D807-4A19-433C-80CE-34C16E2EB643}</c15:txfldGUID>
                      <c15:f>Credit_2018Q4!$S$11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D43C-4BA4-903B-FCD5C821590D}"/>
                </c:ext>
              </c:extLst>
            </c:dLbl>
            <c:dLbl>
              <c:idx val="4"/>
              <c:tx>
                <c:strRef>
                  <c:f>Credit_2018Q4!$V$11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{C6CACBB4-AA97-4B12-A493-668ACEBA4985}</c15:txfldGUID>
                      <c15:f>Credit_2018Q4!$V$11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(Credit_2018Q4!$Z$11,Credit_2018Q4!$L$11,Credit_2018Q4!$O$11,Credit_2018Q4!$R$11,Credit_2018Q4!$U$11)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43C-4BA4-903B-FCD5C821590D}"/>
            </c:ext>
          </c:extLst>
        </c:ser>
        <c:ser>
          <c:idx val="4"/>
          <c:order val="4"/>
          <c:tx>
            <c:strRef>
              <c:f>Credit_2018Q4!$J$12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layout/>
              <c:tx>
                <c:strRef>
                  <c:f>Credit_2018Q4!$J$12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{44781C40-1ECA-4B33-AD5A-92E7CC434F97}</c15:txfldGUID>
                      <c15:f>Credit_2018Q4!$J$12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D43C-4BA4-903B-FCD5C821590D}"/>
                </c:ext>
              </c:extLst>
            </c:dLbl>
            <c:dLbl>
              <c:idx val="1"/>
              <c:layout/>
              <c:tx>
                <c:strRef>
                  <c:f>Credit_2018Q4!$M$12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{3E6FCEFC-0835-4525-8A00-487A703D634F}</c15:txfldGUID>
                      <c15:f>Credit_2018Q4!$M$12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D43C-4BA4-903B-FCD5C821590D}"/>
                </c:ext>
              </c:extLst>
            </c:dLbl>
            <c:dLbl>
              <c:idx val="2"/>
              <c:layout/>
              <c:tx>
                <c:strRef>
                  <c:f>Credit_2018Q4!$P$12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{4EDB2A33-983D-40C0-8F0E-7726A415F3AE}</c15:txfldGUID>
                      <c15:f>Credit_2018Q4!$P$12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D43C-4BA4-903B-FCD5C821590D}"/>
                </c:ext>
              </c:extLst>
            </c:dLbl>
            <c:dLbl>
              <c:idx val="3"/>
              <c:layout/>
              <c:tx>
                <c:strRef>
                  <c:f>Credit_2018Q4!$S$12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{BEABA037-89D7-46BA-B21A-B590FF602F0E}</c15:txfldGUID>
                      <c15:f>Credit_2018Q4!$S$12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D43C-4BA4-903B-FCD5C821590D}"/>
                </c:ext>
              </c:extLst>
            </c:dLbl>
            <c:dLbl>
              <c:idx val="4"/>
              <c:tx>
                <c:strRef>
                  <c:f>Credit_2018Q4!$V$12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{FF7A2C60-99DB-40ED-AA85-839B16B6E560}</c15:txfldGUID>
                      <c15:f>Credit_2018Q4!$V$12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(Credit_2018Q4!$Z$12,Credit_2018Q4!$L$12,Credit_2018Q4!$O$12,Credit_2018Q4!$R$12,Credit_2018Q4!$U$12)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43C-4BA4-903B-FCD5C821590D}"/>
            </c:ext>
          </c:extLst>
        </c:ser>
        <c:ser>
          <c:idx val="5"/>
          <c:order val="5"/>
          <c:tx>
            <c:strRef>
              <c:f>Credit_2018Q4!$J$13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Credit_2018Q4!$J$13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{A47BB28A-49A6-42AC-B653-CECD9F3B2997}</c15:txfldGUID>
                      <c15:f>Credit_2018Q4!$J$13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D43C-4BA4-903B-FCD5C821590D}"/>
                </c:ext>
              </c:extLst>
            </c:dLbl>
            <c:dLbl>
              <c:idx val="1"/>
              <c:layout/>
              <c:tx>
                <c:strRef>
                  <c:f>Credit_2018Q4!$M$13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{0F94F268-DEF2-465B-93E9-26C59AA1BF37}</c15:txfldGUID>
                      <c15:f>Credit_2018Q4!$M$13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D43C-4BA4-903B-FCD5C821590D}"/>
                </c:ext>
              </c:extLst>
            </c:dLbl>
            <c:dLbl>
              <c:idx val="2"/>
              <c:layout/>
              <c:tx>
                <c:strRef>
                  <c:f>Credit_2018Q4!$P$13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{17B89DB0-F0DE-445E-96C6-7029A6F908B3}</c15:txfldGUID>
                      <c15:f>Credit_2018Q4!$P$13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D43C-4BA4-903B-FCD5C821590D}"/>
                </c:ext>
              </c:extLst>
            </c:dLbl>
            <c:dLbl>
              <c:idx val="3"/>
              <c:layout/>
              <c:tx>
                <c:strRef>
                  <c:f>Credit_2018Q4!$S$13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{86409268-8B3C-4EDD-AF74-2CEC99E5554E}</c15:txfldGUID>
                      <c15:f>Credit_2018Q4!$S$13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D43C-4BA4-903B-FCD5C821590D}"/>
                </c:ext>
              </c:extLst>
            </c:dLbl>
            <c:dLbl>
              <c:idx val="4"/>
              <c:tx>
                <c:strRef>
                  <c:f>Credit_2018Q4!$V$13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{ADC76C6D-BC31-41F4-9485-8D9A8CBE6CE7}</c15:txfldGUID>
                      <c15:f>Credit_2018Q4!$V$13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(Credit_2018Q4!$Z$13,Credit_2018Q4!$L$13,Credit_2018Q4!$O$13,Credit_2018Q4!$R$13,Credit_2018Q4!$U$13)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43C-4BA4-903B-FCD5C8215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503E-4E0F-9B83-5D7DDEFD2B49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03E-4E0F-9B83-5D7DDEFD2B49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503E-4E0F-9B83-5D7DDEFD2B49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503E-4E0F-9B83-5D7DDEFD2B49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503E-4E0F-9B83-5D7DDEFD2B49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503E-4E0F-9B83-5D7DDEFD2B49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03E-4E0F-9B83-5D7DDEFD2B49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503E-4E0F-9B83-5D7DDEFD2B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Credit_2018Q3!$J$8:$J$13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Credit_2018Q3!$M$8:$M$13</c:f>
              <c:numCache>
                <c:formatCode>0%</c:formatCode>
                <c:ptCount val="6"/>
                <c:pt idx="0">
                  <c:v>6.3829787234042548E-2</c:v>
                </c:pt>
                <c:pt idx="1">
                  <c:v>0.27659574468085107</c:v>
                </c:pt>
                <c:pt idx="2">
                  <c:v>0.36170212765957449</c:v>
                </c:pt>
                <c:pt idx="3">
                  <c:v>0.19148936170212766</c:v>
                </c:pt>
                <c:pt idx="4">
                  <c:v>0.10638297872340426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03E-4E0F-9B83-5D7DDEFD2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Credit_2018Q3!$J$8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Credit_2018Q3!$J$8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{37D9B8C6-2D70-466A-98EE-C50DD0755094}</c15:txfldGUID>
                      <c15:f>Credit_2018Q3!$J$8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BDB5-4EB1-8897-1F98F25C70ED}"/>
                </c:ext>
              </c:extLst>
            </c:dLbl>
            <c:dLbl>
              <c:idx val="1"/>
              <c:layout/>
              <c:tx>
                <c:strRef>
                  <c:f>Credit_2018Q3!$M$8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{095EA0C3-90F7-4782-935B-016323D6588C}</c15:txfldGUID>
                      <c15:f>Credit_2018Q3!$M$8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BDB5-4EB1-8897-1F98F25C70ED}"/>
                </c:ext>
              </c:extLst>
            </c:dLbl>
            <c:dLbl>
              <c:idx val="2"/>
              <c:layout/>
              <c:tx>
                <c:strRef>
                  <c:f>Credit_2018Q3!$P$8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{C300C2C3-43BF-4283-8FE0-A2022092A713}</c15:txfldGUID>
                      <c15:f>Credit_2018Q3!$P$8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BDB5-4EB1-8897-1F98F25C70ED}"/>
                </c:ext>
              </c:extLst>
            </c:dLbl>
            <c:dLbl>
              <c:idx val="3"/>
              <c:layout/>
              <c:tx>
                <c:strRef>
                  <c:f>Credit_2018Q3!$S$8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{D762EB9F-A853-44B6-BB37-489FC21C7AA2}</c15:txfldGUID>
                      <c15:f>Credit_2018Q3!$S$8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BDB5-4EB1-8897-1F98F25C70ED}"/>
                </c:ext>
              </c:extLst>
            </c:dLbl>
            <c:dLbl>
              <c:idx val="4"/>
              <c:tx>
                <c:strRef>
                  <c:f>Credit_2018Q3!$V$8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{8F5DA077-869E-4FF7-88C9-4D17F0A3EEDA}</c15:txfldGUID>
                      <c15:f>Credit_2018Q3!$V$8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(Credit_2018Q3!$Z$8,Credit_2018Q3!$L$8,Credit_2018Q3!$O$8,Credit_2018Q3!$R$8,Credit_2018Q3!$U$8)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DB5-4EB1-8897-1F98F25C70ED}"/>
            </c:ext>
          </c:extLst>
        </c:ser>
        <c:ser>
          <c:idx val="1"/>
          <c:order val="1"/>
          <c:tx>
            <c:strRef>
              <c:f>Credit_2018Q3!$J$9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Credit_2018Q3!$J$9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{7EC9DBC5-D2F6-4BBC-985E-21FF4F1E8C55}</c15:txfldGUID>
                      <c15:f>Credit_2018Q3!$J$9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BDB5-4EB1-8897-1F98F25C70ED}"/>
                </c:ext>
              </c:extLst>
            </c:dLbl>
            <c:dLbl>
              <c:idx val="1"/>
              <c:layout/>
              <c:tx>
                <c:strRef>
                  <c:f>Credit_2018Q3!$M$9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{29D4E538-B014-4296-9627-605A4ADC2576}</c15:txfldGUID>
                      <c15:f>Credit_2018Q3!$M$9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BDB5-4EB1-8897-1F98F25C70ED}"/>
                </c:ext>
              </c:extLst>
            </c:dLbl>
            <c:dLbl>
              <c:idx val="2"/>
              <c:layout/>
              <c:tx>
                <c:strRef>
                  <c:f>Credit_2018Q3!$P$9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{AF997C47-4557-4AA0-AEA0-E4989BBD47E9}</c15:txfldGUID>
                      <c15:f>Credit_2018Q3!$P$9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BDB5-4EB1-8897-1F98F25C70ED}"/>
                </c:ext>
              </c:extLst>
            </c:dLbl>
            <c:dLbl>
              <c:idx val="3"/>
              <c:layout/>
              <c:tx>
                <c:strRef>
                  <c:f>Credit_2018Q3!$S$9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{8A8CE874-6353-49B0-B70A-DA01C4565293}</c15:txfldGUID>
                      <c15:f>Credit_2018Q3!$S$9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BDB5-4EB1-8897-1F98F25C70ED}"/>
                </c:ext>
              </c:extLst>
            </c:dLbl>
            <c:dLbl>
              <c:idx val="4"/>
              <c:tx>
                <c:strRef>
                  <c:f>Credit_2018Q3!$V$9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{543F2C2F-B9C6-4497-9DF3-7055C5DA22AB}</c15:txfldGUID>
                      <c15:f>Credit_2018Q3!$V$9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(Credit_2018Q3!$Z$9,Credit_2018Q3!$L$9,Credit_2018Q3!$O$9,Credit_2018Q3!$R$9,Credit_2018Q3!$U$9)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DB5-4EB1-8897-1F98F25C70ED}"/>
            </c:ext>
          </c:extLst>
        </c:ser>
        <c:ser>
          <c:idx val="2"/>
          <c:order val="2"/>
          <c:tx>
            <c:strRef>
              <c:f>Credit_2018Q3!$J$10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Credit_2018Q3!$J$10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{FD19C579-E9CC-4584-A11B-95D2FA76A496}</c15:txfldGUID>
                      <c15:f>Credit_2018Q3!$J$10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BDB5-4EB1-8897-1F98F25C70ED}"/>
                </c:ext>
              </c:extLst>
            </c:dLbl>
            <c:dLbl>
              <c:idx val="1"/>
              <c:layout/>
              <c:tx>
                <c:strRef>
                  <c:f>Credit_2018Q3!$M$10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{9B821704-8526-4D11-9D58-F7CE352C900D}</c15:txfldGUID>
                      <c15:f>Credit_2018Q3!$M$10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BDB5-4EB1-8897-1F98F25C70ED}"/>
                </c:ext>
              </c:extLst>
            </c:dLbl>
            <c:dLbl>
              <c:idx val="2"/>
              <c:layout/>
              <c:tx>
                <c:strRef>
                  <c:f>Credit_2018Q3!$P$10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{D990A8FC-5129-4CFA-8F87-D3C3C7027E84}</c15:txfldGUID>
                      <c15:f>Credit_2018Q3!$P$10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BDB5-4EB1-8897-1F98F25C70ED}"/>
                </c:ext>
              </c:extLst>
            </c:dLbl>
            <c:dLbl>
              <c:idx val="3"/>
              <c:layout/>
              <c:tx>
                <c:strRef>
                  <c:f>Credit_2018Q3!$S$10</c:f>
                  <c:strCache>
                    <c:ptCount val="1"/>
                    <c:pt idx="0">
                      <c:v>54%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{4CE4A1D9-D2E8-47F7-BD5B-AEAA19454974}</c15:txfldGUID>
                      <c15:f>Credit_2018Q3!$S$10</c15:f>
                      <c15:dlblFieldTableCache>
                        <c:ptCount val="1"/>
                        <c:pt idx="0">
                          <c:v>54%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BDB5-4EB1-8897-1F98F25C70ED}"/>
                </c:ext>
              </c:extLst>
            </c:dLbl>
            <c:dLbl>
              <c:idx val="4"/>
              <c:tx>
                <c:strRef>
                  <c:f>Credit_2018Q3!$V$10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{9676F6A4-2826-4118-846B-F395594F2B31}</c15:txfldGUID>
                      <c15:f>Credit_2018Q3!$V$10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(Credit_2018Q3!$Z$10,Credit_2018Q3!$L$10,Credit_2018Q3!$O$10,Credit_2018Q3!$R$10,Credit_2018Q3!$U$10)</c:f>
              <c:numCache>
                <c:formatCode>General</c:formatCode>
                <c:ptCount val="4"/>
                <c:pt idx="0">
                  <c:v>1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DB5-4EB1-8897-1F98F25C70ED}"/>
            </c:ext>
          </c:extLst>
        </c:ser>
        <c:ser>
          <c:idx val="3"/>
          <c:order val="3"/>
          <c:tx>
            <c:strRef>
              <c:f>Credit_2018Q3!$J$11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Credit_2018Q3!$J$11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{B6709609-800B-4B13-8514-2FB2FA8D297D}</c15:txfldGUID>
                      <c15:f>Credit_2018Q3!$J$11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BDB5-4EB1-8897-1F98F25C70ED}"/>
                </c:ext>
              </c:extLst>
            </c:dLbl>
            <c:dLbl>
              <c:idx val="1"/>
              <c:layout/>
              <c:tx>
                <c:strRef>
                  <c:f>Credit_2018Q3!$M$11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{6ACABF52-7739-4D02-95B1-9CC7A26C00C1}</c15:txfldGUID>
                      <c15:f>Credit_2018Q3!$M$11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BDB5-4EB1-8897-1F98F25C70ED}"/>
                </c:ext>
              </c:extLst>
            </c:dLbl>
            <c:dLbl>
              <c:idx val="2"/>
              <c:layout/>
              <c:tx>
                <c:strRef>
                  <c:f>Credit_2018Q3!$P$11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{94C1E1E4-FF4C-471E-8AB6-FF3ABAEDB52D}</c15:txfldGUID>
                      <c15:f>Credit_2018Q3!$P$11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BDB5-4EB1-8897-1F98F25C70ED}"/>
                </c:ext>
              </c:extLst>
            </c:dLbl>
            <c:dLbl>
              <c:idx val="3"/>
              <c:layout/>
              <c:tx>
                <c:strRef>
                  <c:f>Credit_2018Q3!$S$11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{B390B4ED-76D5-4254-AB2B-E683486F64ED}</c15:txfldGUID>
                      <c15:f>Credit_2018Q3!$S$11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BDB5-4EB1-8897-1F98F25C70ED}"/>
                </c:ext>
              </c:extLst>
            </c:dLbl>
            <c:dLbl>
              <c:idx val="4"/>
              <c:tx>
                <c:strRef>
                  <c:f>Credit_2018Q3!$V$11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{5E50DC4B-5A33-4C69-960D-5A2D157DF761}</c15:txfldGUID>
                      <c15:f>Credit_2018Q3!$V$11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(Credit_2018Q3!$Z$11,Credit_2018Q3!$L$11,Credit_2018Q3!$O$11,Credit_2018Q3!$R$11,Credit_2018Q3!$U$11)</c:f>
              <c:numCache>
                <c:formatCode>General</c:formatCode>
                <c:ptCount val="4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DB5-4EB1-8897-1F98F25C70ED}"/>
            </c:ext>
          </c:extLst>
        </c:ser>
        <c:ser>
          <c:idx val="4"/>
          <c:order val="4"/>
          <c:tx>
            <c:strRef>
              <c:f>Credit_2018Q3!$J$12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layout/>
              <c:tx>
                <c:strRef>
                  <c:f>Credit_2018Q3!$J$12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{CB327F84-85D3-40F0-8BCF-18387A2CECC0}</c15:txfldGUID>
                      <c15:f>Credit_2018Q3!$J$12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BDB5-4EB1-8897-1F98F25C70ED}"/>
                </c:ext>
              </c:extLst>
            </c:dLbl>
            <c:dLbl>
              <c:idx val="1"/>
              <c:layout/>
              <c:tx>
                <c:strRef>
                  <c:f>Credit_2018Q3!$M$12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{8CFAA2B2-F17E-4F25-AAA3-9D5279D3396F}</c15:txfldGUID>
                      <c15:f>Credit_2018Q3!$M$12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BDB5-4EB1-8897-1F98F25C70ED}"/>
                </c:ext>
              </c:extLst>
            </c:dLbl>
            <c:dLbl>
              <c:idx val="2"/>
              <c:layout/>
              <c:tx>
                <c:strRef>
                  <c:f>Credit_2018Q3!$P$12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{DDE46C57-8AEE-48D6-89FC-4A9F8566C84A}</c15:txfldGUID>
                      <c15:f>Credit_2018Q3!$P$12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BDB5-4EB1-8897-1F98F25C70ED}"/>
                </c:ext>
              </c:extLst>
            </c:dLbl>
            <c:dLbl>
              <c:idx val="3"/>
              <c:layout/>
              <c:tx>
                <c:strRef>
                  <c:f>Credit_2018Q3!$S$12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{198B0DCF-B01F-41F4-AA04-C9BAA31039F3}</c15:txfldGUID>
                      <c15:f>Credit_2018Q3!$S$12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BDB5-4EB1-8897-1F98F25C70ED}"/>
                </c:ext>
              </c:extLst>
            </c:dLbl>
            <c:dLbl>
              <c:idx val="4"/>
              <c:tx>
                <c:strRef>
                  <c:f>Credit_2018Q3!$V$12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{8DAACD44-1AD6-4515-9712-B12B1FD67004}</c15:txfldGUID>
                      <c15:f>Credit_2018Q3!$V$12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(Credit_2018Q3!$Z$12,Credit_2018Q3!$L$12,Credit_2018Q3!$O$12,Credit_2018Q3!$R$12,Credit_2018Q3!$U$12)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DB5-4EB1-8897-1F98F25C70ED}"/>
            </c:ext>
          </c:extLst>
        </c:ser>
        <c:ser>
          <c:idx val="5"/>
          <c:order val="5"/>
          <c:tx>
            <c:strRef>
              <c:f>Credit_2018Q3!$J$13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Credit_2018Q3!$J$13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{6036CC9C-27A8-4FD4-A850-4213AD9AAC37}</c15:txfldGUID>
                      <c15:f>Credit_2018Q3!$J$13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BDB5-4EB1-8897-1F98F25C70ED}"/>
                </c:ext>
              </c:extLst>
            </c:dLbl>
            <c:dLbl>
              <c:idx val="1"/>
              <c:layout/>
              <c:tx>
                <c:strRef>
                  <c:f>Credit_2018Q3!$M$13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{AE628906-5EC6-4846-A7F7-CDC4CBBE3CB2}</c15:txfldGUID>
                      <c15:f>Credit_2018Q3!$M$13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BDB5-4EB1-8897-1F98F25C70ED}"/>
                </c:ext>
              </c:extLst>
            </c:dLbl>
            <c:dLbl>
              <c:idx val="2"/>
              <c:layout/>
              <c:tx>
                <c:strRef>
                  <c:f>Credit_2018Q3!$P$13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{CDDF3CE6-E71C-4A65-BC2A-6E21826902BA}</c15:txfldGUID>
                      <c15:f>Credit_2018Q3!$P$13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BDB5-4EB1-8897-1F98F25C70ED}"/>
                </c:ext>
              </c:extLst>
            </c:dLbl>
            <c:dLbl>
              <c:idx val="3"/>
              <c:layout/>
              <c:tx>
                <c:strRef>
                  <c:f>Credit_2018Q3!$S$13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{E1ECC68E-D58E-4AA5-9991-366FE062F22D}</c15:txfldGUID>
                      <c15:f>Credit_2018Q3!$S$13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BDB5-4EB1-8897-1F98F25C70ED}"/>
                </c:ext>
              </c:extLst>
            </c:dLbl>
            <c:dLbl>
              <c:idx val="4"/>
              <c:tx>
                <c:strRef>
                  <c:f>Credit_2018Q3!$V$13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{82591E8C-FE22-496D-9A0E-6D7C7D0B67A8}</c15:txfldGUID>
                      <c15:f>Credit_2018Q3!$V$13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(Credit_2018Q3!$Z$13,Credit_2018Q3!$L$13,Credit_2018Q3!$O$13,Credit_2018Q3!$R$13,Credit_2018Q3!$U$13)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DB5-4EB1-8897-1F98F25C7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A07-47DA-8E07-EC7947BA171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A07-47DA-8E07-EC7947BA171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A07-47DA-8E07-EC7947BA171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6A07-47DA-8E07-EC7947BA171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6A07-47DA-8E07-EC7947BA171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6A07-47DA-8E07-EC7947BA171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A07-47DA-8E07-EC7947BA171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6A07-47DA-8E07-EC7947BA17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Credit_2018Q2!$J$8:$J$13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Credit_2018Q2!$M$8:$M$13</c:f>
              <c:numCache>
                <c:formatCode>0%</c:formatCode>
                <c:ptCount val="6"/>
                <c:pt idx="0">
                  <c:v>6.3829787234042548E-2</c:v>
                </c:pt>
                <c:pt idx="1">
                  <c:v>0.27659574468085107</c:v>
                </c:pt>
                <c:pt idx="2">
                  <c:v>0.31914893617021278</c:v>
                </c:pt>
                <c:pt idx="3">
                  <c:v>0.23404255319148937</c:v>
                </c:pt>
                <c:pt idx="4">
                  <c:v>0.10638297872340426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A07-47DA-8E07-EC7947BA1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Credit_2018Q2!$J$8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Credit_2018Q2!$J$8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{3267F0F6-9864-48E4-B0D3-AADA99FB3887}</c15:txfldGUID>
                      <c15:f>Credit_2018Q2!$J$8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1B73-4183-9479-BD74BF27091F}"/>
                </c:ext>
              </c:extLst>
            </c:dLbl>
            <c:dLbl>
              <c:idx val="1"/>
              <c:layout/>
              <c:tx>
                <c:strRef>
                  <c:f>Credit_2018Q2!$M$8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{3CB35E39-0F72-4427-85C4-A9B1F7985145}</c15:txfldGUID>
                      <c15:f>Credit_2018Q2!$M$8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1B73-4183-9479-BD74BF27091F}"/>
                </c:ext>
              </c:extLst>
            </c:dLbl>
            <c:dLbl>
              <c:idx val="2"/>
              <c:layout/>
              <c:tx>
                <c:strRef>
                  <c:f>Credit_2018Q2!$P$8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{D533D0B8-2F39-417D-98F7-30BF23D9B689}</c15:txfldGUID>
                      <c15:f>Credit_2018Q2!$P$8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1B73-4183-9479-BD74BF27091F}"/>
                </c:ext>
              </c:extLst>
            </c:dLbl>
            <c:dLbl>
              <c:idx val="3"/>
              <c:layout/>
              <c:tx>
                <c:strRef>
                  <c:f>Credit_2018Q2!$S$8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{DEC6D773-1B69-4645-A61A-A236FCC342ED}</c15:txfldGUID>
                      <c15:f>Credit_2018Q2!$S$8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1B73-4183-9479-BD74BF27091F}"/>
                </c:ext>
              </c:extLst>
            </c:dLbl>
            <c:dLbl>
              <c:idx val="4"/>
              <c:tx>
                <c:strRef>
                  <c:f>Credit_2018Q2!$V$8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{C1BA796A-B077-4E51-A5F2-8B7A2C8D6368}</c15:txfldGUID>
                      <c15:f>Credit_2018Q2!$V$8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(Credit_2018Q2!$Z$8,Credit_2018Q2!$L$8,Credit_2018Q2!$O$8,Credit_2018Q2!$R$8,Credit_2018Q2!$U$8)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B73-4183-9479-BD74BF27091F}"/>
            </c:ext>
          </c:extLst>
        </c:ser>
        <c:ser>
          <c:idx val="1"/>
          <c:order val="1"/>
          <c:tx>
            <c:strRef>
              <c:f>Credit_2018Q2!$J$9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Credit_2018Q2!$J$9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{39F71DC9-9B98-4683-9C51-EF7AD209375A}</c15:txfldGUID>
                      <c15:f>Credit_2018Q2!$J$9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1B73-4183-9479-BD74BF27091F}"/>
                </c:ext>
              </c:extLst>
            </c:dLbl>
            <c:dLbl>
              <c:idx val="1"/>
              <c:layout/>
              <c:tx>
                <c:strRef>
                  <c:f>Credit_2018Q2!$M$9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{411A90ED-16AA-445E-B7D2-E2FDACF63DE3}</c15:txfldGUID>
                      <c15:f>Credit_2018Q2!$M$9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1B73-4183-9479-BD74BF27091F}"/>
                </c:ext>
              </c:extLst>
            </c:dLbl>
            <c:dLbl>
              <c:idx val="2"/>
              <c:layout/>
              <c:tx>
                <c:strRef>
                  <c:f>Credit_2018Q2!$P$9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{93753D0D-AB80-4533-AE88-CF289AF38233}</c15:txfldGUID>
                      <c15:f>Credit_2018Q2!$P$9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1B73-4183-9479-BD74BF27091F}"/>
                </c:ext>
              </c:extLst>
            </c:dLbl>
            <c:dLbl>
              <c:idx val="3"/>
              <c:layout/>
              <c:tx>
                <c:strRef>
                  <c:f>Credit_2018Q2!$S$9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{3B80E4E2-0799-47AA-BF14-0DAEF2FD43B2}</c15:txfldGUID>
                      <c15:f>Credit_2018Q2!$S$9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B73-4183-9479-BD74BF27091F}"/>
                </c:ext>
              </c:extLst>
            </c:dLbl>
            <c:dLbl>
              <c:idx val="4"/>
              <c:tx>
                <c:strRef>
                  <c:f>Credit_2018Q2!$V$9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{40467BFA-347D-4506-9E39-F85237334C0D}</c15:txfldGUID>
                      <c15:f>Credit_2018Q2!$V$9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(Credit_2018Q2!$Z$9,Credit_2018Q2!$L$9,Credit_2018Q2!$O$9,Credit_2018Q2!$R$9,Credit_2018Q2!$U$9)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B73-4183-9479-BD74BF27091F}"/>
            </c:ext>
          </c:extLst>
        </c:ser>
        <c:ser>
          <c:idx val="2"/>
          <c:order val="2"/>
          <c:tx>
            <c:strRef>
              <c:f>Credit_2018Q2!$J$10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Credit_2018Q2!$J$10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{9D2E694A-F72D-4486-8ADC-24D89FA45B73}</c15:txfldGUID>
                      <c15:f>Credit_2018Q2!$J$10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B73-4183-9479-BD74BF27091F}"/>
                </c:ext>
              </c:extLst>
            </c:dLbl>
            <c:dLbl>
              <c:idx val="1"/>
              <c:layout/>
              <c:tx>
                <c:strRef>
                  <c:f>Credit_2018Q2!$M$10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{DC1AAC98-A416-4077-8A98-81E7B7D1D62B}</c15:txfldGUID>
                      <c15:f>Credit_2018Q2!$M$10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B73-4183-9479-BD74BF27091F}"/>
                </c:ext>
              </c:extLst>
            </c:dLbl>
            <c:dLbl>
              <c:idx val="2"/>
              <c:layout/>
              <c:tx>
                <c:strRef>
                  <c:f>Credit_2018Q2!$P$10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{8310E9B8-207E-43CB-B124-02138DA8845C}</c15:txfldGUID>
                      <c15:f>Credit_2018Q2!$P$10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B73-4183-9479-BD74BF27091F}"/>
                </c:ext>
              </c:extLst>
            </c:dLbl>
            <c:dLbl>
              <c:idx val="3"/>
              <c:layout/>
              <c:tx>
                <c:strRef>
                  <c:f>Credit_2018Q2!$S$10</c:f>
                  <c:strCache>
                    <c:ptCount val="1"/>
                    <c:pt idx="0">
                      <c:v>54%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{14EBA650-4D2F-460E-8587-90F0170F2D73}</c15:txfldGUID>
                      <c15:f>Credit_2018Q2!$S$10</c15:f>
                      <c15:dlblFieldTableCache>
                        <c:ptCount val="1"/>
                        <c:pt idx="0">
                          <c:v>54%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1B73-4183-9479-BD74BF27091F}"/>
                </c:ext>
              </c:extLst>
            </c:dLbl>
            <c:dLbl>
              <c:idx val="4"/>
              <c:tx>
                <c:strRef>
                  <c:f>Credit_2018Q2!$V$10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{2007B146-05CC-4374-8ED0-FB09B056725A}</c15:txfldGUID>
                      <c15:f>Credit_2018Q2!$V$10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(Credit_2018Q2!$Z$10,Credit_2018Q2!$L$10,Credit_2018Q2!$O$10,Credit_2018Q2!$R$10,Credit_2018Q2!$U$10)</c:f>
              <c:numCache>
                <c:formatCode>General</c:formatCode>
                <c:ptCount val="4"/>
                <c:pt idx="0">
                  <c:v>1</c:v>
                </c:pt>
                <c:pt idx="1">
                  <c:v>15</c:v>
                </c:pt>
                <c:pt idx="2">
                  <c:v>8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B73-4183-9479-BD74BF27091F}"/>
            </c:ext>
          </c:extLst>
        </c:ser>
        <c:ser>
          <c:idx val="3"/>
          <c:order val="3"/>
          <c:tx>
            <c:strRef>
              <c:f>Credit_2018Q2!$J$11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Credit_2018Q2!$J$11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{599FCB2C-99FC-4D18-A51A-A24AEB9D8546}</c15:txfldGUID>
                      <c15:f>Credit_2018Q2!$J$11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1B73-4183-9479-BD74BF27091F}"/>
                </c:ext>
              </c:extLst>
            </c:dLbl>
            <c:dLbl>
              <c:idx val="1"/>
              <c:layout/>
              <c:tx>
                <c:strRef>
                  <c:f>Credit_2018Q2!$M$11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{0BFBE20A-2F94-4A9E-832D-6D33BB1F928A}</c15:txfldGUID>
                      <c15:f>Credit_2018Q2!$M$11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1B73-4183-9479-BD74BF27091F}"/>
                </c:ext>
              </c:extLst>
            </c:dLbl>
            <c:dLbl>
              <c:idx val="2"/>
              <c:layout/>
              <c:tx>
                <c:strRef>
                  <c:f>Credit_2018Q2!$P$11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{91B6F115-6612-4186-BB21-79FDE57F3CA9}</c15:txfldGUID>
                      <c15:f>Credit_2018Q2!$P$11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1B73-4183-9479-BD74BF27091F}"/>
                </c:ext>
              </c:extLst>
            </c:dLbl>
            <c:dLbl>
              <c:idx val="3"/>
              <c:layout/>
              <c:tx>
                <c:strRef>
                  <c:f>Credit_2018Q2!$S$11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{164058CA-AF63-4291-A82E-F7AADDF09075}</c15:txfldGUID>
                      <c15:f>Credit_2018Q2!$S$11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1B73-4183-9479-BD74BF27091F}"/>
                </c:ext>
              </c:extLst>
            </c:dLbl>
            <c:dLbl>
              <c:idx val="4"/>
              <c:tx>
                <c:strRef>
                  <c:f>Credit_2018Q2!$V$11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{D3E30843-FD08-4A00-9B99-8B468F931C4F}</c15:txfldGUID>
                      <c15:f>Credit_2018Q2!$V$11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(Credit_2018Q2!$Z$11,Credit_2018Q2!$L$11,Credit_2018Q2!$O$11,Credit_2018Q2!$R$11,Credit_2018Q2!$U$11)</c:f>
              <c:numCache>
                <c:formatCode>General</c:formatCode>
                <c:ptCount val="4"/>
                <c:pt idx="0">
                  <c:v>1</c:v>
                </c:pt>
                <c:pt idx="1">
                  <c:v>11</c:v>
                </c:pt>
                <c:pt idx="2">
                  <c:v>10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B73-4183-9479-BD74BF27091F}"/>
            </c:ext>
          </c:extLst>
        </c:ser>
        <c:ser>
          <c:idx val="4"/>
          <c:order val="4"/>
          <c:tx>
            <c:strRef>
              <c:f>Credit_2018Q2!$J$12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layout/>
              <c:tx>
                <c:strRef>
                  <c:f>Credit_2018Q2!$J$12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{7A97B449-7B4C-454D-B9A9-47BC35C6F774}</c15:txfldGUID>
                      <c15:f>Credit_2018Q2!$J$12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1B73-4183-9479-BD74BF27091F}"/>
                </c:ext>
              </c:extLst>
            </c:dLbl>
            <c:dLbl>
              <c:idx val="1"/>
              <c:layout/>
              <c:tx>
                <c:strRef>
                  <c:f>Credit_2018Q2!$M$12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{2BAD4F2D-D312-41E8-B592-4EF852175352}</c15:txfldGUID>
                      <c15:f>Credit_2018Q2!$M$12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1B73-4183-9479-BD74BF27091F}"/>
                </c:ext>
              </c:extLst>
            </c:dLbl>
            <c:dLbl>
              <c:idx val="2"/>
              <c:layout/>
              <c:tx>
                <c:strRef>
                  <c:f>Credit_2018Q2!$P$12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{F11D7623-A8AF-4099-A5AE-1833493140D0}</c15:txfldGUID>
                      <c15:f>Credit_2018Q2!$P$12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1B73-4183-9479-BD74BF27091F}"/>
                </c:ext>
              </c:extLst>
            </c:dLbl>
            <c:dLbl>
              <c:idx val="3"/>
              <c:layout/>
              <c:tx>
                <c:strRef>
                  <c:f>Credit_2018Q2!$S$12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{B70BC925-A32A-4036-A434-DD23298702DD}</c15:txfldGUID>
                      <c15:f>Credit_2018Q2!$S$12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1B73-4183-9479-BD74BF27091F}"/>
                </c:ext>
              </c:extLst>
            </c:dLbl>
            <c:dLbl>
              <c:idx val="4"/>
              <c:tx>
                <c:strRef>
                  <c:f>Credit_2018Q2!$V$12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{B7237426-4D11-490E-8E04-E871B0EE5B83}</c15:txfldGUID>
                      <c15:f>Credit_2018Q2!$V$12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(Credit_2018Q2!$Z$12,Credit_2018Q2!$L$12,Credit_2018Q2!$O$12,Credit_2018Q2!$R$12,Credit_2018Q2!$U$12)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B73-4183-9479-BD74BF27091F}"/>
            </c:ext>
          </c:extLst>
        </c:ser>
        <c:ser>
          <c:idx val="5"/>
          <c:order val="5"/>
          <c:tx>
            <c:strRef>
              <c:f>Credit_2018Q2!$J$13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Credit_2018Q2!$J$13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{0FDC7526-E5FA-4000-9578-196FC98D260E}</c15:txfldGUID>
                      <c15:f>Credit_2018Q2!$J$13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1B73-4183-9479-BD74BF27091F}"/>
                </c:ext>
              </c:extLst>
            </c:dLbl>
            <c:dLbl>
              <c:idx val="1"/>
              <c:layout/>
              <c:tx>
                <c:strRef>
                  <c:f>Credit_2018Q2!$M$13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{87BF6442-827A-4E93-B930-0C0452E2F574}</c15:txfldGUID>
                      <c15:f>Credit_2018Q2!$M$13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1B73-4183-9479-BD74BF27091F}"/>
                </c:ext>
              </c:extLst>
            </c:dLbl>
            <c:dLbl>
              <c:idx val="2"/>
              <c:layout/>
              <c:tx>
                <c:strRef>
                  <c:f>Credit_2018Q2!$P$13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{B308F5EB-B226-4F67-8FF1-AB0AAD2A03DA}</c15:txfldGUID>
                      <c15:f>Credit_2018Q2!$P$13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1B73-4183-9479-BD74BF27091F}"/>
                </c:ext>
              </c:extLst>
            </c:dLbl>
            <c:dLbl>
              <c:idx val="3"/>
              <c:layout/>
              <c:tx>
                <c:strRef>
                  <c:f>Credit_2018Q2!$S$13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{3D23ADF6-2078-4D6B-A496-1EE943B78E61}</c15:txfldGUID>
                      <c15:f>Credit_2018Q2!$S$13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1B73-4183-9479-BD74BF27091F}"/>
                </c:ext>
              </c:extLst>
            </c:dLbl>
            <c:dLbl>
              <c:idx val="4"/>
              <c:tx>
                <c:strRef>
                  <c:f>Credit_2018Q2!$V$13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{26CF6299-E0BA-4001-A163-A0028D605D68}</c15:txfldGUID>
                      <c15:f>Credit_2018Q2!$V$13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(Credit_2018Q2!$Z$13,Credit_2018Q2!$L$13,Credit_2018Q2!$O$13,Credit_2018Q2!$R$13,Credit_2018Q2!$U$13)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B73-4183-9479-BD74BF270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2EB-4944-963B-9E170F91ECD4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2EB-4944-963B-9E170F91ECD4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2EB-4944-963B-9E170F91ECD4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72EB-4944-963B-9E170F91ECD4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72EB-4944-963B-9E170F91ECD4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72EB-4944-963B-9E170F91ECD4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2EB-4944-963B-9E170F91ECD4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72EB-4944-963B-9E170F91EC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Credit_2018Q1!$J$8:$J$13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Credit_2018Q1!$M$8:$M$13</c:f>
              <c:numCache>
                <c:formatCode>0%</c:formatCode>
                <c:ptCount val="6"/>
                <c:pt idx="0">
                  <c:v>6.25E-2</c:v>
                </c:pt>
                <c:pt idx="1">
                  <c:v>0.27083333333333331</c:v>
                </c:pt>
                <c:pt idx="2">
                  <c:v>0.35416666666666669</c:v>
                </c:pt>
                <c:pt idx="3">
                  <c:v>0.20833333333333334</c:v>
                </c:pt>
                <c:pt idx="4">
                  <c:v>0.10416666666666667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2EB-4944-963B-9E170F91E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Credit_2018Q1!$J$8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Credit_2018Q1!$J$8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{12CD37C6-1144-4D1B-9031-FC0558C48511}</c15:txfldGUID>
                      <c15:f>Credit_2018Q1!$J$8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D792-4CAB-A8F3-544F43DF0B20}"/>
                </c:ext>
              </c:extLst>
            </c:dLbl>
            <c:dLbl>
              <c:idx val="1"/>
              <c:layout/>
              <c:tx>
                <c:strRef>
                  <c:f>Credit_2018Q1!$M$8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{1D32C3A5-E191-41C8-8F57-15E348388FD4}</c15:txfldGUID>
                      <c15:f>Credit_2018Q1!$M$8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D792-4CAB-A8F3-544F43DF0B20}"/>
                </c:ext>
              </c:extLst>
            </c:dLbl>
            <c:dLbl>
              <c:idx val="2"/>
              <c:layout/>
              <c:tx>
                <c:strRef>
                  <c:f>Credit_2018Q1!$P$8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{C55AB76B-2527-4DF8-AA96-F384778FA885}</c15:txfldGUID>
                      <c15:f>Credit_2018Q1!$P$8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D792-4CAB-A8F3-544F43DF0B20}"/>
                </c:ext>
              </c:extLst>
            </c:dLbl>
            <c:dLbl>
              <c:idx val="3"/>
              <c:layout/>
              <c:tx>
                <c:strRef>
                  <c:f>Credit_2018Q1!$S$8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{DEF6A579-F50D-4D7B-8027-2E9DDCDA6D6B}</c15:txfldGUID>
                      <c15:f>Credit_2018Q1!$S$8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D792-4CAB-A8F3-544F43DF0B20}"/>
                </c:ext>
              </c:extLst>
            </c:dLbl>
            <c:dLbl>
              <c:idx val="4"/>
              <c:tx>
                <c:strRef>
                  <c:f>Credit_2018Q1!$V$8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{1ACEBB24-00C4-4491-BB6E-CA0A312BA17B}</c15:txfldGUID>
                      <c15:f>Credit_2018Q1!$V$8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(Credit_2018Q1!$Z$8,Credit_2018Q1!$L$8,Credit_2018Q1!$O$8,Credit_2018Q1!$R$8,Credit_2018Q1!$U$8)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92-4CAB-A8F3-544F43DF0B20}"/>
            </c:ext>
          </c:extLst>
        </c:ser>
        <c:ser>
          <c:idx val="1"/>
          <c:order val="1"/>
          <c:tx>
            <c:strRef>
              <c:f>Credit_2018Q1!$J$9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Credit_2018Q1!$J$9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{C26AE08E-0B3A-4E02-9011-EB709CEE05E8}</c15:txfldGUID>
                      <c15:f>Credit_2018Q1!$J$9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D792-4CAB-A8F3-544F43DF0B20}"/>
                </c:ext>
              </c:extLst>
            </c:dLbl>
            <c:dLbl>
              <c:idx val="1"/>
              <c:layout/>
              <c:tx>
                <c:strRef>
                  <c:f>Credit_2018Q1!$M$9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{863A8402-65B7-4915-BBD8-61E6BA89D6F0}</c15:txfldGUID>
                      <c15:f>Credit_2018Q1!$M$9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D792-4CAB-A8F3-544F43DF0B20}"/>
                </c:ext>
              </c:extLst>
            </c:dLbl>
            <c:dLbl>
              <c:idx val="2"/>
              <c:layout/>
              <c:tx>
                <c:strRef>
                  <c:f>Credit_2018Q1!$P$9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{AA983BE0-CE77-438E-A8A6-5C5BC667250B}</c15:txfldGUID>
                      <c15:f>Credit_2018Q1!$P$9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D792-4CAB-A8F3-544F43DF0B20}"/>
                </c:ext>
              </c:extLst>
            </c:dLbl>
            <c:dLbl>
              <c:idx val="3"/>
              <c:layout/>
              <c:tx>
                <c:strRef>
                  <c:f>Credit_2018Q1!$S$9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{9EF1E347-4826-455C-89D1-E9EB47160463}</c15:txfldGUID>
                      <c15:f>Credit_2018Q1!$S$9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D792-4CAB-A8F3-544F43DF0B20}"/>
                </c:ext>
              </c:extLst>
            </c:dLbl>
            <c:dLbl>
              <c:idx val="4"/>
              <c:tx>
                <c:strRef>
                  <c:f>Credit_2018Q1!$V$9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{C33643A1-DC95-4D99-AE45-037C8A9C5A25}</c15:txfldGUID>
                      <c15:f>Credit_2018Q1!$V$9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(Credit_2018Q1!$Z$9,Credit_2018Q1!$L$9,Credit_2018Q1!$O$9,Credit_2018Q1!$R$9,Credit_2018Q1!$U$9)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792-4CAB-A8F3-544F43DF0B20}"/>
            </c:ext>
          </c:extLst>
        </c:ser>
        <c:ser>
          <c:idx val="2"/>
          <c:order val="2"/>
          <c:tx>
            <c:strRef>
              <c:f>Credit_2018Q1!$J$10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Credit_2018Q1!$J$10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{BB09C9A4-775B-401E-843B-99762780BD31}</c15:txfldGUID>
                      <c15:f>Credit_2018Q1!$J$10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D792-4CAB-A8F3-544F43DF0B20}"/>
                </c:ext>
              </c:extLst>
            </c:dLbl>
            <c:dLbl>
              <c:idx val="1"/>
              <c:layout/>
              <c:tx>
                <c:strRef>
                  <c:f>Credit_2018Q1!$M$10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{403353B1-E177-4E32-91F9-DFB1265EA10B}</c15:txfldGUID>
                      <c15:f>Credit_2018Q1!$M$10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D792-4CAB-A8F3-544F43DF0B20}"/>
                </c:ext>
              </c:extLst>
            </c:dLbl>
            <c:dLbl>
              <c:idx val="2"/>
              <c:layout/>
              <c:tx>
                <c:strRef>
                  <c:f>Credit_2018Q1!$P$10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{608DBD15-EFED-47CB-AC04-547EA3FAB6DE}</c15:txfldGUID>
                      <c15:f>Credit_2018Q1!$P$10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D792-4CAB-A8F3-544F43DF0B20}"/>
                </c:ext>
              </c:extLst>
            </c:dLbl>
            <c:dLbl>
              <c:idx val="3"/>
              <c:layout/>
              <c:tx>
                <c:strRef>
                  <c:f>Credit_2018Q1!$S$10</c:f>
                  <c:strCache>
                    <c:ptCount val="1"/>
                    <c:pt idx="0">
                      <c:v>54%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{6BECB4B5-3BD5-422E-8144-C8F83A7842CE}</c15:txfldGUID>
                      <c15:f>Credit_2018Q1!$S$10</c15:f>
                      <c15:dlblFieldTableCache>
                        <c:ptCount val="1"/>
                        <c:pt idx="0">
                          <c:v>54%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D792-4CAB-A8F3-544F43DF0B20}"/>
                </c:ext>
              </c:extLst>
            </c:dLbl>
            <c:dLbl>
              <c:idx val="4"/>
              <c:tx>
                <c:strRef>
                  <c:f>Credit_2018Q1!$V$10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{96AAA37D-3B5C-4E7A-B39C-CF11E11568F2}</c15:txfldGUID>
                      <c15:f>Credit_2018Q1!$V$10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(Credit_2018Q1!$Z$10,Credit_2018Q1!$L$10,Credit_2018Q1!$O$10,Credit_2018Q1!$R$10,Credit_2018Q1!$U$10)</c:f>
              <c:numCache>
                <c:formatCode>General</c:formatCode>
                <c:ptCount val="4"/>
                <c:pt idx="0">
                  <c:v>1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792-4CAB-A8F3-544F43DF0B20}"/>
            </c:ext>
          </c:extLst>
        </c:ser>
        <c:ser>
          <c:idx val="3"/>
          <c:order val="3"/>
          <c:tx>
            <c:strRef>
              <c:f>Credit_2018Q1!$J$11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Credit_2018Q1!$J$11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{AA4674DC-F428-4716-A3A2-39B9C5C8B062}</c15:txfldGUID>
                      <c15:f>Credit_2018Q1!$J$11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D792-4CAB-A8F3-544F43DF0B20}"/>
                </c:ext>
              </c:extLst>
            </c:dLbl>
            <c:dLbl>
              <c:idx val="1"/>
              <c:layout/>
              <c:tx>
                <c:strRef>
                  <c:f>Credit_2018Q1!$M$11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{2DFD8C69-101E-48E9-8F3F-CEE14DA64F69}</c15:txfldGUID>
                      <c15:f>Credit_2018Q1!$M$11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D792-4CAB-A8F3-544F43DF0B20}"/>
                </c:ext>
              </c:extLst>
            </c:dLbl>
            <c:dLbl>
              <c:idx val="2"/>
              <c:layout/>
              <c:tx>
                <c:strRef>
                  <c:f>Credit_2018Q1!$P$11</c:f>
                  <c:strCache>
                    <c:ptCount val="1"/>
                    <c:pt idx="0">
                      <c:v>26%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{62B9F94F-DDBD-43E4-9725-EF50C1392874}</c15:txfldGUID>
                      <c15:f>Credit_2018Q1!$P$11</c15:f>
                      <c15:dlblFieldTableCache>
                        <c:ptCount val="1"/>
                        <c:pt idx="0">
                          <c:v>26%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D792-4CAB-A8F3-544F43DF0B20}"/>
                </c:ext>
              </c:extLst>
            </c:dLbl>
            <c:dLbl>
              <c:idx val="3"/>
              <c:layout/>
              <c:tx>
                <c:strRef>
                  <c:f>Credit_2018Q1!$S$11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{DA78AAAD-74A9-4BAE-94B6-E89FC61623E4}</c15:txfldGUID>
                      <c15:f>Credit_2018Q1!$S$11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D792-4CAB-A8F3-544F43DF0B20}"/>
                </c:ext>
              </c:extLst>
            </c:dLbl>
            <c:dLbl>
              <c:idx val="4"/>
              <c:tx>
                <c:strRef>
                  <c:f>Credit_2018Q1!$V$11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{D2B3F9BE-5EDA-46A2-AAF8-7DBB1FED3286}</c15:txfldGUID>
                      <c15:f>Credit_2018Q1!$V$11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(Credit_2018Q1!$Z$11,Credit_2018Q1!$L$11,Credit_2018Q1!$O$11,Credit_2018Q1!$R$11,Credit_2018Q1!$U$11)</c:f>
              <c:numCache>
                <c:formatCode>General</c:formatCode>
                <c:ptCount val="4"/>
                <c:pt idx="0">
                  <c:v>1</c:v>
                </c:pt>
                <c:pt idx="1">
                  <c:v>10</c:v>
                </c:pt>
                <c:pt idx="2">
                  <c:v>9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792-4CAB-A8F3-544F43DF0B20}"/>
            </c:ext>
          </c:extLst>
        </c:ser>
        <c:ser>
          <c:idx val="4"/>
          <c:order val="4"/>
          <c:tx>
            <c:strRef>
              <c:f>Credit_2018Q1!$J$12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layout/>
              <c:tx>
                <c:strRef>
                  <c:f>Credit_2018Q1!$J$12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{96A14835-61D3-4448-9B42-1C5A59377900}</c15:txfldGUID>
                      <c15:f>Credit_2018Q1!$J$12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D792-4CAB-A8F3-544F43DF0B20}"/>
                </c:ext>
              </c:extLst>
            </c:dLbl>
            <c:dLbl>
              <c:idx val="1"/>
              <c:layout/>
              <c:tx>
                <c:strRef>
                  <c:f>Credit_2018Q1!$M$12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{3AF39505-5C82-43D6-8DEE-127C632E4AAD}</c15:txfldGUID>
                      <c15:f>Credit_2018Q1!$M$12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D792-4CAB-A8F3-544F43DF0B20}"/>
                </c:ext>
              </c:extLst>
            </c:dLbl>
            <c:dLbl>
              <c:idx val="2"/>
              <c:layout/>
              <c:tx>
                <c:strRef>
                  <c:f>Credit_2018Q1!$P$12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{1EF4BFC1-91EB-4507-8719-CFE12D5A6514}</c15:txfldGUID>
                      <c15:f>Credit_2018Q1!$P$12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D792-4CAB-A8F3-544F43DF0B20}"/>
                </c:ext>
              </c:extLst>
            </c:dLbl>
            <c:dLbl>
              <c:idx val="3"/>
              <c:layout/>
              <c:tx>
                <c:strRef>
                  <c:f>Credit_2018Q1!$S$12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{615ECE75-4A21-441A-8623-87E25C94FD87}</c15:txfldGUID>
                      <c15:f>Credit_2018Q1!$S$12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D792-4CAB-A8F3-544F43DF0B20}"/>
                </c:ext>
              </c:extLst>
            </c:dLbl>
            <c:dLbl>
              <c:idx val="4"/>
              <c:tx>
                <c:strRef>
                  <c:f>Credit_2018Q1!$V$12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{35F47494-BCC6-46CA-AE8E-C88990E452C4}</c15:txfldGUID>
                      <c15:f>Credit_2018Q1!$V$12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(Credit_2018Q1!$Z$12,Credit_2018Q1!$L$12,Credit_2018Q1!$O$12,Credit_2018Q1!$R$12,Credit_2018Q1!$U$12)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792-4CAB-A8F3-544F43DF0B20}"/>
            </c:ext>
          </c:extLst>
        </c:ser>
        <c:ser>
          <c:idx val="5"/>
          <c:order val="5"/>
          <c:tx>
            <c:strRef>
              <c:f>Credit_2018Q1!$J$13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Credit_2018Q1!$J$13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{83495D05-29A9-4561-B215-30505BF4B5B8}</c15:txfldGUID>
                      <c15:f>Credit_2018Q1!$J$13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D792-4CAB-A8F3-544F43DF0B20}"/>
                </c:ext>
              </c:extLst>
            </c:dLbl>
            <c:dLbl>
              <c:idx val="1"/>
              <c:layout/>
              <c:tx>
                <c:strRef>
                  <c:f>Credit_2018Q1!$M$13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{6D602FCC-E2AF-47AB-B01A-58162BEB9E4B}</c15:txfldGUID>
                      <c15:f>Credit_2018Q1!$M$13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D792-4CAB-A8F3-544F43DF0B20}"/>
                </c:ext>
              </c:extLst>
            </c:dLbl>
            <c:dLbl>
              <c:idx val="2"/>
              <c:layout/>
              <c:tx>
                <c:strRef>
                  <c:f>Credit_2018Q1!$P$13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{E0F69746-7143-4885-949D-694504E762B9}</c15:txfldGUID>
                      <c15:f>Credit_2018Q1!$P$13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D792-4CAB-A8F3-544F43DF0B20}"/>
                </c:ext>
              </c:extLst>
            </c:dLbl>
            <c:dLbl>
              <c:idx val="3"/>
              <c:layout/>
              <c:tx>
                <c:strRef>
                  <c:f>Credit_2018Q1!$S$13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{A1BFEDE4-31B6-4D37-9F1D-911DC4F7819C}</c15:txfldGUID>
                      <c15:f>Credit_2018Q1!$S$13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D792-4CAB-A8F3-544F43DF0B20}"/>
                </c:ext>
              </c:extLst>
            </c:dLbl>
            <c:dLbl>
              <c:idx val="4"/>
              <c:tx>
                <c:strRef>
                  <c:f>Credit_2018Q1!$V$13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{80CDD428-2822-4513-8415-F78800166F90}</c15:txfldGUID>
                      <c15:f>Credit_2018Q1!$V$13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(Credit_2018Q1!$Z$13,Credit_2018Q1!$L$13,Credit_2018Q1!$O$13,Credit_2018Q1!$R$13,Credit_2018Q1!$U$13)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792-4CAB-A8F3-544F43DF0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8EC-447F-B78C-E89B4D932A6A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8EC-447F-B78C-E89B4D932A6A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8EC-447F-B78C-E89B4D932A6A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8EC-447F-B78C-E89B4D932A6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8EC-447F-B78C-E89B4D932A6A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8EC-447F-B78C-E89B4D932A6A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8EC-447F-B78C-E89B4D932A6A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8EC-447F-B78C-E89B4D932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Credit_2017Q4!$J$8:$J$13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Credit_2017Q4!$M$8:$M$13</c:f>
              <c:numCache>
                <c:formatCode>0%</c:formatCode>
                <c:ptCount val="6"/>
                <c:pt idx="0">
                  <c:v>6.1224489795918366E-2</c:v>
                </c:pt>
                <c:pt idx="1">
                  <c:v>0.2857142857142857</c:v>
                </c:pt>
                <c:pt idx="2">
                  <c:v>0.34693877551020408</c:v>
                </c:pt>
                <c:pt idx="3">
                  <c:v>0.18367346938775511</c:v>
                </c:pt>
                <c:pt idx="4">
                  <c:v>0.10204081632653061</c:v>
                </c:pt>
                <c:pt idx="5">
                  <c:v>2.0408163265306121E-2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8EC-447F-B78C-E89B4D932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Credit_2017Q4!$J$8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Credit_2017Q4!$J$8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{947E9347-4B27-4950-A5E5-563EED416649}</c15:txfldGUID>
                      <c15:f>Credit_2017Q4!$J$8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ABB3-4369-A182-166F8A4079B9}"/>
                </c:ext>
              </c:extLst>
            </c:dLbl>
            <c:dLbl>
              <c:idx val="1"/>
              <c:layout/>
              <c:tx>
                <c:strRef>
                  <c:f>Credit_2017Q4!$M$8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{6E2E8C7E-7886-4703-8026-815933170F55}</c15:txfldGUID>
                      <c15:f>Credit_2017Q4!$M$8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ABB3-4369-A182-166F8A4079B9}"/>
                </c:ext>
              </c:extLst>
            </c:dLbl>
            <c:dLbl>
              <c:idx val="2"/>
              <c:layout/>
              <c:tx>
                <c:strRef>
                  <c:f>Credit_2017Q4!$P$8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{4CC38C4F-787D-4D35-9BDE-2EA41BC547EA}</c15:txfldGUID>
                      <c15:f>Credit_2017Q4!$P$8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ABB3-4369-A182-166F8A4079B9}"/>
                </c:ext>
              </c:extLst>
            </c:dLbl>
            <c:dLbl>
              <c:idx val="3"/>
              <c:layout/>
              <c:tx>
                <c:strRef>
                  <c:f>Credit_2017Q4!$S$8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{19725374-E733-4D59-A909-C8263D539694}</c15:txfldGUID>
                      <c15:f>Credit_2017Q4!$S$8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ABB3-4369-A182-166F8A4079B9}"/>
                </c:ext>
              </c:extLst>
            </c:dLbl>
            <c:dLbl>
              <c:idx val="4"/>
              <c:tx>
                <c:strRef>
                  <c:f>Credit_2017Q4!$V$8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{88AEE43D-7571-4D0A-90B6-A5E0E3A0D6D9}</c15:txfldGUID>
                      <c15:f>Credit_2017Q4!$V$8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(Credit_2017Q4!$Z$8,Credit_2017Q4!$L$8,Credit_2017Q4!$O$8,Credit_2017Q4!$R$8,Credit_2017Q4!$U$8)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BB3-4369-A182-166F8A4079B9}"/>
            </c:ext>
          </c:extLst>
        </c:ser>
        <c:ser>
          <c:idx val="1"/>
          <c:order val="1"/>
          <c:tx>
            <c:strRef>
              <c:f>Credit_2017Q4!$J$9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Credit_2017Q4!$J$9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{642A6E44-627A-4227-87CD-7C711474BD06}</c15:txfldGUID>
                      <c15:f>Credit_2017Q4!$J$9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ABB3-4369-A182-166F8A4079B9}"/>
                </c:ext>
              </c:extLst>
            </c:dLbl>
            <c:dLbl>
              <c:idx val="1"/>
              <c:layout/>
              <c:tx>
                <c:strRef>
                  <c:f>Credit_2017Q4!$M$9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{F06CE8FC-9620-4A22-88F5-0C7F3DA3B96C}</c15:txfldGUID>
                      <c15:f>Credit_2017Q4!$M$9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ABB3-4369-A182-166F8A4079B9}"/>
                </c:ext>
              </c:extLst>
            </c:dLbl>
            <c:dLbl>
              <c:idx val="2"/>
              <c:layout/>
              <c:tx>
                <c:strRef>
                  <c:f>Credit_2017Q4!$P$9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{D213B639-8173-492D-AD6F-79EBE75C7AC6}</c15:txfldGUID>
                      <c15:f>Credit_2017Q4!$P$9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ABB3-4369-A182-166F8A4079B9}"/>
                </c:ext>
              </c:extLst>
            </c:dLbl>
            <c:dLbl>
              <c:idx val="3"/>
              <c:layout/>
              <c:tx>
                <c:strRef>
                  <c:f>Credit_2017Q4!$S$9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{1742D086-87D3-45D2-8BB0-2737F71F0A54}</c15:txfldGUID>
                      <c15:f>Credit_2017Q4!$S$9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ABB3-4369-A182-166F8A4079B9}"/>
                </c:ext>
              </c:extLst>
            </c:dLbl>
            <c:dLbl>
              <c:idx val="4"/>
              <c:tx>
                <c:strRef>
                  <c:f>Credit_2017Q4!$V$9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{589388F0-D595-444A-BCCD-AA6D7F170024}</c15:txfldGUID>
                      <c15:f>Credit_2017Q4!$V$9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(Credit_2017Q4!$Z$9,Credit_2017Q4!$L$9,Credit_2017Q4!$O$9,Credit_2017Q4!$R$9,Credit_2017Q4!$U$9)</c:f>
              <c:numCache>
                <c:formatCode>General</c:formatCode>
                <c:ptCount val="4"/>
                <c:pt idx="0">
                  <c:v>1</c:v>
                </c:pt>
                <c:pt idx="1">
                  <c:v>14</c:v>
                </c:pt>
                <c:pt idx="2">
                  <c:v>12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BB3-4369-A182-166F8A4079B9}"/>
            </c:ext>
          </c:extLst>
        </c:ser>
        <c:ser>
          <c:idx val="2"/>
          <c:order val="2"/>
          <c:tx>
            <c:strRef>
              <c:f>Credit_2017Q4!$J$10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Credit_2017Q4!$J$10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{08B452E9-FC1B-4F3A-87B7-7B814A154F0D}</c15:txfldGUID>
                      <c15:f>Credit_2017Q4!$J$10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ABB3-4369-A182-166F8A4079B9}"/>
                </c:ext>
              </c:extLst>
            </c:dLbl>
            <c:dLbl>
              <c:idx val="1"/>
              <c:layout/>
              <c:tx>
                <c:strRef>
                  <c:f>Credit_2017Q4!$M$10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{A1B4D521-EDC6-421D-A18A-CEE0F8A77DE5}</c15:txfldGUID>
                      <c15:f>Credit_2017Q4!$M$10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ABB3-4369-A182-166F8A4079B9}"/>
                </c:ext>
              </c:extLst>
            </c:dLbl>
            <c:dLbl>
              <c:idx val="2"/>
              <c:layout/>
              <c:tx>
                <c:strRef>
                  <c:f>Credit_2017Q4!$P$10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{3A72C90E-7064-4144-BB06-82247F808111}</c15:txfldGUID>
                      <c15:f>Credit_2017Q4!$P$10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ABB3-4369-A182-166F8A4079B9}"/>
                </c:ext>
              </c:extLst>
            </c:dLbl>
            <c:dLbl>
              <c:idx val="3"/>
              <c:layout/>
              <c:tx>
                <c:strRef>
                  <c:f>Credit_2017Q4!$S$10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{786CB75B-CD2D-4F51-9BCF-68F5425DF7C1}</c15:txfldGUID>
                      <c15:f>Credit_2017Q4!$S$10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ABB3-4369-A182-166F8A4079B9}"/>
                </c:ext>
              </c:extLst>
            </c:dLbl>
            <c:dLbl>
              <c:idx val="4"/>
              <c:tx>
                <c:strRef>
                  <c:f>Credit_2017Q4!$V$10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{2A403A36-EEC7-4E91-A824-ACFF05C13745}</c15:txfldGUID>
                      <c15:f>Credit_2017Q4!$V$10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(Credit_2017Q4!$Z$10,Credit_2017Q4!$L$10,Credit_2017Q4!$O$10,Credit_2017Q4!$R$10,Credit_2017Q4!$U$10)</c:f>
              <c:numCache>
                <c:formatCode>General</c:formatCode>
                <c:ptCount val="4"/>
                <c:pt idx="0">
                  <c:v>1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BB3-4369-A182-166F8A4079B9}"/>
            </c:ext>
          </c:extLst>
        </c:ser>
        <c:ser>
          <c:idx val="3"/>
          <c:order val="3"/>
          <c:tx>
            <c:strRef>
              <c:f>Credit_2017Q4!$J$11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Credit_2017Q4!$J$11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{FD6C6FAE-8E5D-4656-A71D-57B9D6FA3B5B}</c15:txfldGUID>
                      <c15:f>Credit_2017Q4!$J$11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ABB3-4369-A182-166F8A4079B9}"/>
                </c:ext>
              </c:extLst>
            </c:dLbl>
            <c:dLbl>
              <c:idx val="1"/>
              <c:layout/>
              <c:tx>
                <c:strRef>
                  <c:f>Credit_2017Q4!$M$11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{102495E6-0EAB-4274-83D1-AA547EEA2DA8}</c15:txfldGUID>
                      <c15:f>Credit_2017Q4!$M$11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ABB3-4369-A182-166F8A4079B9}"/>
                </c:ext>
              </c:extLst>
            </c:dLbl>
            <c:dLbl>
              <c:idx val="2"/>
              <c:layout/>
              <c:tx>
                <c:strRef>
                  <c:f>Credit_2017Q4!$P$11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{3C69E50B-DD64-43C3-8D9A-727944A6587D}</c15:txfldGUID>
                      <c15:f>Credit_2017Q4!$P$11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ABB3-4369-A182-166F8A4079B9}"/>
                </c:ext>
              </c:extLst>
            </c:dLbl>
            <c:dLbl>
              <c:idx val="3"/>
              <c:layout/>
              <c:tx>
                <c:strRef>
                  <c:f>Credit_2017Q4!$S$11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{DA7704C5-D9C1-44E3-9154-1B3ECE0755EB}</c15:txfldGUID>
                      <c15:f>Credit_2017Q4!$S$11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ABB3-4369-A182-166F8A4079B9}"/>
                </c:ext>
              </c:extLst>
            </c:dLbl>
            <c:dLbl>
              <c:idx val="4"/>
              <c:tx>
                <c:strRef>
                  <c:f>Credit_2017Q4!$V$11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{433805AE-96DA-4264-BB79-6C57D0B4BC26}</c15:txfldGUID>
                      <c15:f>Credit_2017Q4!$V$11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(Credit_2017Q4!$Z$11,Credit_2017Q4!$L$11,Credit_2017Q4!$O$11,Credit_2017Q4!$R$11,Credit_2017Q4!$U$11)</c:f>
              <c:numCache>
                <c:formatCode>General</c:formatCode>
                <c:ptCount val="4"/>
                <c:pt idx="0">
                  <c:v>1</c:v>
                </c:pt>
                <c:pt idx="1">
                  <c:v>9</c:v>
                </c:pt>
                <c:pt idx="2">
                  <c:v>7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BB3-4369-A182-166F8A4079B9}"/>
            </c:ext>
          </c:extLst>
        </c:ser>
        <c:ser>
          <c:idx val="4"/>
          <c:order val="4"/>
          <c:tx>
            <c:strRef>
              <c:f>Credit_2017Q4!$J$12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layout/>
              <c:tx>
                <c:strRef>
                  <c:f>Credit_2017Q4!$J$12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{1A9BE58F-B12A-4C37-9FE4-3646DDD0B58A}</c15:txfldGUID>
                      <c15:f>Credit_2017Q4!$J$12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ABB3-4369-A182-166F8A4079B9}"/>
                </c:ext>
              </c:extLst>
            </c:dLbl>
            <c:dLbl>
              <c:idx val="1"/>
              <c:layout/>
              <c:tx>
                <c:strRef>
                  <c:f>Credit_2017Q4!$M$12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{867E235E-1CAC-47E6-980A-F920CA11DE43}</c15:txfldGUID>
                      <c15:f>Credit_2017Q4!$M$12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ABB3-4369-A182-166F8A4079B9}"/>
                </c:ext>
              </c:extLst>
            </c:dLbl>
            <c:dLbl>
              <c:idx val="2"/>
              <c:layout/>
              <c:tx>
                <c:strRef>
                  <c:f>Credit_2017Q4!$P$12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{1AEC45BE-FC67-4C0A-89B7-D251D1F4135B}</c15:txfldGUID>
                      <c15:f>Credit_2017Q4!$P$12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ABB3-4369-A182-166F8A4079B9}"/>
                </c:ext>
              </c:extLst>
            </c:dLbl>
            <c:dLbl>
              <c:idx val="3"/>
              <c:layout/>
              <c:tx>
                <c:strRef>
                  <c:f>Credit_2017Q4!$S$12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{61B471B6-C3B6-495E-9E0E-02BA8852C693}</c15:txfldGUID>
                      <c15:f>Credit_2017Q4!$S$12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ABB3-4369-A182-166F8A4079B9}"/>
                </c:ext>
              </c:extLst>
            </c:dLbl>
            <c:dLbl>
              <c:idx val="4"/>
              <c:tx>
                <c:strRef>
                  <c:f>Credit_2017Q4!$V$12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{00AF698D-82FE-4730-B884-6EAF19FC9492}</c15:txfldGUID>
                      <c15:f>Credit_2017Q4!$V$12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(Credit_2017Q4!$Z$12,Credit_2017Q4!$L$12,Credit_2017Q4!$O$12,Credit_2017Q4!$R$12,Credit_2017Q4!$U$12)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BB3-4369-A182-166F8A4079B9}"/>
            </c:ext>
          </c:extLst>
        </c:ser>
        <c:ser>
          <c:idx val="5"/>
          <c:order val="5"/>
          <c:tx>
            <c:strRef>
              <c:f>Credit_2017Q4!$J$13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Credit_2017Q4!$J$13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{788D40FE-2B35-4926-A294-3143D9510CFC}</c15:txfldGUID>
                      <c15:f>Credit_2017Q4!$J$13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ABB3-4369-A182-166F8A4079B9}"/>
                </c:ext>
              </c:extLst>
            </c:dLbl>
            <c:dLbl>
              <c:idx val="1"/>
              <c:layout/>
              <c:tx>
                <c:strRef>
                  <c:f>Credit_2017Q4!$M$13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{AE76C3C7-1CA9-4693-914C-99830665DDDC}</c15:txfldGUID>
                      <c15:f>Credit_2017Q4!$M$13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ABB3-4369-A182-166F8A4079B9}"/>
                </c:ext>
              </c:extLst>
            </c:dLbl>
            <c:dLbl>
              <c:idx val="2"/>
              <c:layout/>
              <c:tx>
                <c:strRef>
                  <c:f>Credit_2017Q4!$P$13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{79F8BCE1-8442-41BA-8D8E-053ED146246A}</c15:txfldGUID>
                      <c15:f>Credit_2017Q4!$P$13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ABB3-4369-A182-166F8A4079B9}"/>
                </c:ext>
              </c:extLst>
            </c:dLbl>
            <c:dLbl>
              <c:idx val="3"/>
              <c:layout/>
              <c:tx>
                <c:strRef>
                  <c:f>Credit_2017Q4!$S$13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{129872EA-73DE-407D-AB85-9AF1AA3BA9BE}</c15:txfldGUID>
                      <c15:f>Credit_2017Q4!$S$13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ABB3-4369-A182-166F8A4079B9}"/>
                </c:ext>
              </c:extLst>
            </c:dLbl>
            <c:dLbl>
              <c:idx val="4"/>
              <c:tx>
                <c:strRef>
                  <c:f>Credit_2017Q4!$V$13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{16003FCF-70FB-4573-AA69-730A892612C9}</c15:txfldGUID>
                      <c15:f>Credit_2017Q4!$V$13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(Credit_2017Q4!$Z$13,Credit_2017Q4!$L$13,Credit_2017Q4!$O$13,Credit_2017Q4!$R$13,Credit_2017Q4!$U$13)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ABB3-4369-A182-166F8A407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4CFA-4D06-BCD3-163342D19AC0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4CFA-4D06-BCD3-163342D19AC0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4CFA-4D06-BCD3-163342D19AC0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4CFA-4D06-BCD3-163342D19AC0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4CFA-4D06-BCD3-163342D19AC0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4CFA-4D06-BCD3-163342D19AC0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4CFA-4D06-BCD3-163342D19AC0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4CFA-4D06-BCD3-163342D19A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Credit_2022Q1!$J$8:$J$13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Credit_2022Q1!$M$8:$M$13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0.20454545454545456</c:v>
                </c:pt>
                <c:pt idx="2">
                  <c:v>0.43181818181818182</c:v>
                </c:pt>
                <c:pt idx="3">
                  <c:v>0.18181818181818182</c:v>
                </c:pt>
                <c:pt idx="4">
                  <c:v>9.0909090909090912E-2</c:v>
                </c:pt>
                <c:pt idx="5">
                  <c:v>4.5454545454545456E-2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CFA-4D06-BCD3-163342D19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1DD-4AB0-AFC5-DD8B7FE18B1A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DD-4AB0-AFC5-DD8B7FE18B1A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DD-4AB0-AFC5-DD8B7FE18B1A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1DD-4AB0-AFC5-DD8B7FE18B1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1DD-4AB0-AFC5-DD8B7FE18B1A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1DD-4AB0-AFC5-DD8B7FE18B1A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1DD-4AB0-AFC5-DD8B7FE18B1A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1DD-4AB0-AFC5-DD8B7FE18B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Credit_2017Q3!$J$8:$J$13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Credit_2017Q3!$M$8:$M$13</c:f>
              <c:numCache>
                <c:formatCode>0%</c:formatCode>
                <c:ptCount val="6"/>
                <c:pt idx="0">
                  <c:v>6.1224489795918366E-2</c:v>
                </c:pt>
                <c:pt idx="1">
                  <c:v>0.2857142857142857</c:v>
                </c:pt>
                <c:pt idx="2">
                  <c:v>0.36734693877551022</c:v>
                </c:pt>
                <c:pt idx="3">
                  <c:v>0.16326530612244897</c:v>
                </c:pt>
                <c:pt idx="4">
                  <c:v>0.10204081632653061</c:v>
                </c:pt>
                <c:pt idx="5">
                  <c:v>2.0408163265306121E-2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1DD-4AB0-AFC5-DD8B7FE18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Credit_2017Q3!$J$8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Credit_2017Q3!$J$8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{4826078C-9F3B-4B9C-86E2-8B5343736A6E}</c15:txfldGUID>
                      <c15:f>Credit_2017Q3!$J$8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7350-414C-8214-C171110BEB0C}"/>
                </c:ext>
              </c:extLst>
            </c:dLbl>
            <c:dLbl>
              <c:idx val="1"/>
              <c:layout/>
              <c:tx>
                <c:strRef>
                  <c:f>Credit_2017Q3!$M$8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{F6AFEB88-BAE6-49C0-869A-C95A5F9204F8}</c15:txfldGUID>
                      <c15:f>Credit_2017Q3!$M$8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7350-414C-8214-C171110BEB0C}"/>
                </c:ext>
              </c:extLst>
            </c:dLbl>
            <c:dLbl>
              <c:idx val="2"/>
              <c:layout/>
              <c:tx>
                <c:strRef>
                  <c:f>Credit_2017Q3!$P$8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{DB797D11-7ADC-43F2-9C3D-5998B505AEEB}</c15:txfldGUID>
                      <c15:f>Credit_2017Q3!$P$8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7350-414C-8214-C171110BEB0C}"/>
                </c:ext>
              </c:extLst>
            </c:dLbl>
            <c:dLbl>
              <c:idx val="3"/>
              <c:layout/>
              <c:tx>
                <c:strRef>
                  <c:f>Credit_2017Q3!$S$8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{6476964B-3966-4D54-AADD-00AEE039FEDB}</c15:txfldGUID>
                      <c15:f>Credit_2017Q3!$S$8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7350-414C-8214-C171110BEB0C}"/>
                </c:ext>
              </c:extLst>
            </c:dLbl>
            <c:dLbl>
              <c:idx val="4"/>
              <c:tx>
                <c:strRef>
                  <c:f>Credit_2017Q3!$V$8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{AE7991D0-D221-45A8-BB0C-FE1AAA402C25}</c15:txfldGUID>
                      <c15:f>Credit_2017Q3!$V$8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(Credit_2017Q3!$Z$8,Credit_2017Q3!$L$8,Credit_2017Q3!$O$8,Credit_2017Q3!$R$8,Credit_2017Q3!$U$8)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50-414C-8214-C171110BEB0C}"/>
            </c:ext>
          </c:extLst>
        </c:ser>
        <c:ser>
          <c:idx val="1"/>
          <c:order val="1"/>
          <c:tx>
            <c:strRef>
              <c:f>Credit_2017Q3!$J$9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Credit_2017Q3!$J$9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{48E37C98-C42A-412C-A86C-2300B3DE2347}</c15:txfldGUID>
                      <c15:f>Credit_2017Q3!$J$9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7350-414C-8214-C171110BEB0C}"/>
                </c:ext>
              </c:extLst>
            </c:dLbl>
            <c:dLbl>
              <c:idx val="1"/>
              <c:layout/>
              <c:tx>
                <c:strRef>
                  <c:f>Credit_2017Q3!$M$9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{8F54D5C2-7E97-4D99-B33D-A1A13A7ADB2B}</c15:txfldGUID>
                      <c15:f>Credit_2017Q3!$M$9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7350-414C-8214-C171110BEB0C}"/>
                </c:ext>
              </c:extLst>
            </c:dLbl>
            <c:dLbl>
              <c:idx val="2"/>
              <c:layout/>
              <c:tx>
                <c:strRef>
                  <c:f>Credit_2017Q3!$P$9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{40649B7F-AC7F-4BE8-A9E5-0332EDD07EDB}</c15:txfldGUID>
                      <c15:f>Credit_2017Q3!$P$9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7350-414C-8214-C171110BEB0C}"/>
                </c:ext>
              </c:extLst>
            </c:dLbl>
            <c:dLbl>
              <c:idx val="3"/>
              <c:layout/>
              <c:tx>
                <c:strRef>
                  <c:f>Credit_2017Q3!$S$9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{FB7758E6-4B3A-4AAA-908F-DAC75D19EED1}</c15:txfldGUID>
                      <c15:f>Credit_2017Q3!$S$9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7350-414C-8214-C171110BEB0C}"/>
                </c:ext>
              </c:extLst>
            </c:dLbl>
            <c:dLbl>
              <c:idx val="4"/>
              <c:tx>
                <c:strRef>
                  <c:f>Credit_2017Q3!$V$9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{8B5F89D5-E72B-4150-AC6C-CBD7CC6474D2}</c15:txfldGUID>
                      <c15:f>Credit_2017Q3!$V$9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(Credit_2017Q3!$Z$9,Credit_2017Q3!$L$9,Credit_2017Q3!$O$9,Credit_2017Q3!$R$9,Credit_2017Q3!$U$9)</c:f>
              <c:numCache>
                <c:formatCode>General</c:formatCode>
                <c:ptCount val="4"/>
                <c:pt idx="0">
                  <c:v>1</c:v>
                </c:pt>
                <c:pt idx="1">
                  <c:v>14</c:v>
                </c:pt>
                <c:pt idx="2">
                  <c:v>12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350-414C-8214-C171110BEB0C}"/>
            </c:ext>
          </c:extLst>
        </c:ser>
        <c:ser>
          <c:idx val="2"/>
          <c:order val="2"/>
          <c:tx>
            <c:strRef>
              <c:f>Credit_2017Q3!$J$10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Credit_2017Q3!$J$10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{2D7AAA9E-4FF6-420D-BE72-1B8A0533BC76}</c15:txfldGUID>
                      <c15:f>Credit_2017Q3!$J$10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7350-414C-8214-C171110BEB0C}"/>
                </c:ext>
              </c:extLst>
            </c:dLbl>
            <c:dLbl>
              <c:idx val="1"/>
              <c:layout/>
              <c:tx>
                <c:strRef>
                  <c:f>Credit_2017Q3!$M$10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{2B59E2F6-2D1B-4AD3-A58E-6BF88F9CFAEE}</c15:txfldGUID>
                      <c15:f>Credit_2017Q3!$M$10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7350-414C-8214-C171110BEB0C}"/>
                </c:ext>
              </c:extLst>
            </c:dLbl>
            <c:dLbl>
              <c:idx val="2"/>
              <c:layout/>
              <c:tx>
                <c:strRef>
                  <c:f>Credit_2017Q3!$P$10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{0BD119F3-4524-4D09-9601-AB465E6FD933}</c15:txfldGUID>
                      <c15:f>Credit_2017Q3!$P$10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7350-414C-8214-C171110BEB0C}"/>
                </c:ext>
              </c:extLst>
            </c:dLbl>
            <c:dLbl>
              <c:idx val="3"/>
              <c:layout/>
              <c:tx>
                <c:strRef>
                  <c:f>Credit_2017Q3!$S$10</c:f>
                  <c:strCache>
                    <c:ptCount val="1"/>
                    <c:pt idx="0">
                      <c:v>57%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{A6B51022-0133-406E-B822-A2B05B2F48B0}</c15:txfldGUID>
                      <c15:f>Credit_2017Q3!$S$10</c15:f>
                      <c15:dlblFieldTableCache>
                        <c:ptCount val="1"/>
                        <c:pt idx="0">
                          <c:v>57%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7350-414C-8214-C171110BEB0C}"/>
                </c:ext>
              </c:extLst>
            </c:dLbl>
            <c:dLbl>
              <c:idx val="4"/>
              <c:tx>
                <c:strRef>
                  <c:f>Credit_2017Q3!$V$10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{E381B423-FB02-4A11-B508-B3D8440469C2}</c15:txfldGUID>
                      <c15:f>Credit_2017Q3!$V$10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(Credit_2017Q3!$Z$10,Credit_2017Q3!$L$10,Credit_2017Q3!$O$10,Credit_2017Q3!$R$10,Credit_2017Q3!$U$10)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10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350-414C-8214-C171110BEB0C}"/>
            </c:ext>
          </c:extLst>
        </c:ser>
        <c:ser>
          <c:idx val="3"/>
          <c:order val="3"/>
          <c:tx>
            <c:strRef>
              <c:f>Credit_2017Q3!$J$11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Credit_2017Q3!$J$11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{A84CAA72-6D7C-4E09-B82C-BBD2B0C4CB06}</c15:txfldGUID>
                      <c15:f>Credit_2017Q3!$J$11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7350-414C-8214-C171110BEB0C}"/>
                </c:ext>
              </c:extLst>
            </c:dLbl>
            <c:dLbl>
              <c:idx val="1"/>
              <c:layout/>
              <c:tx>
                <c:strRef>
                  <c:f>Credit_2017Q3!$M$11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{3DCBDB14-198E-4F5B-A299-69CD9547E261}</c15:txfldGUID>
                      <c15:f>Credit_2017Q3!$M$11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7350-414C-8214-C171110BEB0C}"/>
                </c:ext>
              </c:extLst>
            </c:dLbl>
            <c:dLbl>
              <c:idx val="2"/>
              <c:layout/>
              <c:tx>
                <c:strRef>
                  <c:f>Credit_2017Q3!$P$11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{A4C630F3-D3C0-4D01-87B9-515BDA5E0BD4}</c15:txfldGUID>
                      <c15:f>Credit_2017Q3!$P$11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7350-414C-8214-C171110BEB0C}"/>
                </c:ext>
              </c:extLst>
            </c:dLbl>
            <c:dLbl>
              <c:idx val="3"/>
              <c:layout/>
              <c:tx>
                <c:strRef>
                  <c:f>Credit_2017Q3!$S$11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{8CF82450-4A05-4BA4-AB76-2E4C7D75F3EE}</c15:txfldGUID>
                      <c15:f>Credit_2017Q3!$S$11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7350-414C-8214-C171110BEB0C}"/>
                </c:ext>
              </c:extLst>
            </c:dLbl>
            <c:dLbl>
              <c:idx val="4"/>
              <c:tx>
                <c:strRef>
                  <c:f>Credit_2017Q3!$V$11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{806B13C4-C487-4A91-B252-6986B48ADE20}</c15:txfldGUID>
                      <c15:f>Credit_2017Q3!$V$11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(Credit_2017Q3!$Z$11,Credit_2017Q3!$L$11,Credit_2017Q3!$O$11,Credit_2017Q3!$R$11,Credit_2017Q3!$U$11)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350-414C-8214-C171110BEB0C}"/>
            </c:ext>
          </c:extLst>
        </c:ser>
        <c:ser>
          <c:idx val="4"/>
          <c:order val="4"/>
          <c:tx>
            <c:strRef>
              <c:f>Credit_2017Q3!$J$12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layout/>
              <c:tx>
                <c:strRef>
                  <c:f>Credit_2017Q3!$J$12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{A2A37E26-3C8A-4515-B6D2-155EAD423DAA}</c15:txfldGUID>
                      <c15:f>Credit_2017Q3!$J$12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7350-414C-8214-C171110BEB0C}"/>
                </c:ext>
              </c:extLst>
            </c:dLbl>
            <c:dLbl>
              <c:idx val="1"/>
              <c:layout/>
              <c:tx>
                <c:strRef>
                  <c:f>Credit_2017Q3!$M$12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{2491FFF6-C29F-4D87-8F92-B54C81EF86F7}</c15:txfldGUID>
                      <c15:f>Credit_2017Q3!$M$12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7350-414C-8214-C171110BEB0C}"/>
                </c:ext>
              </c:extLst>
            </c:dLbl>
            <c:dLbl>
              <c:idx val="2"/>
              <c:layout/>
              <c:tx>
                <c:strRef>
                  <c:f>Credit_2017Q3!$P$12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{A08C93E9-82BC-4B39-9D4A-6CD919F38E49}</c15:txfldGUID>
                      <c15:f>Credit_2017Q3!$P$12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7350-414C-8214-C171110BEB0C}"/>
                </c:ext>
              </c:extLst>
            </c:dLbl>
            <c:dLbl>
              <c:idx val="3"/>
              <c:layout/>
              <c:tx>
                <c:strRef>
                  <c:f>Credit_2017Q3!$S$12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{18B3A7C4-5FAC-437D-B9AD-5EB20F19C2BC}</c15:txfldGUID>
                      <c15:f>Credit_2017Q3!$S$12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7350-414C-8214-C171110BEB0C}"/>
                </c:ext>
              </c:extLst>
            </c:dLbl>
            <c:dLbl>
              <c:idx val="4"/>
              <c:tx>
                <c:strRef>
                  <c:f>Credit_2017Q3!$V$12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{002A654A-9CBF-495C-9E65-F424D9BD886A}</c15:txfldGUID>
                      <c15:f>Credit_2017Q3!$V$12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(Credit_2017Q3!$Z$12,Credit_2017Q3!$L$12,Credit_2017Q3!$O$12,Credit_2017Q3!$R$12,Credit_2017Q3!$U$12)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350-414C-8214-C171110BEB0C}"/>
            </c:ext>
          </c:extLst>
        </c:ser>
        <c:ser>
          <c:idx val="5"/>
          <c:order val="5"/>
          <c:tx>
            <c:strRef>
              <c:f>Credit_2017Q3!$J$13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Credit_2017Q3!$J$13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{983C5001-2E4A-4C29-A86E-4A6246C8A4C9}</c15:txfldGUID>
                      <c15:f>Credit_2017Q3!$J$13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7350-414C-8214-C171110BEB0C}"/>
                </c:ext>
              </c:extLst>
            </c:dLbl>
            <c:dLbl>
              <c:idx val="1"/>
              <c:layout/>
              <c:tx>
                <c:strRef>
                  <c:f>Credit_2017Q3!$M$13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{4DE555B2-36A6-4303-9A36-35E6BBA55C4F}</c15:txfldGUID>
                      <c15:f>Credit_2017Q3!$M$13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7350-414C-8214-C171110BEB0C}"/>
                </c:ext>
              </c:extLst>
            </c:dLbl>
            <c:dLbl>
              <c:idx val="2"/>
              <c:layout/>
              <c:tx>
                <c:strRef>
                  <c:f>Credit_2017Q3!$P$13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{CDF4A0FC-0DCD-409D-B361-D52937037E1B}</c15:txfldGUID>
                      <c15:f>Credit_2017Q3!$P$13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7350-414C-8214-C171110BEB0C}"/>
                </c:ext>
              </c:extLst>
            </c:dLbl>
            <c:dLbl>
              <c:idx val="3"/>
              <c:layout/>
              <c:tx>
                <c:strRef>
                  <c:f>Credit_2017Q3!$S$13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{E38E98A9-8079-4F80-9F36-F359DEA028FD}</c15:txfldGUID>
                      <c15:f>Credit_2017Q3!$S$13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7350-414C-8214-C171110BEB0C}"/>
                </c:ext>
              </c:extLst>
            </c:dLbl>
            <c:dLbl>
              <c:idx val="4"/>
              <c:tx>
                <c:strRef>
                  <c:f>Credit_2017Q3!$V$13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{986C504C-30CF-4498-895A-AECC03EE6518}</c15:txfldGUID>
                      <c15:f>Credit_2017Q3!$V$13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(Credit_2017Q3!$Z$13,Credit_2017Q3!$L$13,Credit_2017Q3!$O$13,Credit_2017Q3!$R$13,Credit_2017Q3!$U$13)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350-414C-8214-C171110BE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4BF-434A-B7B7-F1DC5A0E957A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4BF-434A-B7B7-F1DC5A0E957A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4BF-434A-B7B7-F1DC5A0E957A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4BF-434A-B7B7-F1DC5A0E957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4BF-434A-B7B7-F1DC5A0E957A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4BF-434A-B7B7-F1DC5A0E957A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4BF-434A-B7B7-F1DC5A0E957A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4BF-434A-B7B7-F1DC5A0E95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Credit_2017Q2!$J$8:$J$13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Credit_2017Q2!$M$8:$M$13</c:f>
              <c:numCache>
                <c:formatCode>0%</c:formatCode>
                <c:ptCount val="6"/>
                <c:pt idx="0">
                  <c:v>6.1224489795918366E-2</c:v>
                </c:pt>
                <c:pt idx="1">
                  <c:v>0.2857142857142857</c:v>
                </c:pt>
                <c:pt idx="2">
                  <c:v>0.36734693877551022</c:v>
                </c:pt>
                <c:pt idx="3">
                  <c:v>0.16326530612244897</c:v>
                </c:pt>
                <c:pt idx="4">
                  <c:v>0.10204081632653061</c:v>
                </c:pt>
                <c:pt idx="5">
                  <c:v>2.0408163265306121E-2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4BF-434A-B7B7-F1DC5A0E9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Credit_2017Q2!$J$8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Credit_2017Q2!$J$8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{14966818-BA22-47E6-8732-4D652745C841}</c15:txfldGUID>
                      <c15:f>Credit_2017Q2!$J$8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150B-421A-832F-ABDD6552DD96}"/>
                </c:ext>
              </c:extLst>
            </c:dLbl>
            <c:dLbl>
              <c:idx val="1"/>
              <c:layout/>
              <c:tx>
                <c:strRef>
                  <c:f>Credit_2017Q2!$M$8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{BB497785-BE7E-452B-B3A1-848DB2426D74}</c15:txfldGUID>
                      <c15:f>Credit_2017Q2!$M$8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150B-421A-832F-ABDD6552DD96}"/>
                </c:ext>
              </c:extLst>
            </c:dLbl>
            <c:dLbl>
              <c:idx val="2"/>
              <c:layout/>
              <c:tx>
                <c:strRef>
                  <c:f>Credit_2017Q2!$P$8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{4A066399-3E9F-40CD-9B85-D0B0F0DBCBE9}</c15:txfldGUID>
                      <c15:f>Credit_2017Q2!$P$8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150B-421A-832F-ABDD6552DD96}"/>
                </c:ext>
              </c:extLst>
            </c:dLbl>
            <c:dLbl>
              <c:idx val="3"/>
              <c:layout/>
              <c:tx>
                <c:strRef>
                  <c:f>Credit_2017Q2!$S$8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{7E406FA2-D179-43F0-9622-270EBEE57E9C}</c15:txfldGUID>
                      <c15:f>Credit_2017Q2!$S$8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150B-421A-832F-ABDD6552DD96}"/>
                </c:ext>
              </c:extLst>
            </c:dLbl>
            <c:dLbl>
              <c:idx val="4"/>
              <c:tx>
                <c:strRef>
                  <c:f>Credit_2017Q2!$V$8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{2E034E1A-9062-40C0-A13E-46EBDC1DD410}</c15:txfldGUID>
                      <c15:f>Credit_2017Q2!$V$8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(Credit_2017Q2!$Z$8,Credit_2017Q2!$L$8,Credit_2017Q2!$O$8,Credit_2017Q2!$R$8,Credit_2017Q2!$U$8)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0B-421A-832F-ABDD6552DD96}"/>
            </c:ext>
          </c:extLst>
        </c:ser>
        <c:ser>
          <c:idx val="1"/>
          <c:order val="1"/>
          <c:tx>
            <c:strRef>
              <c:f>Credit_2017Q2!$J$9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Credit_2017Q2!$J$9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{239556AB-5FBA-4580-A3D6-EC989AE0A9B4}</c15:txfldGUID>
                      <c15:f>Credit_2017Q2!$J$9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150B-421A-832F-ABDD6552DD96}"/>
                </c:ext>
              </c:extLst>
            </c:dLbl>
            <c:dLbl>
              <c:idx val="1"/>
              <c:layout/>
              <c:tx>
                <c:strRef>
                  <c:f>Credit_2017Q2!$M$9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{845D7FE0-7836-4E0D-83C2-6DE814472D2A}</c15:txfldGUID>
                      <c15:f>Credit_2017Q2!$M$9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150B-421A-832F-ABDD6552DD96}"/>
                </c:ext>
              </c:extLst>
            </c:dLbl>
            <c:dLbl>
              <c:idx val="2"/>
              <c:layout/>
              <c:tx>
                <c:strRef>
                  <c:f>Credit_2017Q2!$P$9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{ED356588-2FED-4C57-B8D0-119880DAFB5F}</c15:txfldGUID>
                      <c15:f>Credit_2017Q2!$P$9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150B-421A-832F-ABDD6552DD96}"/>
                </c:ext>
              </c:extLst>
            </c:dLbl>
            <c:dLbl>
              <c:idx val="3"/>
              <c:layout/>
              <c:tx>
                <c:strRef>
                  <c:f>Credit_2017Q2!$S$9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{2B6D1D69-137D-47F2-9261-CF44C7428E0E}</c15:txfldGUID>
                      <c15:f>Credit_2017Q2!$S$9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50B-421A-832F-ABDD6552DD96}"/>
                </c:ext>
              </c:extLst>
            </c:dLbl>
            <c:dLbl>
              <c:idx val="4"/>
              <c:tx>
                <c:strRef>
                  <c:f>Credit_2017Q2!$V$9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{BA2CE185-809E-4827-897A-AD16BE80E713}</c15:txfldGUID>
                      <c15:f>Credit_2017Q2!$V$9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(Credit_2017Q2!$Z$9,Credit_2017Q2!$L$9,Credit_2017Q2!$O$9,Credit_2017Q2!$R$9,Credit_2017Q2!$U$9)</c:f>
              <c:numCache>
                <c:formatCode>General</c:formatCode>
                <c:ptCount val="4"/>
                <c:pt idx="0">
                  <c:v>1</c:v>
                </c:pt>
                <c:pt idx="1">
                  <c:v>14</c:v>
                </c:pt>
                <c:pt idx="2">
                  <c:v>12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50B-421A-832F-ABDD6552DD96}"/>
            </c:ext>
          </c:extLst>
        </c:ser>
        <c:ser>
          <c:idx val="2"/>
          <c:order val="2"/>
          <c:tx>
            <c:strRef>
              <c:f>Credit_2017Q2!$J$10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Credit_2017Q2!$J$10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{CC02CE48-8465-4E07-A788-CDCF9CFC89A4}</c15:txfldGUID>
                      <c15:f>Credit_2017Q2!$J$10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50B-421A-832F-ABDD6552DD96}"/>
                </c:ext>
              </c:extLst>
            </c:dLbl>
            <c:dLbl>
              <c:idx val="1"/>
              <c:layout/>
              <c:tx>
                <c:strRef>
                  <c:f>Credit_2017Q2!$M$10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{A5EE52EE-A679-4D1B-9362-0BF1F32E5774}</c15:txfldGUID>
                      <c15:f>Credit_2017Q2!$M$10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50B-421A-832F-ABDD6552DD96}"/>
                </c:ext>
              </c:extLst>
            </c:dLbl>
            <c:dLbl>
              <c:idx val="2"/>
              <c:layout/>
              <c:tx>
                <c:strRef>
                  <c:f>Credit_2017Q2!$P$10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{8210D56A-1E28-48E9-92F8-448B31C295DC}</c15:txfldGUID>
                      <c15:f>Credit_2017Q2!$P$10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50B-421A-832F-ABDD6552DD96}"/>
                </c:ext>
              </c:extLst>
            </c:dLbl>
            <c:dLbl>
              <c:idx val="3"/>
              <c:layout/>
              <c:tx>
                <c:strRef>
                  <c:f>Credit_2017Q2!$S$10</c:f>
                  <c:strCache>
                    <c:ptCount val="1"/>
                    <c:pt idx="0">
                      <c:v>57%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{8DF0230F-7AE2-4946-9080-F4CA6A23D5AA}</c15:txfldGUID>
                      <c15:f>Credit_2017Q2!$S$10</c15:f>
                      <c15:dlblFieldTableCache>
                        <c:ptCount val="1"/>
                        <c:pt idx="0">
                          <c:v>57%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150B-421A-832F-ABDD6552DD96}"/>
                </c:ext>
              </c:extLst>
            </c:dLbl>
            <c:dLbl>
              <c:idx val="4"/>
              <c:tx>
                <c:strRef>
                  <c:f>Credit_2017Q2!$V$10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{39C0B352-5E87-4E48-A745-0F8E2BC72198}</c15:txfldGUID>
                      <c15:f>Credit_2017Q2!$V$10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(Credit_2017Q2!$Z$10,Credit_2017Q2!$L$10,Credit_2017Q2!$O$10,Credit_2017Q2!$R$10,Credit_2017Q2!$U$10)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10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50B-421A-832F-ABDD6552DD96}"/>
            </c:ext>
          </c:extLst>
        </c:ser>
        <c:ser>
          <c:idx val="3"/>
          <c:order val="3"/>
          <c:tx>
            <c:strRef>
              <c:f>Credit_2017Q2!$J$11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Credit_2017Q2!$J$11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{6BD6E195-2A1D-416A-8D76-E6C250D6C6DC}</c15:txfldGUID>
                      <c15:f>Credit_2017Q2!$J$11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150B-421A-832F-ABDD6552DD96}"/>
                </c:ext>
              </c:extLst>
            </c:dLbl>
            <c:dLbl>
              <c:idx val="1"/>
              <c:layout/>
              <c:tx>
                <c:strRef>
                  <c:f>Credit_2017Q2!$M$11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{E9853F17-4BD4-4B76-951B-C3E0FB65CF08}</c15:txfldGUID>
                      <c15:f>Credit_2017Q2!$M$11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150B-421A-832F-ABDD6552DD96}"/>
                </c:ext>
              </c:extLst>
            </c:dLbl>
            <c:dLbl>
              <c:idx val="2"/>
              <c:layout/>
              <c:tx>
                <c:strRef>
                  <c:f>Credit_2017Q2!$P$11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{D5308B9C-9904-4206-A299-413368A07BCC}</c15:txfldGUID>
                      <c15:f>Credit_2017Q2!$P$11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150B-421A-832F-ABDD6552DD96}"/>
                </c:ext>
              </c:extLst>
            </c:dLbl>
            <c:dLbl>
              <c:idx val="3"/>
              <c:layout/>
              <c:tx>
                <c:strRef>
                  <c:f>Credit_2017Q2!$S$11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{A3971E26-121A-4F40-B6F1-A15430ABBB6D}</c15:txfldGUID>
                      <c15:f>Credit_2017Q2!$S$11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150B-421A-832F-ABDD6552DD96}"/>
                </c:ext>
              </c:extLst>
            </c:dLbl>
            <c:dLbl>
              <c:idx val="4"/>
              <c:tx>
                <c:strRef>
                  <c:f>Credit_2017Q2!$V$11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{655D6D42-7EB2-438F-88E4-BBD9853F46BC}</c15:txfldGUID>
                      <c15:f>Credit_2017Q2!$V$11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(Credit_2017Q2!$Z$11,Credit_2017Q2!$L$11,Credit_2017Q2!$O$11,Credit_2017Q2!$R$11,Credit_2017Q2!$U$11)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50B-421A-832F-ABDD6552DD96}"/>
            </c:ext>
          </c:extLst>
        </c:ser>
        <c:ser>
          <c:idx val="4"/>
          <c:order val="4"/>
          <c:tx>
            <c:strRef>
              <c:f>Credit_2017Q2!$J$12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layout/>
              <c:tx>
                <c:strRef>
                  <c:f>Credit_2017Q2!$J$12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{029310A6-803D-49C0-B93B-1ED1D0AE6F62}</c15:txfldGUID>
                      <c15:f>Credit_2017Q2!$J$12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150B-421A-832F-ABDD6552DD96}"/>
                </c:ext>
              </c:extLst>
            </c:dLbl>
            <c:dLbl>
              <c:idx val="1"/>
              <c:layout/>
              <c:tx>
                <c:strRef>
                  <c:f>Credit_2017Q2!$M$12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{51086890-F434-46DB-80ED-BD81A7DB4D44}</c15:txfldGUID>
                      <c15:f>Credit_2017Q2!$M$12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150B-421A-832F-ABDD6552DD96}"/>
                </c:ext>
              </c:extLst>
            </c:dLbl>
            <c:dLbl>
              <c:idx val="2"/>
              <c:layout/>
              <c:tx>
                <c:strRef>
                  <c:f>Credit_2017Q2!$P$12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{81FC19C3-AC13-4B46-941C-7676BC7AF4B7}</c15:txfldGUID>
                      <c15:f>Credit_2017Q2!$P$12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150B-421A-832F-ABDD6552DD96}"/>
                </c:ext>
              </c:extLst>
            </c:dLbl>
            <c:dLbl>
              <c:idx val="3"/>
              <c:layout/>
              <c:tx>
                <c:strRef>
                  <c:f>Credit_2017Q2!$S$12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{6B0513A9-88A9-48AC-8D2D-031C69AB3C55}</c15:txfldGUID>
                      <c15:f>Credit_2017Q2!$S$12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150B-421A-832F-ABDD6552DD96}"/>
                </c:ext>
              </c:extLst>
            </c:dLbl>
            <c:dLbl>
              <c:idx val="4"/>
              <c:tx>
                <c:strRef>
                  <c:f>Credit_2017Q2!$V$12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{1527B863-772A-4A27-9922-106978DBC8D6}</c15:txfldGUID>
                      <c15:f>Credit_2017Q2!$V$12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(Credit_2017Q2!$Z$12,Credit_2017Q2!$L$12,Credit_2017Q2!$O$12,Credit_2017Q2!$R$12,Credit_2017Q2!$U$12)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50B-421A-832F-ABDD6552DD96}"/>
            </c:ext>
          </c:extLst>
        </c:ser>
        <c:ser>
          <c:idx val="5"/>
          <c:order val="5"/>
          <c:tx>
            <c:strRef>
              <c:f>Credit_2017Q2!$J$13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Credit_2017Q2!$J$13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{CB2372EE-31C8-4875-B577-BFA927D5485A}</c15:txfldGUID>
                      <c15:f>Credit_2017Q2!$J$13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150B-421A-832F-ABDD6552DD96}"/>
                </c:ext>
              </c:extLst>
            </c:dLbl>
            <c:dLbl>
              <c:idx val="1"/>
              <c:layout/>
              <c:tx>
                <c:strRef>
                  <c:f>Credit_2017Q2!$M$13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{EFF6754A-5E96-4F14-B4C7-6511D79D4535}</c15:txfldGUID>
                      <c15:f>Credit_2017Q2!$M$13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150B-421A-832F-ABDD6552DD96}"/>
                </c:ext>
              </c:extLst>
            </c:dLbl>
            <c:dLbl>
              <c:idx val="2"/>
              <c:layout/>
              <c:tx>
                <c:strRef>
                  <c:f>Credit_2017Q2!$P$13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{10B26BC6-50E8-419F-8937-A71126B9E45A}</c15:txfldGUID>
                      <c15:f>Credit_2017Q2!$P$13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150B-421A-832F-ABDD6552DD96}"/>
                </c:ext>
              </c:extLst>
            </c:dLbl>
            <c:dLbl>
              <c:idx val="3"/>
              <c:layout/>
              <c:tx>
                <c:strRef>
                  <c:f>Credit_2017Q2!$S$13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{7C88BB1F-8A79-4421-9CDD-E053EC2B6AED}</c15:txfldGUID>
                      <c15:f>Credit_2017Q2!$S$13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150B-421A-832F-ABDD6552DD96}"/>
                </c:ext>
              </c:extLst>
            </c:dLbl>
            <c:dLbl>
              <c:idx val="4"/>
              <c:tx>
                <c:strRef>
                  <c:f>Credit_2017Q2!$V$13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{D10B31D7-1173-4D69-B2ED-92CF4B31E6CC}</c15:txfldGUID>
                      <c15:f>Credit_2017Q2!$V$13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(Credit_2017Q2!$Z$13,Credit_2017Q2!$L$13,Credit_2017Q2!$O$13,Credit_2017Q2!$R$13,Credit_2017Q2!$U$13)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50B-421A-832F-ABDD6552D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59646208"/>
        <c:axId val="259647744"/>
      </c:barChart>
      <c:catAx>
        <c:axId val="259646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59647744"/>
        <c:crosses val="max"/>
        <c:auto val="1"/>
        <c:lblAlgn val="ctr"/>
        <c:lblOffset val="100"/>
        <c:noMultiLvlLbl val="0"/>
      </c:catAx>
      <c:valAx>
        <c:axId val="25964774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5964620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93B-4DA5-8FAF-6500B9963CB9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93B-4DA5-8FAF-6500B9963CB9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93B-4DA5-8FAF-6500B9963CB9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693B-4DA5-8FAF-6500B9963CB9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693B-4DA5-8FAF-6500B9963CB9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693B-4DA5-8FAF-6500B9963CB9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93B-4DA5-8FAF-6500B9963CB9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693B-4DA5-8FAF-6500B9963C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Credit_2017Q1!$J$8:$J$13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Credit_2017Q1!$M$8:$M$13</c:f>
              <c:numCache>
                <c:formatCode>0%</c:formatCode>
                <c:ptCount val="6"/>
                <c:pt idx="0">
                  <c:v>6.1224489795918366E-2</c:v>
                </c:pt>
                <c:pt idx="1">
                  <c:v>0.26530612244897961</c:v>
                </c:pt>
                <c:pt idx="2">
                  <c:v>0.38775510204081631</c:v>
                </c:pt>
                <c:pt idx="3">
                  <c:v>0.16326530612244897</c:v>
                </c:pt>
                <c:pt idx="4">
                  <c:v>0.10204081632653061</c:v>
                </c:pt>
                <c:pt idx="5">
                  <c:v>2.0408163265306121E-2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93B-4DA5-8FAF-6500B9963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Credit_2017Q1!$J$8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Credit_2017Q1!$J$8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{43EB4F8D-AC5B-4C29-85E1-B847DBE6EE9E}</c15:txfldGUID>
                      <c15:f>Credit_2017Q1!$J$8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44DF-4E46-A6B5-AF113738A8AD}"/>
                </c:ext>
              </c:extLst>
            </c:dLbl>
            <c:dLbl>
              <c:idx val="1"/>
              <c:layout/>
              <c:tx>
                <c:strRef>
                  <c:f>Credit_2017Q1!$M$8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{873E9F07-CDD1-43FB-97D8-505C535EEB02}</c15:txfldGUID>
                      <c15:f>Credit_2017Q1!$M$8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44DF-4E46-A6B5-AF113738A8AD}"/>
                </c:ext>
              </c:extLst>
            </c:dLbl>
            <c:dLbl>
              <c:idx val="2"/>
              <c:layout/>
              <c:tx>
                <c:strRef>
                  <c:f>Credit_2017Q1!$P$8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{85661673-BAFA-4B9E-AFB2-888E5C403E56}</c15:txfldGUID>
                      <c15:f>Credit_2017Q1!$P$8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44DF-4E46-A6B5-AF113738A8AD}"/>
                </c:ext>
              </c:extLst>
            </c:dLbl>
            <c:dLbl>
              <c:idx val="3"/>
              <c:layout/>
              <c:tx>
                <c:strRef>
                  <c:f>Credit_2017Q1!$S$8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{3D04616E-BB75-4973-B641-782EAA118F20}</c15:txfldGUID>
                      <c15:f>Credit_2017Q1!$S$8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44DF-4E46-A6B5-AF113738A8AD}"/>
                </c:ext>
              </c:extLst>
            </c:dLbl>
            <c:dLbl>
              <c:idx val="4"/>
              <c:tx>
                <c:strRef>
                  <c:f>Credit_2017Q1!$V$8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{94079EC1-A291-491C-839B-49DF86460EAE}</c15:txfldGUID>
                      <c15:f>Credit_2017Q1!$V$8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(Credit_2017Q1!$Z$8,Credit_2017Q1!$L$8,Credit_2017Q1!$O$8,Credit_2017Q1!$R$8,Credit_2017Q1!$U$8)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4DF-4E46-A6B5-AF113738A8AD}"/>
            </c:ext>
          </c:extLst>
        </c:ser>
        <c:ser>
          <c:idx val="1"/>
          <c:order val="1"/>
          <c:tx>
            <c:strRef>
              <c:f>Credit_2017Q1!$J$9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Credit_2017Q1!$J$9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{66C58939-5B40-4882-90C7-3EACB17745E8}</c15:txfldGUID>
                      <c15:f>Credit_2017Q1!$J$9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44DF-4E46-A6B5-AF113738A8AD}"/>
                </c:ext>
              </c:extLst>
            </c:dLbl>
            <c:dLbl>
              <c:idx val="1"/>
              <c:layout/>
              <c:tx>
                <c:strRef>
                  <c:f>Credit_2017Q1!$M$9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{DC1D32E4-AC15-4F23-B3F7-1BBA218EBE45}</c15:txfldGUID>
                      <c15:f>Credit_2017Q1!$M$9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44DF-4E46-A6B5-AF113738A8AD}"/>
                </c:ext>
              </c:extLst>
            </c:dLbl>
            <c:dLbl>
              <c:idx val="2"/>
              <c:layout/>
              <c:tx>
                <c:strRef>
                  <c:f>Credit_2017Q1!$P$9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{A16461E0-DA3D-4C1A-B70B-CE27F2CFAD45}</c15:txfldGUID>
                      <c15:f>Credit_2017Q1!$P$9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44DF-4E46-A6B5-AF113738A8AD}"/>
                </c:ext>
              </c:extLst>
            </c:dLbl>
            <c:dLbl>
              <c:idx val="3"/>
              <c:layout/>
              <c:tx>
                <c:strRef>
                  <c:f>Credit_2017Q1!$S$9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{ADE07E26-CB39-43C6-8418-AD758B3FE84B}</c15:txfldGUID>
                      <c15:f>Credit_2017Q1!$S$9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44DF-4E46-A6B5-AF113738A8AD}"/>
                </c:ext>
              </c:extLst>
            </c:dLbl>
            <c:dLbl>
              <c:idx val="4"/>
              <c:tx>
                <c:strRef>
                  <c:f>Credit_2017Q1!$V$9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{4E7EF40E-4EAE-4E66-A01C-F4FA3949DE3B}</c15:txfldGUID>
                      <c15:f>Credit_2017Q1!$V$9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(Credit_2017Q1!$Z$9,Credit_2017Q1!$L$9,Credit_2017Q1!$O$9,Credit_2017Q1!$R$9,Credit_2017Q1!$U$9)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4DF-4E46-A6B5-AF113738A8AD}"/>
            </c:ext>
          </c:extLst>
        </c:ser>
        <c:ser>
          <c:idx val="2"/>
          <c:order val="2"/>
          <c:tx>
            <c:strRef>
              <c:f>Credit_2017Q1!$J$10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Credit_2017Q1!$J$10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{90A5EE70-2593-49B9-B118-4A211201EADF}</c15:txfldGUID>
                      <c15:f>Credit_2017Q1!$J$10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44DF-4E46-A6B5-AF113738A8AD}"/>
                </c:ext>
              </c:extLst>
            </c:dLbl>
            <c:dLbl>
              <c:idx val="1"/>
              <c:layout/>
              <c:tx>
                <c:strRef>
                  <c:f>Credit_2017Q1!$M$10</c:f>
                  <c:strCache>
                    <c:ptCount val="1"/>
                    <c:pt idx="0">
                      <c:v>39%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{CD0C4379-3D70-4860-8D06-98D1F174235B}</c15:txfldGUID>
                      <c15:f>Credit_2017Q1!$M$10</c15:f>
                      <c15:dlblFieldTableCache>
                        <c:ptCount val="1"/>
                        <c:pt idx="0">
                          <c:v>39%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44DF-4E46-A6B5-AF113738A8AD}"/>
                </c:ext>
              </c:extLst>
            </c:dLbl>
            <c:dLbl>
              <c:idx val="2"/>
              <c:layout/>
              <c:tx>
                <c:strRef>
                  <c:f>Credit_2017Q1!$P$10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{84AD2A22-0AC9-48C0-A9F0-90D701E56C7E}</c15:txfldGUID>
                      <c15:f>Credit_2017Q1!$P$10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44DF-4E46-A6B5-AF113738A8AD}"/>
                </c:ext>
              </c:extLst>
            </c:dLbl>
            <c:dLbl>
              <c:idx val="3"/>
              <c:layout/>
              <c:tx>
                <c:strRef>
                  <c:f>Credit_2017Q1!$S$10</c:f>
                  <c:strCache>
                    <c:ptCount val="1"/>
                    <c:pt idx="0">
                      <c:v>57%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{0876347E-133D-4BB0-ACBC-E99D1B4C98E8}</c15:txfldGUID>
                      <c15:f>Credit_2017Q1!$S$10</c15:f>
                      <c15:dlblFieldTableCache>
                        <c:ptCount val="1"/>
                        <c:pt idx="0">
                          <c:v>57%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44DF-4E46-A6B5-AF113738A8AD}"/>
                </c:ext>
              </c:extLst>
            </c:dLbl>
            <c:dLbl>
              <c:idx val="4"/>
              <c:tx>
                <c:strRef>
                  <c:f>Credit_2017Q1!$V$10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{C1D50BA2-9D0A-49ED-942E-152720AE700F}</c15:txfldGUID>
                      <c15:f>Credit_2017Q1!$V$10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(Credit_2017Q1!$Z$10,Credit_2017Q1!$L$10,Credit_2017Q1!$O$10,Credit_2017Q1!$R$10,Credit_2017Q1!$U$10)</c:f>
              <c:numCache>
                <c:formatCode>General</c:formatCode>
                <c:ptCount val="4"/>
                <c:pt idx="0">
                  <c:v>1</c:v>
                </c:pt>
                <c:pt idx="1">
                  <c:v>19</c:v>
                </c:pt>
                <c:pt idx="2">
                  <c:v>11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4DF-4E46-A6B5-AF113738A8AD}"/>
            </c:ext>
          </c:extLst>
        </c:ser>
        <c:ser>
          <c:idx val="3"/>
          <c:order val="3"/>
          <c:tx>
            <c:strRef>
              <c:f>Credit_2017Q1!$J$11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Credit_2017Q1!$J$11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{0D148B7D-85E5-4566-866F-9E12345EFDF8}</c15:txfldGUID>
                      <c15:f>Credit_2017Q1!$J$11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44DF-4E46-A6B5-AF113738A8AD}"/>
                </c:ext>
              </c:extLst>
            </c:dLbl>
            <c:dLbl>
              <c:idx val="1"/>
              <c:layout/>
              <c:tx>
                <c:strRef>
                  <c:f>Credit_2017Q1!$M$11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{22D10E84-63E5-4707-A8A8-65EA9C971F74}</c15:txfldGUID>
                      <c15:f>Credit_2017Q1!$M$11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44DF-4E46-A6B5-AF113738A8AD}"/>
                </c:ext>
              </c:extLst>
            </c:dLbl>
            <c:dLbl>
              <c:idx val="2"/>
              <c:layout/>
              <c:tx>
                <c:strRef>
                  <c:f>Credit_2017Q1!$P$11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{818952DE-BA1D-439D-8D94-9CD559404174}</c15:txfldGUID>
                      <c15:f>Credit_2017Q1!$P$11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44DF-4E46-A6B5-AF113738A8AD}"/>
                </c:ext>
              </c:extLst>
            </c:dLbl>
            <c:dLbl>
              <c:idx val="3"/>
              <c:layout/>
              <c:tx>
                <c:strRef>
                  <c:f>Credit_2017Q1!$S$11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{C2A98F8F-59F4-48CB-9400-CF85621DC65B}</c15:txfldGUID>
                      <c15:f>Credit_2017Q1!$S$11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44DF-4E46-A6B5-AF113738A8AD}"/>
                </c:ext>
              </c:extLst>
            </c:dLbl>
            <c:dLbl>
              <c:idx val="4"/>
              <c:tx>
                <c:strRef>
                  <c:f>Credit_2017Q1!$V$11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{6D8D7478-B48C-477B-88F8-9238A1D5B630}</c15:txfldGUID>
                      <c15:f>Credit_2017Q1!$V$11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(Credit_2017Q1!$Z$11,Credit_2017Q1!$L$11,Credit_2017Q1!$O$11,Credit_2017Q1!$R$11,Credit_2017Q1!$U$11)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4DF-4E46-A6B5-AF113738A8AD}"/>
            </c:ext>
          </c:extLst>
        </c:ser>
        <c:ser>
          <c:idx val="4"/>
          <c:order val="4"/>
          <c:tx>
            <c:strRef>
              <c:f>Credit_2017Q1!$J$12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layout/>
              <c:tx>
                <c:strRef>
                  <c:f>Credit_2017Q1!$J$12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{6347E182-ADDD-4B63-8D97-AC6F0185F159}</c15:txfldGUID>
                      <c15:f>Credit_2017Q1!$J$12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44DF-4E46-A6B5-AF113738A8AD}"/>
                </c:ext>
              </c:extLst>
            </c:dLbl>
            <c:dLbl>
              <c:idx val="1"/>
              <c:layout/>
              <c:tx>
                <c:strRef>
                  <c:f>Credit_2017Q1!$M$12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{F93B4A1E-B82A-46E7-B98C-43F535D18F66}</c15:txfldGUID>
                      <c15:f>Credit_2017Q1!$M$12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44DF-4E46-A6B5-AF113738A8AD}"/>
                </c:ext>
              </c:extLst>
            </c:dLbl>
            <c:dLbl>
              <c:idx val="2"/>
              <c:layout/>
              <c:tx>
                <c:strRef>
                  <c:f>Credit_2017Q1!$P$12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{9D9A9207-2E11-47F7-99B4-5ECA49410312}</c15:txfldGUID>
                      <c15:f>Credit_2017Q1!$P$12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44DF-4E46-A6B5-AF113738A8AD}"/>
                </c:ext>
              </c:extLst>
            </c:dLbl>
            <c:dLbl>
              <c:idx val="3"/>
              <c:layout/>
              <c:tx>
                <c:strRef>
                  <c:f>Credit_2017Q1!$S$12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{94DE220F-A55E-4C4B-BA19-1DBD09654E02}</c15:txfldGUID>
                      <c15:f>Credit_2017Q1!$S$12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44DF-4E46-A6B5-AF113738A8AD}"/>
                </c:ext>
              </c:extLst>
            </c:dLbl>
            <c:dLbl>
              <c:idx val="4"/>
              <c:tx>
                <c:strRef>
                  <c:f>Credit_2017Q1!$V$12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{6A845F96-E02C-466D-BB77-DEBBFC763457}</c15:txfldGUID>
                      <c15:f>Credit_2017Q1!$V$12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(Credit_2017Q1!$Z$12,Credit_2017Q1!$L$12,Credit_2017Q1!$O$12,Credit_2017Q1!$R$12,Credit_2017Q1!$U$12)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4DF-4E46-A6B5-AF113738A8AD}"/>
            </c:ext>
          </c:extLst>
        </c:ser>
        <c:ser>
          <c:idx val="5"/>
          <c:order val="5"/>
          <c:tx>
            <c:strRef>
              <c:f>Credit_2017Q1!$J$13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Credit_2017Q1!$J$13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{616C7CFD-F704-4257-9420-1B2E9D3B95E9}</c15:txfldGUID>
                      <c15:f>Credit_2017Q1!$J$13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44DF-4E46-A6B5-AF113738A8AD}"/>
                </c:ext>
              </c:extLst>
            </c:dLbl>
            <c:dLbl>
              <c:idx val="1"/>
              <c:layout/>
              <c:tx>
                <c:strRef>
                  <c:f>Credit_2017Q1!$M$13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{C4F5F8DF-B14E-447B-A6F2-47D17601DBE6}</c15:txfldGUID>
                      <c15:f>Credit_2017Q1!$M$13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44DF-4E46-A6B5-AF113738A8AD}"/>
                </c:ext>
              </c:extLst>
            </c:dLbl>
            <c:dLbl>
              <c:idx val="2"/>
              <c:layout/>
              <c:tx>
                <c:strRef>
                  <c:f>Credit_2017Q1!$P$13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{F1366ECF-13D6-442A-B471-BAFDC05FFB6F}</c15:txfldGUID>
                      <c15:f>Credit_2017Q1!$P$13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44DF-4E46-A6B5-AF113738A8AD}"/>
                </c:ext>
              </c:extLst>
            </c:dLbl>
            <c:dLbl>
              <c:idx val="3"/>
              <c:layout/>
              <c:tx>
                <c:strRef>
                  <c:f>Credit_2017Q1!$S$13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{8C4A11A3-82FF-451A-89F5-CDD84DA32C60}</c15:txfldGUID>
                      <c15:f>Credit_2017Q1!$S$13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44DF-4E46-A6B5-AF113738A8AD}"/>
                </c:ext>
              </c:extLst>
            </c:dLbl>
            <c:dLbl>
              <c:idx val="4"/>
              <c:tx>
                <c:strRef>
                  <c:f>Credit_2017Q1!$V$13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{2653205A-D665-4C8E-BDE5-E955A7063E5B}</c15:txfldGUID>
                      <c15:f>Credit_2017Q1!$V$13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(Credit_2017Q1!$Z$13,Credit_2017Q1!$L$13,Credit_2017Q1!$O$13,Credit_2017Q1!$R$13,Credit_2017Q1!$U$13)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44DF-4E46-A6B5-AF113738A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1158016"/>
        <c:axId val="261159552"/>
      </c:barChart>
      <c:catAx>
        <c:axId val="261158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1159552"/>
        <c:crosses val="max"/>
        <c:auto val="1"/>
        <c:lblAlgn val="ctr"/>
        <c:lblOffset val="100"/>
        <c:noMultiLvlLbl val="0"/>
      </c:catAx>
      <c:valAx>
        <c:axId val="261159552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115801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D41-46E1-94C9-8428631E0F6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D41-46E1-94C9-8428631E0F6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D41-46E1-94C9-8428631E0F6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D41-46E1-94C9-8428631E0F6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D41-46E1-94C9-8428631E0F6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D41-46E1-94C9-8428631E0F6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D41-46E1-94C9-8428631E0F6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D41-46E1-94C9-8428631E0F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Credit_2016Q4!$J$8:$J$13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Credit_2016Q4!$M$8:$M$13</c:f>
              <c:numCache>
                <c:formatCode>0%</c:formatCode>
                <c:ptCount val="6"/>
                <c:pt idx="0">
                  <c:v>0.06</c:v>
                </c:pt>
                <c:pt idx="1">
                  <c:v>0.24</c:v>
                </c:pt>
                <c:pt idx="2">
                  <c:v>0.4</c:v>
                </c:pt>
                <c:pt idx="3">
                  <c:v>0.18</c:v>
                </c:pt>
                <c:pt idx="4">
                  <c:v>0.1</c:v>
                </c:pt>
                <c:pt idx="5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D41-46E1-94C9-8428631E0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Credit_2016Q4!$J$8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Credit_2016Q4!$J$8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{EF030A3A-37DB-4B70-A447-920C14F3518C}</c15:txfldGUID>
                      <c15:f>Credit_2016Q4!$J$8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677C-4CB6-AB94-F7F52BF4906D}"/>
                </c:ext>
              </c:extLst>
            </c:dLbl>
            <c:dLbl>
              <c:idx val="1"/>
              <c:layout/>
              <c:tx>
                <c:strRef>
                  <c:f>Credit_2016Q4!$M$8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{A9843334-E857-448A-BC24-47F40CDADEBD}</c15:txfldGUID>
                      <c15:f>Credit_2016Q4!$M$8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677C-4CB6-AB94-F7F52BF4906D}"/>
                </c:ext>
              </c:extLst>
            </c:dLbl>
            <c:dLbl>
              <c:idx val="2"/>
              <c:layout/>
              <c:tx>
                <c:strRef>
                  <c:f>Credit_2016Q4!$P$8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{8F7D60FC-0F9A-457B-B3F6-72C02B90060F}</c15:txfldGUID>
                      <c15:f>Credit_2016Q4!$P$8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677C-4CB6-AB94-F7F52BF4906D}"/>
                </c:ext>
              </c:extLst>
            </c:dLbl>
            <c:dLbl>
              <c:idx val="3"/>
              <c:layout/>
              <c:tx>
                <c:strRef>
                  <c:f>Credit_2016Q4!$S$8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{23C6DE98-E158-423A-A4DF-7B76C12A29E3}</c15:txfldGUID>
                      <c15:f>Credit_2016Q4!$S$8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677C-4CB6-AB94-F7F52BF4906D}"/>
                </c:ext>
              </c:extLst>
            </c:dLbl>
            <c:dLbl>
              <c:idx val="4"/>
              <c:layout/>
              <c:tx>
                <c:strRef>
                  <c:f>Credit_2016Q4!$V$8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{47C75A18-5B22-4CCC-B425-0AEF4EDA0349}</c15:txfldGUID>
                      <c15:f>Credit_2016Q4!$V$8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(Credit_2016Q4!$Z$8,Credit_2016Q4!$L$8,Credit_2016Q4!$O$8,Credit_2016Q4!$R$8,Credit_2016Q4!$U$8)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77C-4CB6-AB94-F7F52BF4906D}"/>
            </c:ext>
          </c:extLst>
        </c:ser>
        <c:ser>
          <c:idx val="1"/>
          <c:order val="1"/>
          <c:tx>
            <c:strRef>
              <c:f>Credit_2016Q4!$J$9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Credit_2016Q4!$J$9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{20902599-6A36-43BA-A0C6-5ED5AE2EA20E}</c15:txfldGUID>
                      <c15:f>Credit_2016Q4!$J$9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677C-4CB6-AB94-F7F52BF4906D}"/>
                </c:ext>
              </c:extLst>
            </c:dLbl>
            <c:dLbl>
              <c:idx val="1"/>
              <c:layout/>
              <c:tx>
                <c:strRef>
                  <c:f>Credit_2016Q4!$M$9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{1FAC5EFF-672A-4C1F-8AFA-6ADA41B5981E}</c15:txfldGUID>
                      <c15:f>Credit_2016Q4!$M$9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677C-4CB6-AB94-F7F52BF4906D}"/>
                </c:ext>
              </c:extLst>
            </c:dLbl>
            <c:dLbl>
              <c:idx val="2"/>
              <c:layout/>
              <c:tx>
                <c:strRef>
                  <c:f>Credit_2016Q4!$P$9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{FE3D9116-6A15-4E42-BCC0-ABEC9C41AC56}</c15:txfldGUID>
                      <c15:f>Credit_2016Q4!$P$9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677C-4CB6-AB94-F7F52BF4906D}"/>
                </c:ext>
              </c:extLst>
            </c:dLbl>
            <c:dLbl>
              <c:idx val="3"/>
              <c:layout/>
              <c:tx>
                <c:strRef>
                  <c:f>Credit_2016Q4!$S$9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{557B5229-9D53-41D0-A739-52EA49E0B186}</c15:txfldGUID>
                      <c15:f>Credit_2016Q4!$S$9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677C-4CB6-AB94-F7F52BF4906D}"/>
                </c:ext>
              </c:extLst>
            </c:dLbl>
            <c:dLbl>
              <c:idx val="4"/>
              <c:layout/>
              <c:tx>
                <c:strRef>
                  <c:f>Credit_2016Q4!$V$9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{711080CE-87A2-43FB-93D2-3DAE288BB9A1}</c15:txfldGUID>
                      <c15:f>Credit_2016Q4!$V$9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(Credit_2016Q4!$Z$9,Credit_2016Q4!$L$9,Credit_2016Q4!$O$9,Credit_2016Q4!$R$9,Credit_2016Q4!$U$9)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10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77C-4CB6-AB94-F7F52BF4906D}"/>
            </c:ext>
          </c:extLst>
        </c:ser>
        <c:ser>
          <c:idx val="2"/>
          <c:order val="2"/>
          <c:tx>
            <c:strRef>
              <c:f>Credit_2016Q4!$J$10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Credit_2016Q4!$J$10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{3FBB4EE5-B6F7-4F74-85C0-B73453A205DD}</c15:txfldGUID>
                      <c15:f>Credit_2016Q4!$J$10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677C-4CB6-AB94-F7F52BF4906D}"/>
                </c:ext>
              </c:extLst>
            </c:dLbl>
            <c:dLbl>
              <c:idx val="1"/>
              <c:layout/>
              <c:tx>
                <c:strRef>
                  <c:f>Credit_2016Q4!$M$10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{6504C4C3-9389-4CA1-9504-1FE1723C719F}</c15:txfldGUID>
                      <c15:f>Credit_2016Q4!$M$10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677C-4CB6-AB94-F7F52BF4906D}"/>
                </c:ext>
              </c:extLst>
            </c:dLbl>
            <c:dLbl>
              <c:idx val="2"/>
              <c:layout/>
              <c:tx>
                <c:strRef>
                  <c:f>Credit_2016Q4!$P$10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{03A1B37A-76FE-4555-88E4-A63708F587D7}</c15:txfldGUID>
                      <c15:f>Credit_2016Q4!$P$10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677C-4CB6-AB94-F7F52BF4906D}"/>
                </c:ext>
              </c:extLst>
            </c:dLbl>
            <c:dLbl>
              <c:idx val="3"/>
              <c:layout/>
              <c:tx>
                <c:strRef>
                  <c:f>Credit_2016Q4!$S$10</c:f>
                  <c:strCache>
                    <c:ptCount val="1"/>
                    <c:pt idx="0">
                      <c:v>58%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{7F3C3FF7-80C6-4B31-A4F4-2A06C15427E7}</c15:txfldGUID>
                      <c15:f>Credit_2016Q4!$S$10</c15:f>
                      <c15:dlblFieldTableCache>
                        <c:ptCount val="1"/>
                        <c:pt idx="0">
                          <c:v>58%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677C-4CB6-AB94-F7F52BF4906D}"/>
                </c:ext>
              </c:extLst>
            </c:dLbl>
            <c:dLbl>
              <c:idx val="4"/>
              <c:layout/>
              <c:tx>
                <c:strRef>
                  <c:f>Credit_2016Q4!$V$10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{2F5C9C7A-2BF5-49F7-9DA1-8B4B270691C3}</c15:txfldGUID>
                      <c15:f>Credit_2016Q4!$V$10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(Credit_2016Q4!$Z$10,Credit_2016Q4!$L$10,Credit_2016Q4!$O$10,Credit_2016Q4!$R$10,Credit_2016Q4!$U$10)</c:f>
              <c:numCache>
                <c:formatCode>General</c:formatCode>
                <c:ptCount val="5"/>
                <c:pt idx="0">
                  <c:v>1</c:v>
                </c:pt>
                <c:pt idx="1">
                  <c:v>20</c:v>
                </c:pt>
                <c:pt idx="2">
                  <c:v>13</c:v>
                </c:pt>
                <c:pt idx="3">
                  <c:v>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77C-4CB6-AB94-F7F52BF4906D}"/>
            </c:ext>
          </c:extLst>
        </c:ser>
        <c:ser>
          <c:idx val="3"/>
          <c:order val="3"/>
          <c:tx>
            <c:strRef>
              <c:f>Credit_2016Q4!$J$11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Credit_2016Q4!$J$11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{49A49710-14DB-4971-9FB4-B73A567001F5}</c15:txfldGUID>
                      <c15:f>Credit_2016Q4!$J$11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677C-4CB6-AB94-F7F52BF4906D}"/>
                </c:ext>
              </c:extLst>
            </c:dLbl>
            <c:dLbl>
              <c:idx val="1"/>
              <c:layout/>
              <c:tx>
                <c:strRef>
                  <c:f>Credit_2016Q4!$M$11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{6C2AAC89-ADD6-4DC2-B046-0029AC29F012}</c15:txfldGUID>
                      <c15:f>Credit_2016Q4!$M$11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677C-4CB6-AB94-F7F52BF4906D}"/>
                </c:ext>
              </c:extLst>
            </c:dLbl>
            <c:dLbl>
              <c:idx val="2"/>
              <c:layout/>
              <c:tx>
                <c:strRef>
                  <c:f>Credit_2016Q4!$P$11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{8C2593D8-2CA4-4936-9696-FBF0C0108D44}</c15:txfldGUID>
                      <c15:f>Credit_2016Q4!$P$11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677C-4CB6-AB94-F7F52BF4906D}"/>
                </c:ext>
              </c:extLst>
            </c:dLbl>
            <c:dLbl>
              <c:idx val="3"/>
              <c:layout/>
              <c:tx>
                <c:strRef>
                  <c:f>Credit_2016Q4!$S$11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{E9512256-7585-4767-B930-FE31BABC7AD1}</c15:txfldGUID>
                      <c15:f>Credit_2016Q4!$S$11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677C-4CB6-AB94-F7F52BF4906D}"/>
                </c:ext>
              </c:extLst>
            </c:dLbl>
            <c:dLbl>
              <c:idx val="4"/>
              <c:layout/>
              <c:tx>
                <c:strRef>
                  <c:f>Credit_2016Q4!$V$11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{A23541D8-5D92-4F98-BF58-0DAA9B538EE3}</c15:txfldGUID>
                      <c15:f>Credit_2016Q4!$V$11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(Credit_2016Q4!$Z$11,Credit_2016Q4!$L$11,Credit_2016Q4!$O$11,Credit_2016Q4!$R$11,Credit_2016Q4!$U$11)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77C-4CB6-AB94-F7F52BF4906D}"/>
            </c:ext>
          </c:extLst>
        </c:ser>
        <c:ser>
          <c:idx val="4"/>
          <c:order val="4"/>
          <c:tx>
            <c:strRef>
              <c:f>Credit_2016Q4!$J$12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layout/>
              <c:tx>
                <c:strRef>
                  <c:f>Credit_2016Q4!$J$12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{74E0BE94-0832-4F27-BB80-A0DA41CB3BE4}</c15:txfldGUID>
                      <c15:f>Credit_2016Q4!$J$12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677C-4CB6-AB94-F7F52BF4906D}"/>
                </c:ext>
              </c:extLst>
            </c:dLbl>
            <c:dLbl>
              <c:idx val="1"/>
              <c:layout/>
              <c:tx>
                <c:strRef>
                  <c:f>Credit_2016Q4!$M$12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{6B3607C0-EA5D-4612-BD49-21D003C0B29B}</c15:txfldGUID>
                      <c15:f>Credit_2016Q4!$M$12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677C-4CB6-AB94-F7F52BF4906D}"/>
                </c:ext>
              </c:extLst>
            </c:dLbl>
            <c:dLbl>
              <c:idx val="2"/>
              <c:layout/>
              <c:tx>
                <c:strRef>
                  <c:f>Credit_2016Q4!$P$12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{D80636DD-D818-447A-9A47-19D46A3C3D1A}</c15:txfldGUID>
                      <c15:f>Credit_2016Q4!$P$12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677C-4CB6-AB94-F7F52BF4906D}"/>
                </c:ext>
              </c:extLst>
            </c:dLbl>
            <c:dLbl>
              <c:idx val="3"/>
              <c:layout/>
              <c:tx>
                <c:strRef>
                  <c:f>Credit_2016Q4!$S$12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{70F79AD7-03D3-432F-9507-3F70D0DC51FE}</c15:txfldGUID>
                      <c15:f>Credit_2016Q4!$S$12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677C-4CB6-AB94-F7F52BF4906D}"/>
                </c:ext>
              </c:extLst>
            </c:dLbl>
            <c:dLbl>
              <c:idx val="4"/>
              <c:layout/>
              <c:tx>
                <c:strRef>
                  <c:f>Credit_2016Q4!$V$12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{FA2C01D4-FF84-458D-91BF-D840CC1A68FB}</c15:txfldGUID>
                      <c15:f>Credit_2016Q4!$V$12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(Credit_2016Q4!$Z$12,Credit_2016Q4!$L$12,Credit_2016Q4!$O$12,Credit_2016Q4!$R$12,Credit_2016Q4!$U$12)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77C-4CB6-AB94-F7F52BF4906D}"/>
            </c:ext>
          </c:extLst>
        </c:ser>
        <c:ser>
          <c:idx val="5"/>
          <c:order val="5"/>
          <c:tx>
            <c:strRef>
              <c:f>Credit_2016Q4!$J$13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Credit_2016Q4!$J$13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{FF46CE57-B4F9-40B9-A60E-E17D026E17C0}</c15:txfldGUID>
                      <c15:f>Credit_2016Q4!$J$13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677C-4CB6-AB94-F7F52BF4906D}"/>
                </c:ext>
              </c:extLst>
            </c:dLbl>
            <c:dLbl>
              <c:idx val="1"/>
              <c:layout/>
              <c:tx>
                <c:strRef>
                  <c:f>Credit_2016Q4!$M$13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{E2EB7993-0008-403E-8A77-D2C631160859}</c15:txfldGUID>
                      <c15:f>Credit_2016Q4!$M$13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677C-4CB6-AB94-F7F52BF4906D}"/>
                </c:ext>
              </c:extLst>
            </c:dLbl>
            <c:dLbl>
              <c:idx val="2"/>
              <c:layout/>
              <c:tx>
                <c:strRef>
                  <c:f>Credit_2016Q4!$P$13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{4D808E7A-3045-4E7B-98F7-58E371877B14}</c15:txfldGUID>
                      <c15:f>Credit_2016Q4!$P$13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677C-4CB6-AB94-F7F52BF4906D}"/>
                </c:ext>
              </c:extLst>
            </c:dLbl>
            <c:dLbl>
              <c:idx val="3"/>
              <c:layout/>
              <c:tx>
                <c:strRef>
                  <c:f>Credit_2016Q4!$S$13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{8F52CEE7-BFE7-43FE-8335-B95A8ACCAAFD}</c15:txfldGUID>
                      <c15:f>Credit_2016Q4!$S$13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677C-4CB6-AB94-F7F52BF4906D}"/>
                </c:ext>
              </c:extLst>
            </c:dLbl>
            <c:dLbl>
              <c:idx val="4"/>
              <c:layout/>
              <c:tx>
                <c:strRef>
                  <c:f>Credit_2016Q4!$V$13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{09E218CE-650C-4EC8-9403-C64175F076E5}</c15:txfldGUID>
                      <c15:f>Credit_2016Q4!$V$13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(Credit_2016Q4!$Z$13,Credit_2016Q4!$L$13,Credit_2016Q4!$O$13,Credit_2016Q4!$R$13,Credit_2016Q4!$U$13)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77C-4CB6-AB94-F7F52BF49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1649920"/>
        <c:axId val="261651456"/>
      </c:barChart>
      <c:catAx>
        <c:axId val="261649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1651456"/>
        <c:crosses val="max"/>
        <c:auto val="1"/>
        <c:lblAlgn val="ctr"/>
        <c:lblOffset val="100"/>
        <c:noMultiLvlLbl val="0"/>
      </c:catAx>
      <c:valAx>
        <c:axId val="26165145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164992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2FC4-4B93-AD0D-24B69935F28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2FC4-4B93-AD0D-24B69935F28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2FC4-4B93-AD0D-24B69935F28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2FC4-4B93-AD0D-24B69935F28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2FC4-4B93-AD0D-24B69935F28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2FC4-4B93-AD0D-24B69935F28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FC4-4B93-AD0D-24B69935F28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2FC4-4B93-AD0D-24B69935F2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Credit_2016Q3!$J$8:$J$13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Credit_2016Q3!$M$8:$M$13</c:f>
              <c:numCache>
                <c:formatCode>0%</c:formatCode>
                <c:ptCount val="6"/>
                <c:pt idx="0">
                  <c:v>0.06</c:v>
                </c:pt>
                <c:pt idx="1">
                  <c:v>0.24</c:v>
                </c:pt>
                <c:pt idx="2">
                  <c:v>0.4</c:v>
                </c:pt>
                <c:pt idx="3">
                  <c:v>0.18</c:v>
                </c:pt>
                <c:pt idx="4">
                  <c:v>0.1</c:v>
                </c:pt>
                <c:pt idx="5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FC4-4B93-AD0D-24B69935F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Credit_2016Q3!$J$8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Credit_2016Q3!$J$8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{A1913D3F-DE3F-43B7-AF66-C699DD899AC7}</c15:txfldGUID>
                      <c15:f>Credit_2016Q3!$J$8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68F1-48EA-AB98-65221AE0D2B1}"/>
                </c:ext>
              </c:extLst>
            </c:dLbl>
            <c:dLbl>
              <c:idx val="1"/>
              <c:layout/>
              <c:tx>
                <c:strRef>
                  <c:f>Credit_2016Q3!$M$8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{804BF433-FBA5-4E69-8564-84E0E21E8648}</c15:txfldGUID>
                      <c15:f>Credit_2016Q3!$M$8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68F1-48EA-AB98-65221AE0D2B1}"/>
                </c:ext>
              </c:extLst>
            </c:dLbl>
            <c:dLbl>
              <c:idx val="2"/>
              <c:layout/>
              <c:tx>
                <c:strRef>
                  <c:f>Credit_2016Q3!$P$8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{9AA789A5-127A-4743-9EC5-B0D179664F84}</c15:txfldGUID>
                      <c15:f>Credit_2016Q3!$P$8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68F1-48EA-AB98-65221AE0D2B1}"/>
                </c:ext>
              </c:extLst>
            </c:dLbl>
            <c:dLbl>
              <c:idx val="3"/>
              <c:layout/>
              <c:tx>
                <c:strRef>
                  <c:f>Credit_2016Q3!$S$8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{09AAF819-8680-4769-A999-807FD16905DB}</c15:txfldGUID>
                      <c15:f>Credit_2016Q3!$S$8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68F1-48EA-AB98-65221AE0D2B1}"/>
                </c:ext>
              </c:extLst>
            </c:dLbl>
            <c:dLbl>
              <c:idx val="4"/>
              <c:layout/>
              <c:tx>
                <c:strRef>
                  <c:f>Credit_2016Q3!$V$8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{222A96E2-60E2-4F66-8BF4-452EF0DFE0DF}</c15:txfldGUID>
                      <c15:f>Credit_2016Q3!$V$8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(Credit_2016Q3!$Z$8,Credit_2016Q3!$L$8,Credit_2016Q3!$O$8,Credit_2016Q3!$R$8,Credit_2016Q3!$U$8)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8F1-48EA-AB98-65221AE0D2B1}"/>
            </c:ext>
          </c:extLst>
        </c:ser>
        <c:ser>
          <c:idx val="1"/>
          <c:order val="1"/>
          <c:tx>
            <c:strRef>
              <c:f>Credit_2016Q3!$J$9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Credit_2016Q3!$J$9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{B2513335-A1AE-4BDF-A80A-3B3B6F6EDEE5}</c15:txfldGUID>
                      <c15:f>Credit_2016Q3!$J$9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68F1-48EA-AB98-65221AE0D2B1}"/>
                </c:ext>
              </c:extLst>
            </c:dLbl>
            <c:dLbl>
              <c:idx val="1"/>
              <c:layout/>
              <c:tx>
                <c:strRef>
                  <c:f>Credit_2016Q3!$M$9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{52516CA1-EA9E-494D-BA56-95DFF25C5840}</c15:txfldGUID>
                      <c15:f>Credit_2016Q3!$M$9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68F1-48EA-AB98-65221AE0D2B1}"/>
                </c:ext>
              </c:extLst>
            </c:dLbl>
            <c:dLbl>
              <c:idx val="2"/>
              <c:layout/>
              <c:tx>
                <c:strRef>
                  <c:f>Credit_2016Q3!$P$9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{61DC6131-06F2-4593-9734-8E696F33C667}</c15:txfldGUID>
                      <c15:f>Credit_2016Q3!$P$9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68F1-48EA-AB98-65221AE0D2B1}"/>
                </c:ext>
              </c:extLst>
            </c:dLbl>
            <c:dLbl>
              <c:idx val="3"/>
              <c:layout/>
              <c:tx>
                <c:strRef>
                  <c:f>Credit_2016Q3!$S$9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{44E8B0B2-92FC-4CCD-9367-E2CBE3738580}</c15:txfldGUID>
                      <c15:f>Credit_2016Q3!$S$9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68F1-48EA-AB98-65221AE0D2B1}"/>
                </c:ext>
              </c:extLst>
            </c:dLbl>
            <c:dLbl>
              <c:idx val="4"/>
              <c:layout/>
              <c:tx>
                <c:strRef>
                  <c:f>Credit_2016Q3!$V$9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{5413E72F-AB31-4302-85C1-127CB967A64F}</c15:txfldGUID>
                      <c15:f>Credit_2016Q3!$V$9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(Credit_2016Q3!$Z$9,Credit_2016Q3!$L$9,Credit_2016Q3!$O$9,Credit_2016Q3!$R$9,Credit_2016Q3!$U$9)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10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8F1-48EA-AB98-65221AE0D2B1}"/>
            </c:ext>
          </c:extLst>
        </c:ser>
        <c:ser>
          <c:idx val="2"/>
          <c:order val="2"/>
          <c:tx>
            <c:strRef>
              <c:f>Credit_2016Q3!$J$10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Credit_2016Q3!$J$10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{FFD1FE93-1E32-4BCC-B40E-273869ED7C7C}</c15:txfldGUID>
                      <c15:f>Credit_2016Q3!$J$10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68F1-48EA-AB98-65221AE0D2B1}"/>
                </c:ext>
              </c:extLst>
            </c:dLbl>
            <c:dLbl>
              <c:idx val="1"/>
              <c:layout/>
              <c:tx>
                <c:strRef>
                  <c:f>Credit_2016Q3!$M$10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{B2ADB77F-A102-48E1-8985-14D0A3715BF7}</c15:txfldGUID>
                      <c15:f>Credit_2016Q3!$M$10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68F1-48EA-AB98-65221AE0D2B1}"/>
                </c:ext>
              </c:extLst>
            </c:dLbl>
            <c:dLbl>
              <c:idx val="2"/>
              <c:layout/>
              <c:tx>
                <c:strRef>
                  <c:f>Credit_2016Q3!$P$10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{2E2E7010-5E57-4A41-B0EE-CB93704DB586}</c15:txfldGUID>
                      <c15:f>Credit_2016Q3!$P$10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68F1-48EA-AB98-65221AE0D2B1}"/>
                </c:ext>
              </c:extLst>
            </c:dLbl>
            <c:dLbl>
              <c:idx val="3"/>
              <c:layout/>
              <c:tx>
                <c:strRef>
                  <c:f>Credit_2016Q3!$S$10</c:f>
                  <c:strCache>
                    <c:ptCount val="1"/>
                    <c:pt idx="0">
                      <c:v>58%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{2E5CBAB3-622C-4D69-BE24-CBD2BFC33A6A}</c15:txfldGUID>
                      <c15:f>Credit_2016Q3!$S$10</c15:f>
                      <c15:dlblFieldTableCache>
                        <c:ptCount val="1"/>
                        <c:pt idx="0">
                          <c:v>58%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68F1-48EA-AB98-65221AE0D2B1}"/>
                </c:ext>
              </c:extLst>
            </c:dLbl>
            <c:dLbl>
              <c:idx val="4"/>
              <c:layout/>
              <c:tx>
                <c:strRef>
                  <c:f>Credit_2016Q3!$V$10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{E3D21657-5576-43A1-972E-E90B39026487}</c15:txfldGUID>
                      <c15:f>Credit_2016Q3!$V$10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(Credit_2016Q3!$Z$10,Credit_2016Q3!$L$10,Credit_2016Q3!$O$10,Credit_2016Q3!$R$10,Credit_2016Q3!$U$10)</c:f>
              <c:numCache>
                <c:formatCode>General</c:formatCode>
                <c:ptCount val="5"/>
                <c:pt idx="0">
                  <c:v>1</c:v>
                </c:pt>
                <c:pt idx="1">
                  <c:v>20</c:v>
                </c:pt>
                <c:pt idx="2">
                  <c:v>13</c:v>
                </c:pt>
                <c:pt idx="3">
                  <c:v>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8F1-48EA-AB98-65221AE0D2B1}"/>
            </c:ext>
          </c:extLst>
        </c:ser>
        <c:ser>
          <c:idx val="3"/>
          <c:order val="3"/>
          <c:tx>
            <c:strRef>
              <c:f>Credit_2016Q3!$J$11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Credit_2016Q3!$J$11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{D5BED641-D75E-4D3F-97EE-9FD9D100CA38}</c15:txfldGUID>
                      <c15:f>Credit_2016Q3!$J$11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68F1-48EA-AB98-65221AE0D2B1}"/>
                </c:ext>
              </c:extLst>
            </c:dLbl>
            <c:dLbl>
              <c:idx val="1"/>
              <c:layout/>
              <c:tx>
                <c:strRef>
                  <c:f>Credit_2016Q3!$M$11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{1B8ADFCF-2934-41FE-9092-CAD2BF0A74AA}</c15:txfldGUID>
                      <c15:f>Credit_2016Q3!$M$11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68F1-48EA-AB98-65221AE0D2B1}"/>
                </c:ext>
              </c:extLst>
            </c:dLbl>
            <c:dLbl>
              <c:idx val="2"/>
              <c:layout/>
              <c:tx>
                <c:strRef>
                  <c:f>Credit_2016Q3!$P$11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{2D29CB11-9AE3-4B58-A9C5-B5195514A61F}</c15:txfldGUID>
                      <c15:f>Credit_2016Q3!$P$11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68F1-48EA-AB98-65221AE0D2B1}"/>
                </c:ext>
              </c:extLst>
            </c:dLbl>
            <c:dLbl>
              <c:idx val="3"/>
              <c:layout/>
              <c:tx>
                <c:strRef>
                  <c:f>Credit_2016Q3!$S$11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{0D04FF5A-6D66-4DF8-80BE-BF6F92F89BAA}</c15:txfldGUID>
                      <c15:f>Credit_2016Q3!$S$11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68F1-48EA-AB98-65221AE0D2B1}"/>
                </c:ext>
              </c:extLst>
            </c:dLbl>
            <c:dLbl>
              <c:idx val="4"/>
              <c:layout/>
              <c:tx>
                <c:strRef>
                  <c:f>Credit_2016Q3!$V$11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{C0FA920C-F649-4DA1-9C0E-4C1E18D7DFE3}</c15:txfldGUID>
                      <c15:f>Credit_2016Q3!$V$11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(Credit_2016Q3!$Z$11,Credit_2016Q3!$L$11,Credit_2016Q3!$O$11,Credit_2016Q3!$R$11,Credit_2016Q3!$U$11)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8F1-48EA-AB98-65221AE0D2B1}"/>
            </c:ext>
          </c:extLst>
        </c:ser>
        <c:ser>
          <c:idx val="4"/>
          <c:order val="4"/>
          <c:tx>
            <c:strRef>
              <c:f>Credit_2016Q3!$J$12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layout/>
              <c:tx>
                <c:strRef>
                  <c:f>Credit_2016Q3!$J$12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{C37E40DA-AF50-4289-A77E-7D0FEFEFCCE3}</c15:txfldGUID>
                      <c15:f>Credit_2016Q3!$J$12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68F1-48EA-AB98-65221AE0D2B1}"/>
                </c:ext>
              </c:extLst>
            </c:dLbl>
            <c:dLbl>
              <c:idx val="1"/>
              <c:layout/>
              <c:tx>
                <c:strRef>
                  <c:f>Credit_2016Q3!$M$12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{D4F9D7B6-C6FC-4109-814C-E7042A285456}</c15:txfldGUID>
                      <c15:f>Credit_2016Q3!$M$12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68F1-48EA-AB98-65221AE0D2B1}"/>
                </c:ext>
              </c:extLst>
            </c:dLbl>
            <c:dLbl>
              <c:idx val="2"/>
              <c:layout/>
              <c:tx>
                <c:strRef>
                  <c:f>Credit_2016Q3!$P$12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{9877B7A1-2991-4A90-BD70-92477CCA39B0}</c15:txfldGUID>
                      <c15:f>Credit_2016Q3!$P$12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68F1-48EA-AB98-65221AE0D2B1}"/>
                </c:ext>
              </c:extLst>
            </c:dLbl>
            <c:dLbl>
              <c:idx val="3"/>
              <c:layout/>
              <c:tx>
                <c:strRef>
                  <c:f>Credit_2016Q3!$S$12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{29383078-4FE3-4268-8694-0A86C71C1D09}</c15:txfldGUID>
                      <c15:f>Credit_2016Q3!$S$12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68F1-48EA-AB98-65221AE0D2B1}"/>
                </c:ext>
              </c:extLst>
            </c:dLbl>
            <c:dLbl>
              <c:idx val="4"/>
              <c:layout/>
              <c:tx>
                <c:strRef>
                  <c:f>Credit_2016Q3!$V$12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{3927FCD8-A9BB-4229-B6F0-53350E7051D0}</c15:txfldGUID>
                      <c15:f>Credit_2016Q3!$V$12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(Credit_2016Q3!$Z$12,Credit_2016Q3!$L$12,Credit_2016Q3!$O$12,Credit_2016Q3!$R$12,Credit_2016Q3!$U$12)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8F1-48EA-AB98-65221AE0D2B1}"/>
            </c:ext>
          </c:extLst>
        </c:ser>
        <c:ser>
          <c:idx val="5"/>
          <c:order val="5"/>
          <c:tx>
            <c:strRef>
              <c:f>Credit_2016Q3!$J$13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Credit_2016Q3!$J$13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{62653513-498F-4C96-90C0-8BDFE67A2329}</c15:txfldGUID>
                      <c15:f>Credit_2016Q3!$J$13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68F1-48EA-AB98-65221AE0D2B1}"/>
                </c:ext>
              </c:extLst>
            </c:dLbl>
            <c:dLbl>
              <c:idx val="1"/>
              <c:layout/>
              <c:tx>
                <c:strRef>
                  <c:f>Credit_2016Q3!$M$13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{9F02072F-64C7-4E49-80F7-9FC17DD3BDDF}</c15:txfldGUID>
                      <c15:f>Credit_2016Q3!$M$13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68F1-48EA-AB98-65221AE0D2B1}"/>
                </c:ext>
              </c:extLst>
            </c:dLbl>
            <c:dLbl>
              <c:idx val="2"/>
              <c:layout/>
              <c:tx>
                <c:strRef>
                  <c:f>Credit_2016Q3!$P$13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{C1AFBA9A-9140-4859-B88C-5F48B74C0896}</c15:txfldGUID>
                      <c15:f>Credit_2016Q3!$P$13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68F1-48EA-AB98-65221AE0D2B1}"/>
                </c:ext>
              </c:extLst>
            </c:dLbl>
            <c:dLbl>
              <c:idx val="3"/>
              <c:layout/>
              <c:tx>
                <c:strRef>
                  <c:f>Credit_2016Q3!$S$13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{5A22B092-1574-4914-A6D1-DDFC46651E06}</c15:txfldGUID>
                      <c15:f>Credit_2016Q3!$S$13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68F1-48EA-AB98-65221AE0D2B1}"/>
                </c:ext>
              </c:extLst>
            </c:dLbl>
            <c:dLbl>
              <c:idx val="4"/>
              <c:layout/>
              <c:tx>
                <c:strRef>
                  <c:f>Credit_2016Q3!$V$13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{5CA5B3F6-1094-4071-B1F4-BA29AA9DBB72}</c15:txfldGUID>
                      <c15:f>Credit_2016Q3!$V$13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(Credit_2016Q3!$Z$13,Credit_2016Q3!$L$13,Credit_2016Q3!$O$13,Credit_2016Q3!$R$13,Credit_2016Q3!$U$13)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8F1-48EA-AB98-65221AE0D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1687552"/>
        <c:axId val="261709824"/>
      </c:barChart>
      <c:catAx>
        <c:axId val="261687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1709824"/>
        <c:crosses val="max"/>
        <c:auto val="1"/>
        <c:lblAlgn val="ctr"/>
        <c:lblOffset val="100"/>
        <c:noMultiLvlLbl val="0"/>
      </c:catAx>
      <c:valAx>
        <c:axId val="2617098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168755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Credit_2022Q1!$J$8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Credit_2022Q1!$J$8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{C8CFF4AF-A543-44FE-B67F-1ED38EA43A21}</c15:txfldGUID>
                      <c15:f>Credit_2022Q1!$J$8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DDE4-4E02-95B8-4A7C74AA726A}"/>
                </c:ext>
              </c:extLst>
            </c:dLbl>
            <c:dLbl>
              <c:idx val="1"/>
              <c:layout/>
              <c:tx>
                <c:strRef>
                  <c:f>Credit_2022Q1!$M$8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{B2AF0FFA-23DC-40A9-930F-55E8DED1E51B}</c15:txfldGUID>
                      <c15:f>Credit_2022Q1!$M$8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DDE4-4E02-95B8-4A7C74AA726A}"/>
                </c:ext>
              </c:extLst>
            </c:dLbl>
            <c:dLbl>
              <c:idx val="2"/>
              <c:layout/>
              <c:tx>
                <c:strRef>
                  <c:f>Credit_2022Q1!$P$8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{02B1812A-EC69-479A-8A71-A9C088732A18}</c15:txfldGUID>
                      <c15:f>Credit_2022Q1!$P$8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DDE4-4E02-95B8-4A7C74AA726A}"/>
                </c:ext>
              </c:extLst>
            </c:dLbl>
            <c:dLbl>
              <c:idx val="3"/>
              <c:layout/>
              <c:tx>
                <c:strRef>
                  <c:f>Credit_2022Q1!$S$8</c:f>
                  <c:strCache>
                    <c:ptCount val="1"/>
                    <c:pt idx="0">
                      <c:v>13%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{49C160AE-1696-42B8-A1B9-8872CEBA432A}</c15:txfldGUID>
                      <c15:f>Credit_2022Q1!$S$8</c15:f>
                      <c15:dlblFieldTableCache>
                        <c:ptCount val="1"/>
                        <c:pt idx="0">
                          <c:v>13%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DDE4-4E02-95B8-4A7C74AA726A}"/>
                </c:ext>
              </c:extLst>
            </c:dLbl>
            <c:dLbl>
              <c:idx val="4"/>
              <c:tx>
                <c:strRef>
                  <c:f>Credit_2022Q1!$V$8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{9B3DC9E1-807A-4DD3-B9E0-F3F7B6914D95}</c15:txfldGUID>
                      <c15:f>Credit_2022Q1!$V$8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DDE4-4E02-95B8-4A7C74AA72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(Credit_2022Q1!$J$5,Credit_2022Q1!$L$5,Credit_2022Q1!$O$5,Credit_2022Q1!$R$5,Credit_2022Q1!$U$5)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(36)</c:v>
                </c:pt>
                <c:pt idx="3">
                  <c:v>Mostly Regulated
(8)</c:v>
                </c:pt>
              </c:strCache>
            </c:strRef>
          </c:cat>
          <c:val>
            <c:numRef>
              <c:f>(Credit_2022Q1!$Z$8,Credit_2022Q1!$L$8,Credit_2022Q1!$O$8,Credit_2022Q1!$R$8,Credit_2022Q1!$U$8)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E4-4E02-95B8-4A7C74AA726A}"/>
            </c:ext>
          </c:extLst>
        </c:ser>
        <c:ser>
          <c:idx val="1"/>
          <c:order val="1"/>
          <c:tx>
            <c:strRef>
              <c:f>Credit_2022Q1!$J$9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Credit_2022Q1!$J$9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{C4C84589-1716-46EE-869E-7F96CA87394C}</c15:txfldGUID>
                      <c15:f>Credit_2022Q1!$J$9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DDE4-4E02-95B8-4A7C74AA726A}"/>
                </c:ext>
              </c:extLst>
            </c:dLbl>
            <c:dLbl>
              <c:idx val="1"/>
              <c:layout/>
              <c:tx>
                <c:strRef>
                  <c:f>Credit_2022Q1!$M$9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{C7C85E10-FD44-43C5-AE05-438E822A5D38}</c15:txfldGUID>
                      <c15:f>Credit_2022Q1!$M$9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DDE4-4E02-95B8-4A7C74AA726A}"/>
                </c:ext>
              </c:extLst>
            </c:dLbl>
            <c:dLbl>
              <c:idx val="2"/>
              <c:layout/>
              <c:tx>
                <c:strRef>
                  <c:f>Credit_2022Q1!$P$9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{A3477718-4179-47B5-B6D3-01537C2C3E82}</c15:txfldGUID>
                      <c15:f>Credit_2022Q1!$P$9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DDE4-4E02-95B8-4A7C74AA726A}"/>
                </c:ext>
              </c:extLst>
            </c:dLbl>
            <c:dLbl>
              <c:idx val="3"/>
              <c:layout/>
              <c:tx>
                <c:strRef>
                  <c:f>Credit_2022Q1!$S$9</c:f>
                  <c:strCache>
                    <c:ptCount val="1"/>
                    <c:pt idx="0">
                      <c:v>13%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{98E0930A-0A34-4448-A530-4F445E041C04}</c15:txfldGUID>
                      <c15:f>Credit_2022Q1!$S$9</c15:f>
                      <c15:dlblFieldTableCache>
                        <c:ptCount val="1"/>
                        <c:pt idx="0">
                          <c:v>13%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DDE4-4E02-95B8-4A7C74AA726A}"/>
                </c:ext>
              </c:extLst>
            </c:dLbl>
            <c:dLbl>
              <c:idx val="4"/>
              <c:tx>
                <c:strRef>
                  <c:f>Credit_2022Q1!$V$9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{047C7310-C9CA-493C-BA8C-AAB7B6FC3C4E}</c15:txfldGUID>
                      <c15:f>Credit_2022Q1!$V$9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DDE4-4E02-95B8-4A7C74AA72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(Credit_2022Q1!$J$5,Credit_2022Q1!$L$5,Credit_2022Q1!$O$5,Credit_2022Q1!$R$5,Credit_2022Q1!$U$5)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(36)</c:v>
                </c:pt>
                <c:pt idx="3">
                  <c:v>Mostly Regulated
(8)</c:v>
                </c:pt>
              </c:strCache>
            </c:strRef>
          </c:cat>
          <c:val>
            <c:numRef>
              <c:f>(Credit_2022Q1!$Z$9,Credit_2022Q1!$L$9,Credit_2022Q1!$O$9,Credit_2022Q1!$R$9,Credit_2022Q1!$U$9)</c:f>
              <c:numCache>
                <c:formatCode>General</c:formatCode>
                <c:ptCount val="4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DE4-4E02-95B8-4A7C74AA726A}"/>
            </c:ext>
          </c:extLst>
        </c:ser>
        <c:ser>
          <c:idx val="2"/>
          <c:order val="2"/>
          <c:tx>
            <c:strRef>
              <c:f>Credit_2022Q1!$J$10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Credit_2022Q1!$J$10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{5D9ED1B8-6D6A-44FE-8440-FF5C576EC693}</c15:txfldGUID>
                      <c15:f>Credit_2022Q1!$J$10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DDE4-4E02-95B8-4A7C74AA726A}"/>
                </c:ext>
              </c:extLst>
            </c:dLbl>
            <c:dLbl>
              <c:idx val="1"/>
              <c:layout/>
              <c:tx>
                <c:strRef>
                  <c:f>Credit_2022Q1!$M$10</c:f>
                  <c:strCache>
                    <c:ptCount val="1"/>
                    <c:pt idx="0">
                      <c:v>43%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{23F272C5-3162-4CC1-BBA7-EF5CE665B15A}</c15:txfldGUID>
                      <c15:f>Credit_2022Q1!$M$10</c15:f>
                      <c15:dlblFieldTableCache>
                        <c:ptCount val="1"/>
                        <c:pt idx="0">
                          <c:v>43%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DDE4-4E02-95B8-4A7C74AA726A}"/>
                </c:ext>
              </c:extLst>
            </c:dLbl>
            <c:dLbl>
              <c:idx val="2"/>
              <c:layout/>
              <c:tx>
                <c:strRef>
                  <c:f>Credit_2022Q1!$P$10</c:f>
                  <c:strCache>
                    <c:ptCount val="1"/>
                    <c:pt idx="0">
                      <c:v>42%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{D07446C1-B59E-46F5-A588-E36A1DBD1A7D}</c15:txfldGUID>
                      <c15:f>Credit_2022Q1!$P$10</c15:f>
                      <c15:dlblFieldTableCache>
                        <c:ptCount val="1"/>
                        <c:pt idx="0">
                          <c:v>42%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DDE4-4E02-95B8-4A7C74AA726A}"/>
                </c:ext>
              </c:extLst>
            </c:dLbl>
            <c:dLbl>
              <c:idx val="3"/>
              <c:layout/>
              <c:tx>
                <c:strRef>
                  <c:f>Credit_2022Q1!$S$10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{7882B851-62C3-4B24-9EAF-70AB5E880E01}</c15:txfldGUID>
                      <c15:f>Credit_2022Q1!$S$10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DDE4-4E02-95B8-4A7C74AA726A}"/>
                </c:ext>
              </c:extLst>
            </c:dLbl>
            <c:dLbl>
              <c:idx val="4"/>
              <c:tx>
                <c:strRef>
                  <c:f>Credit_2022Q1!$V$10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{3DBFB7F9-5995-4DAF-B368-505FCC6176F4}</c15:txfldGUID>
                      <c15:f>Credit_2022Q1!$V$10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DDE4-4E02-95B8-4A7C74AA72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(Credit_2022Q1!$J$5,Credit_2022Q1!$L$5,Credit_2022Q1!$O$5,Credit_2022Q1!$R$5,Credit_2022Q1!$U$5)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(36)</c:v>
                </c:pt>
                <c:pt idx="3">
                  <c:v>Mostly Regulated
(8)</c:v>
                </c:pt>
              </c:strCache>
            </c:strRef>
          </c:cat>
          <c:val>
            <c:numRef>
              <c:f>(Credit_2022Q1!$Z$10,Credit_2022Q1!$L$10,Credit_2022Q1!$O$10,Credit_2022Q1!$R$10,Credit_2022Q1!$U$10)</c:f>
              <c:numCache>
                <c:formatCode>General</c:formatCode>
                <c:ptCount val="4"/>
                <c:pt idx="0">
                  <c:v>1</c:v>
                </c:pt>
                <c:pt idx="1">
                  <c:v>19</c:v>
                </c:pt>
                <c:pt idx="2">
                  <c:v>15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DE4-4E02-95B8-4A7C74AA726A}"/>
            </c:ext>
          </c:extLst>
        </c:ser>
        <c:ser>
          <c:idx val="3"/>
          <c:order val="3"/>
          <c:tx>
            <c:strRef>
              <c:f>Credit_2022Q1!$J$11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Credit_2022Q1!$J$11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{530806CA-F128-4C7D-8644-B5966ABB5C4A}</c15:txfldGUID>
                      <c15:f>Credit_2022Q1!$J$11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DDE4-4E02-95B8-4A7C74AA726A}"/>
                </c:ext>
              </c:extLst>
            </c:dLbl>
            <c:dLbl>
              <c:idx val="1"/>
              <c:layout/>
              <c:tx>
                <c:strRef>
                  <c:f>Credit_2022Q1!$M$11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{CE8FFD43-763E-446D-B651-43C6BFE68424}</c15:txfldGUID>
                      <c15:f>Credit_2022Q1!$M$11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DDE4-4E02-95B8-4A7C74AA726A}"/>
                </c:ext>
              </c:extLst>
            </c:dLbl>
            <c:dLbl>
              <c:idx val="2"/>
              <c:layout/>
              <c:tx>
                <c:strRef>
                  <c:f>Credit_2022Q1!$P$11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{55AEC9B0-585C-44F0-B2A9-C36D572858AD}</c15:txfldGUID>
                      <c15:f>Credit_2022Q1!$P$11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DDE4-4E02-95B8-4A7C74AA726A}"/>
                </c:ext>
              </c:extLst>
            </c:dLbl>
            <c:dLbl>
              <c:idx val="3"/>
              <c:layout/>
              <c:tx>
                <c:strRef>
                  <c:f>Credit_2022Q1!$S$11</c:f>
                  <c:strCache>
                    <c:ptCount val="1"/>
                    <c:pt idx="0">
                      <c:v>13%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{F02CA622-9FE8-408F-A867-E6372A2FEECB}</c15:txfldGUID>
                      <c15:f>Credit_2022Q1!$S$11</c15:f>
                      <c15:dlblFieldTableCache>
                        <c:ptCount val="1"/>
                        <c:pt idx="0">
                          <c:v>13%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DDE4-4E02-95B8-4A7C74AA726A}"/>
                </c:ext>
              </c:extLst>
            </c:dLbl>
            <c:dLbl>
              <c:idx val="4"/>
              <c:tx>
                <c:strRef>
                  <c:f>Credit_2022Q1!$V$11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{4A8DF67A-C039-4468-BE45-E36260FB2FF1}</c15:txfldGUID>
                      <c15:f>Credit_2022Q1!$V$11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DDE4-4E02-95B8-4A7C74AA72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(Credit_2022Q1!$J$5,Credit_2022Q1!$L$5,Credit_2022Q1!$O$5,Credit_2022Q1!$R$5,Credit_2022Q1!$U$5)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(36)</c:v>
                </c:pt>
                <c:pt idx="3">
                  <c:v>Mostly Regulated
(8)</c:v>
                </c:pt>
              </c:strCache>
            </c:strRef>
          </c:cat>
          <c:val>
            <c:numRef>
              <c:f>(Credit_2022Q1!$Z$11,Credit_2022Q1!$L$11,Credit_2022Q1!$O$11,Credit_2022Q1!$R$11,Credit_2022Q1!$U$11)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DE4-4E02-95B8-4A7C74AA726A}"/>
            </c:ext>
          </c:extLst>
        </c:ser>
        <c:ser>
          <c:idx val="4"/>
          <c:order val="4"/>
          <c:tx>
            <c:strRef>
              <c:f>Credit_2022Q1!$J$12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layout/>
              <c:tx>
                <c:strRef>
                  <c:f>Credit_2022Q1!$J$12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{39965E1A-D75D-4AF9-B4E0-8BE2594D67E3}</c15:txfldGUID>
                      <c15:f>Credit_2022Q1!$J$12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DDE4-4E02-95B8-4A7C74AA726A}"/>
                </c:ext>
              </c:extLst>
            </c:dLbl>
            <c:dLbl>
              <c:idx val="1"/>
              <c:layout/>
              <c:tx>
                <c:strRef>
                  <c:f>Credit_2022Q1!$M$12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{64BCA17D-2C19-4771-961A-B70DF634D54F}</c15:txfldGUID>
                      <c15:f>Credit_2022Q1!$M$12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DDE4-4E02-95B8-4A7C74AA726A}"/>
                </c:ext>
              </c:extLst>
            </c:dLbl>
            <c:dLbl>
              <c:idx val="2"/>
              <c:layout/>
              <c:tx>
                <c:strRef>
                  <c:f>Credit_2022Q1!$P$12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{29BD5A96-EC9D-4AC4-98BE-5264D22DDC14}</c15:txfldGUID>
                      <c15:f>Credit_2022Q1!$P$12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DDE4-4E02-95B8-4A7C74AA726A}"/>
                </c:ext>
              </c:extLst>
            </c:dLbl>
            <c:dLbl>
              <c:idx val="3"/>
              <c:layout/>
              <c:tx>
                <c:strRef>
                  <c:f>Credit_2022Q1!$S$12</c:f>
                  <c:strCache>
                    <c:ptCount val="1"/>
                    <c:pt idx="0">
                      <c:v>13%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{53D6E6DD-C50D-4ACE-A2B8-F1AFE782A276}</c15:txfldGUID>
                      <c15:f>Credit_2022Q1!$S$12</c15:f>
                      <c15:dlblFieldTableCache>
                        <c:ptCount val="1"/>
                        <c:pt idx="0">
                          <c:v>13%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DDE4-4E02-95B8-4A7C74AA726A}"/>
                </c:ext>
              </c:extLst>
            </c:dLbl>
            <c:dLbl>
              <c:idx val="4"/>
              <c:tx>
                <c:strRef>
                  <c:f>Credit_2022Q1!$V$12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{15695DF7-02FC-4361-9491-1F7F918B76F1}</c15:txfldGUID>
                      <c15:f>Credit_2022Q1!$V$12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DDE4-4E02-95B8-4A7C74AA72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(Credit_2022Q1!$J$5,Credit_2022Q1!$L$5,Credit_2022Q1!$O$5,Credit_2022Q1!$R$5,Credit_2022Q1!$U$5)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(36)</c:v>
                </c:pt>
                <c:pt idx="3">
                  <c:v>Mostly Regulated
(8)</c:v>
                </c:pt>
              </c:strCache>
            </c:strRef>
          </c:cat>
          <c:val>
            <c:numRef>
              <c:f>(Credit_2022Q1!$Z$12,Credit_2022Q1!$L$12,Credit_2022Q1!$O$12,Credit_2022Q1!$R$12,Credit_2022Q1!$U$12)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DE4-4E02-95B8-4A7C74AA726A}"/>
            </c:ext>
          </c:extLst>
        </c:ser>
        <c:ser>
          <c:idx val="5"/>
          <c:order val="5"/>
          <c:tx>
            <c:strRef>
              <c:f>Credit_2022Q1!$J$13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Credit_2022Q1!$J$13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{F66C4E19-8824-4C5A-AD37-63D46EB8FE0D}</c15:txfldGUID>
                      <c15:f>Credit_2022Q1!$J$13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DDE4-4E02-95B8-4A7C74AA726A}"/>
                </c:ext>
              </c:extLst>
            </c:dLbl>
            <c:dLbl>
              <c:idx val="1"/>
              <c:layout/>
              <c:tx>
                <c:strRef>
                  <c:f>Credit_2022Q1!$M$13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{302518E1-5AD5-4858-A2FB-B3836E9B0E0D}</c15:txfldGUID>
                      <c15:f>Credit_2022Q1!$M$13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DDE4-4E02-95B8-4A7C74AA726A}"/>
                </c:ext>
              </c:extLst>
            </c:dLbl>
            <c:dLbl>
              <c:idx val="2"/>
              <c:layout/>
              <c:tx>
                <c:strRef>
                  <c:f>Credit_2022Q1!$P$13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{53280A4F-DF4F-4F05-9B86-D9B8FB92E489}</c15:txfldGUID>
                      <c15:f>Credit_2022Q1!$P$13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DDE4-4E02-95B8-4A7C74AA726A}"/>
                </c:ext>
              </c:extLst>
            </c:dLbl>
            <c:dLbl>
              <c:idx val="3"/>
              <c:layout/>
              <c:tx>
                <c:strRef>
                  <c:f>Credit_2022Q1!$S$13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{49B6905E-A640-4634-BF24-48E82E26D3CA}</c15:txfldGUID>
                      <c15:f>Credit_2022Q1!$S$13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DDE4-4E02-95B8-4A7C74AA726A}"/>
                </c:ext>
              </c:extLst>
            </c:dLbl>
            <c:dLbl>
              <c:idx val="4"/>
              <c:tx>
                <c:strRef>
                  <c:f>Credit_2022Q1!$V$13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{9CCF7288-A59F-4769-BC0D-BD1FAB1EB8D7}</c15:txfldGUID>
                      <c15:f>Credit_2022Q1!$V$13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DDE4-4E02-95B8-4A7C74AA72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(Credit_2022Q1!$J$5,Credit_2022Q1!$L$5,Credit_2022Q1!$O$5,Credit_2022Q1!$R$5,Credit_2022Q1!$U$5)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(36)</c:v>
                </c:pt>
                <c:pt idx="3">
                  <c:v>Mostly Regulated
(8)</c:v>
                </c:pt>
              </c:strCache>
            </c:strRef>
          </c:cat>
          <c:val>
            <c:numRef>
              <c:f>(Credit_2022Q1!$Z$13,Credit_2022Q1!$L$13,Credit_2022Q1!$O$13,Credit_2022Q1!$R$13,Credit_2022Q1!$U$13)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DE4-4E02-95B8-4A7C74AA7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EA-4369-A92E-E1A8E589B73C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DCEA-4369-A92E-E1A8E589B73C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DCEA-4369-A92E-E1A8E589B73C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DCEA-4369-A92E-E1A8E589B73C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DCEA-4369-A92E-E1A8E589B73C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DCEA-4369-A92E-E1A8E589B73C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CEA-4369-A92E-E1A8E589B73C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DCEA-4369-A92E-E1A8E589B7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Credit_2016Q2!$J$8:$J$13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Credit_2016Q2!$M$8:$M$13</c:f>
              <c:numCache>
                <c:formatCode>0%</c:formatCode>
                <c:ptCount val="6"/>
                <c:pt idx="0">
                  <c:v>0.06</c:v>
                </c:pt>
                <c:pt idx="1">
                  <c:v>0.24</c:v>
                </c:pt>
                <c:pt idx="2">
                  <c:v>0.34</c:v>
                </c:pt>
                <c:pt idx="3">
                  <c:v>0.24</c:v>
                </c:pt>
                <c:pt idx="4">
                  <c:v>0.1</c:v>
                </c:pt>
                <c:pt idx="5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CEA-4369-A92E-E1A8E589B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Credit_2016Q2!$J$8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Credit_2016Q2!$J$8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{D790EB00-B0E0-4B1E-9C81-70624195BB29}</c15:txfldGUID>
                      <c15:f>Credit_2016Q2!$J$8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9E42-457F-BCC0-D452EA582FC6}"/>
                </c:ext>
              </c:extLst>
            </c:dLbl>
            <c:dLbl>
              <c:idx val="1"/>
              <c:layout/>
              <c:tx>
                <c:strRef>
                  <c:f>Credit_2016Q2!$M$8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{33BD93DA-65F5-4881-9D43-ADD95A534AB1}</c15:txfldGUID>
                      <c15:f>Credit_2016Q2!$M$8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9E42-457F-BCC0-D452EA582FC6}"/>
                </c:ext>
              </c:extLst>
            </c:dLbl>
            <c:dLbl>
              <c:idx val="2"/>
              <c:layout/>
              <c:tx>
                <c:strRef>
                  <c:f>Credit_2016Q2!$P$8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{0410A0BD-CEE4-4122-B753-11B0A04FBAA6}</c15:txfldGUID>
                      <c15:f>Credit_2016Q2!$P$8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9E42-457F-BCC0-D452EA582FC6}"/>
                </c:ext>
              </c:extLst>
            </c:dLbl>
            <c:dLbl>
              <c:idx val="3"/>
              <c:layout/>
              <c:tx>
                <c:strRef>
                  <c:f>Credit_2016Q2!$S$8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{F4164881-AE33-4FF0-8838-247E44B53F73}</c15:txfldGUID>
                      <c15:f>Credit_2016Q2!$S$8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9E42-457F-BCC0-D452EA582FC6}"/>
                </c:ext>
              </c:extLst>
            </c:dLbl>
            <c:dLbl>
              <c:idx val="4"/>
              <c:layout/>
              <c:tx>
                <c:strRef>
                  <c:f>Credit_2016Q2!$V$8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{0E7440AE-A2B1-41CF-873B-D39ED09ADBAB}</c15:txfldGUID>
                      <c15:f>Credit_2016Q2!$V$8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(Credit_2016Q2!$Z$8,Credit_2016Q2!$L$8,Credit_2016Q2!$O$8,Credit_2016Q2!$R$8,Credit_2016Q2!$U$8)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42-457F-BCC0-D452EA582FC6}"/>
            </c:ext>
          </c:extLst>
        </c:ser>
        <c:ser>
          <c:idx val="1"/>
          <c:order val="1"/>
          <c:tx>
            <c:strRef>
              <c:f>Credit_2016Q2!$J$9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Credit_2016Q2!$J$9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{B135D390-C2F8-45D0-A6FF-6BEB2D2DCCBA}</c15:txfldGUID>
                      <c15:f>Credit_2016Q2!$J$9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9E42-457F-BCC0-D452EA582FC6}"/>
                </c:ext>
              </c:extLst>
            </c:dLbl>
            <c:dLbl>
              <c:idx val="1"/>
              <c:layout/>
              <c:tx>
                <c:strRef>
                  <c:f>Credit_2016Q2!$M$9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{3FE85846-14A7-4B99-8AC0-348FDC34A7C7}</c15:txfldGUID>
                      <c15:f>Credit_2016Q2!$M$9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9E42-457F-BCC0-D452EA582FC6}"/>
                </c:ext>
              </c:extLst>
            </c:dLbl>
            <c:dLbl>
              <c:idx val="2"/>
              <c:layout/>
              <c:tx>
                <c:strRef>
                  <c:f>Credit_2016Q2!$P$9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{97D40194-C6C2-4DD9-8082-090308D572FC}</c15:txfldGUID>
                      <c15:f>Credit_2016Q2!$P$9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9E42-457F-BCC0-D452EA582FC6}"/>
                </c:ext>
              </c:extLst>
            </c:dLbl>
            <c:dLbl>
              <c:idx val="3"/>
              <c:layout/>
              <c:tx>
                <c:strRef>
                  <c:f>Credit_2016Q2!$S$9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{E3003920-A39B-4DC0-B3E9-E1BC08348B8B}</c15:txfldGUID>
                      <c15:f>Credit_2016Q2!$S$9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9E42-457F-BCC0-D452EA582FC6}"/>
                </c:ext>
              </c:extLst>
            </c:dLbl>
            <c:dLbl>
              <c:idx val="4"/>
              <c:layout/>
              <c:tx>
                <c:strRef>
                  <c:f>Credit_2016Q2!$V$9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{C5F0FD3A-8715-4570-80F3-632664EDAADF}</c15:txfldGUID>
                      <c15:f>Credit_2016Q2!$V$9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(Credit_2016Q2!$Z$9,Credit_2016Q2!$L$9,Credit_2016Q2!$O$9,Credit_2016Q2!$R$9,Credit_2016Q2!$U$9)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10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E42-457F-BCC0-D452EA582FC6}"/>
            </c:ext>
          </c:extLst>
        </c:ser>
        <c:ser>
          <c:idx val="2"/>
          <c:order val="2"/>
          <c:tx>
            <c:strRef>
              <c:f>Credit_2016Q2!$J$10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Credit_2016Q2!$J$10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{2950071D-1927-4E6A-B543-91DD7CB7E8C4}</c15:txfldGUID>
                      <c15:f>Credit_2016Q2!$J$10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9E42-457F-BCC0-D452EA582FC6}"/>
                </c:ext>
              </c:extLst>
            </c:dLbl>
            <c:dLbl>
              <c:idx val="1"/>
              <c:layout/>
              <c:tx>
                <c:strRef>
                  <c:f>Credit_2016Q2!$M$10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{7B3D2B48-C9D5-456E-8515-1D240B0EBE59}</c15:txfldGUID>
                      <c15:f>Credit_2016Q2!$M$10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9E42-457F-BCC0-D452EA582FC6}"/>
                </c:ext>
              </c:extLst>
            </c:dLbl>
            <c:dLbl>
              <c:idx val="2"/>
              <c:layout/>
              <c:tx>
                <c:strRef>
                  <c:f>Credit_2016Q2!$P$10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{CBE6A491-8233-4908-B021-79A4ACD05AAB}</c15:txfldGUID>
                      <c15:f>Credit_2016Q2!$P$10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9E42-457F-BCC0-D452EA582FC6}"/>
                </c:ext>
              </c:extLst>
            </c:dLbl>
            <c:dLbl>
              <c:idx val="3"/>
              <c:layout/>
              <c:tx>
                <c:strRef>
                  <c:f>Credit_2016Q2!$S$10</c:f>
                  <c:strCache>
                    <c:ptCount val="1"/>
                    <c:pt idx="0">
                      <c:v>58%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{FDB2929E-C110-4B91-A66D-5224EEFB6EB3}</c15:txfldGUID>
                      <c15:f>Credit_2016Q2!$S$10</c15:f>
                      <c15:dlblFieldTableCache>
                        <c:ptCount val="1"/>
                        <c:pt idx="0">
                          <c:v>58%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9E42-457F-BCC0-D452EA582FC6}"/>
                </c:ext>
              </c:extLst>
            </c:dLbl>
            <c:dLbl>
              <c:idx val="4"/>
              <c:layout/>
              <c:tx>
                <c:strRef>
                  <c:f>Credit_2016Q2!$V$10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{061961FA-8794-44B4-BB7A-B80C1650EE10}</c15:txfldGUID>
                      <c15:f>Credit_2016Q2!$V$10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(Credit_2016Q2!$Z$10,Credit_2016Q2!$L$10,Credit_2016Q2!$O$10,Credit_2016Q2!$R$10,Credit_2016Q2!$U$10)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E42-457F-BCC0-D452EA582FC6}"/>
            </c:ext>
          </c:extLst>
        </c:ser>
        <c:ser>
          <c:idx val="3"/>
          <c:order val="3"/>
          <c:tx>
            <c:strRef>
              <c:f>Credit_2016Q2!$J$11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Credit_2016Q2!$J$11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{1CDC1F56-5852-4712-B8F7-E7A35090CA5D}</c15:txfldGUID>
                      <c15:f>Credit_2016Q2!$J$11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9E42-457F-BCC0-D452EA582FC6}"/>
                </c:ext>
              </c:extLst>
            </c:dLbl>
            <c:dLbl>
              <c:idx val="1"/>
              <c:layout/>
              <c:tx>
                <c:strRef>
                  <c:f>Credit_2016Q2!$M$11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{EB56DB5E-AAB7-4ACA-8DD0-D9BC54C60064}</c15:txfldGUID>
                      <c15:f>Credit_2016Q2!$M$11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9E42-457F-BCC0-D452EA582FC6}"/>
                </c:ext>
              </c:extLst>
            </c:dLbl>
            <c:dLbl>
              <c:idx val="2"/>
              <c:layout/>
              <c:tx>
                <c:strRef>
                  <c:f>Credit_2016Q2!$P$11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{2007D2CD-8C87-452A-AE5F-BC4A32B088BE}</c15:txfldGUID>
                      <c15:f>Credit_2016Q2!$P$11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9E42-457F-BCC0-D452EA582FC6}"/>
                </c:ext>
              </c:extLst>
            </c:dLbl>
            <c:dLbl>
              <c:idx val="3"/>
              <c:layout/>
              <c:tx>
                <c:strRef>
                  <c:f>Credit_2016Q2!$S$11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{6CCA5A34-DF0E-4642-81C5-3F8CD40DC10C}</c15:txfldGUID>
                      <c15:f>Credit_2016Q2!$S$11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9E42-457F-BCC0-D452EA582FC6}"/>
                </c:ext>
              </c:extLst>
            </c:dLbl>
            <c:dLbl>
              <c:idx val="4"/>
              <c:layout/>
              <c:tx>
                <c:strRef>
                  <c:f>Credit_2016Q2!$V$11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{01CC3A95-CDFC-42C6-B731-AB8099535E78}</c15:txfldGUID>
                      <c15:f>Credit_2016Q2!$V$11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(Credit_2016Q2!$Z$11,Credit_2016Q2!$L$11,Credit_2016Q2!$O$11,Credit_2016Q2!$R$11,Credit_2016Q2!$U$11)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E42-457F-BCC0-D452EA582FC6}"/>
            </c:ext>
          </c:extLst>
        </c:ser>
        <c:ser>
          <c:idx val="4"/>
          <c:order val="4"/>
          <c:tx>
            <c:strRef>
              <c:f>Credit_2016Q2!$J$12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layout/>
              <c:tx>
                <c:strRef>
                  <c:f>Credit_2016Q2!$J$12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{47612ABF-2599-41E1-8273-909AAD398428}</c15:txfldGUID>
                      <c15:f>Credit_2016Q2!$J$12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9E42-457F-BCC0-D452EA582FC6}"/>
                </c:ext>
              </c:extLst>
            </c:dLbl>
            <c:dLbl>
              <c:idx val="1"/>
              <c:layout/>
              <c:tx>
                <c:strRef>
                  <c:f>Credit_2016Q2!$M$12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{67F0077A-3B68-494A-8065-AC142C1F0C71}</c15:txfldGUID>
                      <c15:f>Credit_2016Q2!$M$12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9E42-457F-BCC0-D452EA582FC6}"/>
                </c:ext>
              </c:extLst>
            </c:dLbl>
            <c:dLbl>
              <c:idx val="2"/>
              <c:layout/>
              <c:tx>
                <c:strRef>
                  <c:f>Credit_2016Q2!$P$12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{635D91E7-CA2A-4E26-9580-53E982234364}</c15:txfldGUID>
                      <c15:f>Credit_2016Q2!$P$12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9E42-457F-BCC0-D452EA582FC6}"/>
                </c:ext>
              </c:extLst>
            </c:dLbl>
            <c:dLbl>
              <c:idx val="3"/>
              <c:layout/>
              <c:tx>
                <c:strRef>
                  <c:f>Credit_2016Q2!$S$12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{B184DDA5-EFA7-4146-97C8-32D2E3EADCAE}</c15:txfldGUID>
                      <c15:f>Credit_2016Q2!$S$12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9E42-457F-BCC0-D452EA582FC6}"/>
                </c:ext>
              </c:extLst>
            </c:dLbl>
            <c:dLbl>
              <c:idx val="4"/>
              <c:layout/>
              <c:tx>
                <c:strRef>
                  <c:f>Credit_2016Q2!$V$12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{DA9BA42C-1218-4A5B-9B46-36EE039DDEC7}</c15:txfldGUID>
                      <c15:f>Credit_2016Q2!$V$12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(Credit_2016Q2!$Z$12,Credit_2016Q2!$L$12,Credit_2016Q2!$O$12,Credit_2016Q2!$R$12,Credit_2016Q2!$U$12)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E42-457F-BCC0-D452EA582FC6}"/>
            </c:ext>
          </c:extLst>
        </c:ser>
        <c:ser>
          <c:idx val="5"/>
          <c:order val="5"/>
          <c:tx>
            <c:strRef>
              <c:f>Credit_2016Q2!$J$13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Credit_2016Q2!$J$13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{D12BDD0C-2BF4-4A0F-B658-F10D7113C433}</c15:txfldGUID>
                      <c15:f>Credit_2016Q2!$J$13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9E42-457F-BCC0-D452EA582FC6}"/>
                </c:ext>
              </c:extLst>
            </c:dLbl>
            <c:dLbl>
              <c:idx val="1"/>
              <c:layout/>
              <c:tx>
                <c:strRef>
                  <c:f>Credit_2016Q2!$M$13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{0D08F423-8953-446B-94AC-AE5BBEA139D6}</c15:txfldGUID>
                      <c15:f>Credit_2016Q2!$M$13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9E42-457F-BCC0-D452EA582FC6}"/>
                </c:ext>
              </c:extLst>
            </c:dLbl>
            <c:dLbl>
              <c:idx val="2"/>
              <c:layout/>
              <c:tx>
                <c:strRef>
                  <c:f>Credit_2016Q2!$P$13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{251B07DD-8C9D-4C70-8193-F30B6E79DCEE}</c15:txfldGUID>
                      <c15:f>Credit_2016Q2!$P$13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9E42-457F-BCC0-D452EA582FC6}"/>
                </c:ext>
              </c:extLst>
            </c:dLbl>
            <c:dLbl>
              <c:idx val="3"/>
              <c:layout/>
              <c:tx>
                <c:strRef>
                  <c:f>Credit_2016Q2!$S$13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{917458E2-6ECD-4FF3-A2A2-599799D1C837}</c15:txfldGUID>
                      <c15:f>Credit_2016Q2!$S$13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9E42-457F-BCC0-D452EA582FC6}"/>
                </c:ext>
              </c:extLst>
            </c:dLbl>
            <c:dLbl>
              <c:idx val="4"/>
              <c:layout/>
              <c:tx>
                <c:strRef>
                  <c:f>Credit_2016Q2!$V$13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{522A91BA-FEDE-48A7-B322-7C5EB5D303DC}</c15:txfldGUID>
                      <c15:f>Credit_2016Q2!$V$13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(Credit_2016Q2!$Z$13,Credit_2016Q2!$L$13,Credit_2016Q2!$O$13,Credit_2016Q2!$R$13,Credit_2016Q2!$U$13)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E42-457F-BCC0-D452EA582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2425600"/>
        <c:axId val="262021888"/>
      </c:barChart>
      <c:catAx>
        <c:axId val="262425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2021888"/>
        <c:crosses val="max"/>
        <c:auto val="1"/>
        <c:lblAlgn val="ctr"/>
        <c:lblOffset val="100"/>
        <c:noMultiLvlLbl val="0"/>
      </c:catAx>
      <c:valAx>
        <c:axId val="26202188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242560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F9-4D42-9F46-1307CAC164B7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5F9-4D42-9F46-1307CAC164B7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5F9-4D42-9F46-1307CAC164B7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5F9-4D42-9F46-1307CAC164B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95F9-4D42-9F46-1307CAC164B7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95F9-4D42-9F46-1307CAC164B7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5F9-4D42-9F46-1307CAC164B7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95F9-4D42-9F46-1307CAC164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Credit_2016Q1!$J$8:$J$13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Credit_2016Q1!$M$8:$M$13</c:f>
              <c:numCache>
                <c:formatCode>0%</c:formatCode>
                <c:ptCount val="6"/>
                <c:pt idx="0">
                  <c:v>0.06</c:v>
                </c:pt>
                <c:pt idx="1">
                  <c:v>0.24</c:v>
                </c:pt>
                <c:pt idx="2">
                  <c:v>0.34</c:v>
                </c:pt>
                <c:pt idx="3">
                  <c:v>0.26</c:v>
                </c:pt>
                <c:pt idx="4">
                  <c:v>0.06</c:v>
                </c:pt>
                <c:pt idx="5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5F9-4D42-9F46-1307CAC16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Credit_2016Q1!$J$8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Credit_2016Q1!$J$8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{83C0F249-44A3-4BD8-8F65-8B6A5B4C26C8}</c15:txfldGUID>
                      <c15:f>Credit_2016Q1!$J$8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8E69-4BD9-AB34-B26B2F9768DF}"/>
                </c:ext>
              </c:extLst>
            </c:dLbl>
            <c:dLbl>
              <c:idx val="1"/>
              <c:layout/>
              <c:tx>
                <c:strRef>
                  <c:f>Credit_2016Q1!$M$8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{D3D550ED-62C2-422C-9E73-3C882FA38C2A}</c15:txfldGUID>
                      <c15:f>Credit_2016Q1!$M$8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8E69-4BD9-AB34-B26B2F9768DF}"/>
                </c:ext>
              </c:extLst>
            </c:dLbl>
            <c:dLbl>
              <c:idx val="2"/>
              <c:layout/>
              <c:tx>
                <c:strRef>
                  <c:f>Credit_2016Q1!$P$8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{CD08F7C7-EC07-48FA-9413-708289EBD675}</c15:txfldGUID>
                      <c15:f>Credit_2016Q1!$P$8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8E69-4BD9-AB34-B26B2F9768DF}"/>
                </c:ext>
              </c:extLst>
            </c:dLbl>
            <c:dLbl>
              <c:idx val="3"/>
              <c:layout/>
              <c:tx>
                <c:strRef>
                  <c:f>Credit_2016Q1!$S$8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{602AD6EC-5278-4479-838D-6A9101B28826}</c15:txfldGUID>
                      <c15:f>Credit_2016Q1!$S$8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8E69-4BD9-AB34-B26B2F9768DF}"/>
                </c:ext>
              </c:extLst>
            </c:dLbl>
            <c:dLbl>
              <c:idx val="4"/>
              <c:layout/>
              <c:tx>
                <c:strRef>
                  <c:f>Credit_2016Q1!$V$8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{0B2C70BA-FE48-4EBE-A3EB-12B879D721FF}</c15:txfldGUID>
                      <c15:f>Credit_2016Q1!$V$8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(Credit_2016Q1!$Z$8,Credit_2016Q1!$L$8,Credit_2016Q1!$O$8,Credit_2016Q1!$R$8,Credit_2016Q1!$U$8)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E69-4BD9-AB34-B26B2F9768DF}"/>
            </c:ext>
          </c:extLst>
        </c:ser>
        <c:ser>
          <c:idx val="1"/>
          <c:order val="1"/>
          <c:tx>
            <c:strRef>
              <c:f>Credit_2016Q1!$J$9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Credit_2016Q1!$J$9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{C7E9654F-599B-48A5-BF3F-54B93BC4760A}</c15:txfldGUID>
                      <c15:f>Credit_2016Q1!$J$9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8E69-4BD9-AB34-B26B2F9768DF}"/>
                </c:ext>
              </c:extLst>
            </c:dLbl>
            <c:dLbl>
              <c:idx val="1"/>
              <c:layout/>
              <c:tx>
                <c:strRef>
                  <c:f>Credit_2016Q1!$M$9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{2418C064-D398-4B15-B134-5469E4D19C94}</c15:txfldGUID>
                      <c15:f>Credit_2016Q1!$M$9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8E69-4BD9-AB34-B26B2F9768DF}"/>
                </c:ext>
              </c:extLst>
            </c:dLbl>
            <c:dLbl>
              <c:idx val="2"/>
              <c:layout/>
              <c:tx>
                <c:strRef>
                  <c:f>Credit_2016Q1!$P$9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{6D8E7ABB-A781-4A21-9C4F-7DF2D640C97F}</c15:txfldGUID>
                      <c15:f>Credit_2016Q1!$P$9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8E69-4BD9-AB34-B26B2F9768DF}"/>
                </c:ext>
              </c:extLst>
            </c:dLbl>
            <c:dLbl>
              <c:idx val="3"/>
              <c:layout/>
              <c:tx>
                <c:strRef>
                  <c:f>Credit_2016Q1!$S$9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{0A2E3EC5-6088-46BE-B965-F2BC0E671568}</c15:txfldGUID>
                      <c15:f>Credit_2016Q1!$S$9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8E69-4BD9-AB34-B26B2F9768DF}"/>
                </c:ext>
              </c:extLst>
            </c:dLbl>
            <c:dLbl>
              <c:idx val="4"/>
              <c:layout/>
              <c:tx>
                <c:strRef>
                  <c:f>Credit_2016Q1!$V$9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{27F1BB63-889A-4E97-A2BA-2DF765257FAC}</c15:txfldGUID>
                      <c15:f>Credit_2016Q1!$V$9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(Credit_2016Q1!$Z$9,Credit_2016Q1!$L$9,Credit_2016Q1!$O$9,Credit_2016Q1!$R$9,Credit_2016Q1!$U$9)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10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E69-4BD9-AB34-B26B2F9768DF}"/>
            </c:ext>
          </c:extLst>
        </c:ser>
        <c:ser>
          <c:idx val="2"/>
          <c:order val="2"/>
          <c:tx>
            <c:strRef>
              <c:f>Credit_2016Q1!$J$10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Credit_2016Q1!$J$10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{AA7294EC-9E39-49D7-B439-46927768359D}</c15:txfldGUID>
                      <c15:f>Credit_2016Q1!$J$10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8E69-4BD9-AB34-B26B2F9768DF}"/>
                </c:ext>
              </c:extLst>
            </c:dLbl>
            <c:dLbl>
              <c:idx val="1"/>
              <c:layout/>
              <c:tx>
                <c:strRef>
                  <c:f>Credit_2016Q1!$M$10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{AAE67ECC-2279-44C3-97F6-2C6FBB5A3B03}</c15:txfldGUID>
                      <c15:f>Credit_2016Q1!$M$10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8E69-4BD9-AB34-B26B2F9768DF}"/>
                </c:ext>
              </c:extLst>
            </c:dLbl>
            <c:dLbl>
              <c:idx val="2"/>
              <c:layout/>
              <c:tx>
                <c:strRef>
                  <c:f>Credit_2016Q1!$P$10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{5FE756C3-A8CB-4CB1-9307-0342F857767E}</c15:txfldGUID>
                      <c15:f>Credit_2016Q1!$P$10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8E69-4BD9-AB34-B26B2F9768DF}"/>
                </c:ext>
              </c:extLst>
            </c:dLbl>
            <c:dLbl>
              <c:idx val="3"/>
              <c:layout/>
              <c:tx>
                <c:strRef>
                  <c:f>Credit_2016Q1!$S$10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{0A8685AF-93D8-4680-ABFC-E58D652D5D6A}</c15:txfldGUID>
                      <c15:f>Credit_2016Q1!$S$10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8E69-4BD9-AB34-B26B2F9768DF}"/>
                </c:ext>
              </c:extLst>
            </c:dLbl>
            <c:dLbl>
              <c:idx val="4"/>
              <c:layout/>
              <c:tx>
                <c:strRef>
                  <c:f>Credit_2016Q1!$V$10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{81DBFF9D-0030-44A9-8955-00D851D014FC}</c15:txfldGUID>
                      <c15:f>Credit_2016Q1!$V$10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(Credit_2016Q1!$Z$10,Credit_2016Q1!$L$10,Credit_2016Q1!$O$10,Credit_2016Q1!$R$10,Credit_2016Q1!$U$10)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11</c:v>
                </c:pt>
                <c:pt idx="3">
                  <c:v>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E69-4BD9-AB34-B26B2F9768DF}"/>
            </c:ext>
          </c:extLst>
        </c:ser>
        <c:ser>
          <c:idx val="3"/>
          <c:order val="3"/>
          <c:tx>
            <c:strRef>
              <c:f>Credit_2016Q1!$J$11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Credit_2016Q1!$J$11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{43687992-F9C5-49BB-AF0F-66FAD1FD7C98}</c15:txfldGUID>
                      <c15:f>Credit_2016Q1!$J$11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8E69-4BD9-AB34-B26B2F9768DF}"/>
                </c:ext>
              </c:extLst>
            </c:dLbl>
            <c:dLbl>
              <c:idx val="1"/>
              <c:layout/>
              <c:tx>
                <c:strRef>
                  <c:f>Credit_2016Q1!$M$11</c:f>
                  <c:strCache>
                    <c:ptCount val="1"/>
                    <c:pt idx="0">
                      <c:v>26%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{F9E53027-BDFD-4599-BF58-3001994B6023}</c15:txfldGUID>
                      <c15:f>Credit_2016Q1!$M$11</c15:f>
                      <c15:dlblFieldTableCache>
                        <c:ptCount val="1"/>
                        <c:pt idx="0">
                          <c:v>26%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8E69-4BD9-AB34-B26B2F9768DF}"/>
                </c:ext>
              </c:extLst>
            </c:dLbl>
            <c:dLbl>
              <c:idx val="2"/>
              <c:layout/>
              <c:tx>
                <c:strRef>
                  <c:f>Credit_2016Q1!$P$11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{AA486F10-8301-478B-B504-DE021D84FFDD}</c15:txfldGUID>
                      <c15:f>Credit_2016Q1!$P$11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8E69-4BD9-AB34-B26B2F9768DF}"/>
                </c:ext>
              </c:extLst>
            </c:dLbl>
            <c:dLbl>
              <c:idx val="3"/>
              <c:layout/>
              <c:tx>
                <c:strRef>
                  <c:f>Credit_2016Q1!$S$11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{8D14FDF0-A05E-4DD0-ADE4-9244F45D00D6}</c15:txfldGUID>
                      <c15:f>Credit_2016Q1!$S$11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8E69-4BD9-AB34-B26B2F9768DF}"/>
                </c:ext>
              </c:extLst>
            </c:dLbl>
            <c:dLbl>
              <c:idx val="4"/>
              <c:layout/>
              <c:tx>
                <c:strRef>
                  <c:f>Credit_2016Q1!$V$11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{99DDA0B1-DBFE-44CE-84C5-E890082A513F}</c15:txfldGUID>
                      <c15:f>Credit_2016Q1!$V$11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(Credit_2016Q1!$Z$11,Credit_2016Q1!$L$11,Credit_2016Q1!$O$11,Credit_2016Q1!$R$11,Credit_2016Q1!$U$11)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E69-4BD9-AB34-B26B2F9768DF}"/>
            </c:ext>
          </c:extLst>
        </c:ser>
        <c:ser>
          <c:idx val="4"/>
          <c:order val="4"/>
          <c:tx>
            <c:strRef>
              <c:f>Credit_2016Q1!$J$12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layout/>
              <c:tx>
                <c:strRef>
                  <c:f>Credit_2016Q1!$J$12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{F88F8E0F-D052-4ECF-8944-726CEE9F7671}</c15:txfldGUID>
                      <c15:f>Credit_2016Q1!$J$12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8E69-4BD9-AB34-B26B2F9768DF}"/>
                </c:ext>
              </c:extLst>
            </c:dLbl>
            <c:dLbl>
              <c:idx val="1"/>
              <c:layout/>
              <c:tx>
                <c:strRef>
                  <c:f>Credit_2016Q1!$M$12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{865E8766-FF52-4E15-8745-8265A4740476}</c15:txfldGUID>
                      <c15:f>Credit_2016Q1!$M$12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8E69-4BD9-AB34-B26B2F9768DF}"/>
                </c:ext>
              </c:extLst>
            </c:dLbl>
            <c:dLbl>
              <c:idx val="2"/>
              <c:layout/>
              <c:tx>
                <c:strRef>
                  <c:f>Credit_2016Q1!$P$12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{89AAA1E4-1C8C-49A3-9150-B355B60E3CC4}</c15:txfldGUID>
                      <c15:f>Credit_2016Q1!$P$12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8E69-4BD9-AB34-B26B2F9768DF}"/>
                </c:ext>
              </c:extLst>
            </c:dLbl>
            <c:dLbl>
              <c:idx val="3"/>
              <c:layout/>
              <c:tx>
                <c:strRef>
                  <c:f>Credit_2016Q1!$S$12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{208D3834-2A50-46DD-8F7D-139AEC0D9798}</c15:txfldGUID>
                      <c15:f>Credit_2016Q1!$S$12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8E69-4BD9-AB34-B26B2F9768DF}"/>
                </c:ext>
              </c:extLst>
            </c:dLbl>
            <c:dLbl>
              <c:idx val="4"/>
              <c:layout/>
              <c:tx>
                <c:strRef>
                  <c:f>Credit_2016Q1!$V$12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{B4313A62-35F1-4C89-8E37-6B36AA879227}</c15:txfldGUID>
                      <c15:f>Credit_2016Q1!$V$12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(Credit_2016Q1!$Z$12,Credit_2016Q1!$L$12,Credit_2016Q1!$O$12,Credit_2016Q1!$R$12,Credit_2016Q1!$U$12)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E69-4BD9-AB34-B26B2F9768DF}"/>
            </c:ext>
          </c:extLst>
        </c:ser>
        <c:ser>
          <c:idx val="5"/>
          <c:order val="5"/>
          <c:tx>
            <c:strRef>
              <c:f>Credit_2016Q1!$J$13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Credit_2016Q1!$J$13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{DF646474-810B-4FDB-A704-A6755B190265}</c15:txfldGUID>
                      <c15:f>Credit_2016Q1!$J$13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8E69-4BD9-AB34-B26B2F9768DF}"/>
                </c:ext>
              </c:extLst>
            </c:dLbl>
            <c:dLbl>
              <c:idx val="1"/>
              <c:layout/>
              <c:tx>
                <c:strRef>
                  <c:f>Credit_2016Q1!$M$13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{455C868D-0C22-4D0D-B4AC-7D3CA88D64C6}</c15:txfldGUID>
                      <c15:f>Credit_2016Q1!$M$13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8E69-4BD9-AB34-B26B2F9768DF}"/>
                </c:ext>
              </c:extLst>
            </c:dLbl>
            <c:dLbl>
              <c:idx val="2"/>
              <c:layout/>
              <c:tx>
                <c:strRef>
                  <c:f>Credit_2016Q1!$P$13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{364408C9-AD33-4E23-8AA4-CBA8DB419486}</c15:txfldGUID>
                      <c15:f>Credit_2016Q1!$P$13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8E69-4BD9-AB34-B26B2F9768DF}"/>
                </c:ext>
              </c:extLst>
            </c:dLbl>
            <c:dLbl>
              <c:idx val="3"/>
              <c:layout/>
              <c:tx>
                <c:strRef>
                  <c:f>Credit_2016Q1!$S$13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{0C2410B0-E325-467C-ADC2-E4A472A7E1D9}</c15:txfldGUID>
                      <c15:f>Credit_2016Q1!$S$13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8E69-4BD9-AB34-B26B2F9768DF}"/>
                </c:ext>
              </c:extLst>
            </c:dLbl>
            <c:dLbl>
              <c:idx val="4"/>
              <c:layout/>
              <c:tx>
                <c:strRef>
                  <c:f>Credit_2016Q1!$V$13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{677F87BD-AA4A-4584-A2EA-AD8C04459A3E}</c15:txfldGUID>
                      <c15:f>Credit_2016Q1!$V$13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(Credit_2016Q1!$Z$13,Credit_2016Q1!$L$13,Credit_2016Q1!$O$13,Credit_2016Q1!$R$13,Credit_2016Q1!$U$13)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8E69-4BD9-AB34-B26B2F976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2848512"/>
        <c:axId val="262850048"/>
      </c:barChart>
      <c:catAx>
        <c:axId val="262848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2850048"/>
        <c:crosses val="max"/>
        <c:auto val="1"/>
        <c:lblAlgn val="ctr"/>
        <c:lblOffset val="100"/>
        <c:noMultiLvlLbl val="0"/>
      </c:catAx>
      <c:valAx>
        <c:axId val="26285004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284851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E0AA-4A2D-B241-A5227F3D2851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0AA-4A2D-B241-A5227F3D2851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E0AA-4A2D-B241-A5227F3D2851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E0AA-4A2D-B241-A5227F3D285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E0AA-4A2D-B241-A5227F3D2851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E0AA-4A2D-B241-A5227F3D2851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0AA-4A2D-B241-A5227F3D2851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0AA-4A2D-B241-A5227F3D28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Credit_2015Q4!$J$8:$J$13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Credit_2015Q4!$M$8:$M$13</c:f>
              <c:numCache>
                <c:formatCode>0%</c:formatCode>
                <c:ptCount val="6"/>
                <c:pt idx="0">
                  <c:v>3.9215686274509803E-2</c:v>
                </c:pt>
                <c:pt idx="1">
                  <c:v>0.25490196078431371</c:v>
                </c:pt>
                <c:pt idx="2">
                  <c:v>0.35294117647058826</c:v>
                </c:pt>
                <c:pt idx="3">
                  <c:v>0.25490196078431371</c:v>
                </c:pt>
                <c:pt idx="4">
                  <c:v>5.8823529411764705E-2</c:v>
                </c:pt>
                <c:pt idx="5">
                  <c:v>3.9215686274509803E-2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0AA-4A2D-B241-A5227F3D2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Credit_2015Q4!$J$8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Credit_2015Q4!$J$8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{1FAD6D57-35B1-4D90-B895-2696A6F06A20}</c15:txfldGUID>
                      <c15:f>Credit_2015Q4!$J$8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9E40-4B42-9825-9B7966AEA9FF}"/>
                </c:ext>
              </c:extLst>
            </c:dLbl>
            <c:dLbl>
              <c:idx val="1"/>
              <c:layout/>
              <c:tx>
                <c:strRef>
                  <c:f>Credit_2015Q4!$M$8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{BB0C8B71-D9B3-4DDA-AFBD-67E64187256E}</c15:txfldGUID>
                      <c15:f>Credit_2015Q4!$M$8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9E40-4B42-9825-9B7966AEA9FF}"/>
                </c:ext>
              </c:extLst>
            </c:dLbl>
            <c:dLbl>
              <c:idx val="2"/>
              <c:layout/>
              <c:tx>
                <c:strRef>
                  <c:f>Credit_2015Q4!$P$8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{14B9FF45-009D-4A29-AF3D-E6899331120C}</c15:txfldGUID>
                      <c15:f>Credit_2015Q4!$P$8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9E40-4B42-9825-9B7966AEA9FF}"/>
                </c:ext>
              </c:extLst>
            </c:dLbl>
            <c:dLbl>
              <c:idx val="3"/>
              <c:layout/>
              <c:tx>
                <c:strRef>
                  <c:f>Credit_2015Q4!$S$8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{DA4C6DBF-9AD8-4189-A059-5EB54945D85E}</c15:txfldGUID>
                      <c15:f>Credit_2015Q4!$S$8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9E40-4B42-9825-9B7966AEA9FF}"/>
                </c:ext>
              </c:extLst>
            </c:dLbl>
            <c:dLbl>
              <c:idx val="4"/>
              <c:layout/>
              <c:tx>
                <c:strRef>
                  <c:f>Credit_2015Q4!$V$8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{8766232B-D699-47A0-9139-B6104702733E}</c15:txfldGUID>
                      <c15:f>Credit_2015Q4!$V$8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(Credit_2015Q4!$Z$8,Credit_2015Q4!$L$8,Credit_2015Q4!$O$8,Credit_2015Q4!$R$8,Credit_2015Q4!$U$8)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40-4B42-9825-9B7966AEA9FF}"/>
            </c:ext>
          </c:extLst>
        </c:ser>
        <c:ser>
          <c:idx val="1"/>
          <c:order val="1"/>
          <c:tx>
            <c:strRef>
              <c:f>Credit_2015Q4!$J$9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Credit_2015Q4!$J$9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{6EAB946E-6509-4456-BFBE-1E33B55B28DD}</c15:txfldGUID>
                      <c15:f>Credit_2015Q4!$J$9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9E40-4B42-9825-9B7966AEA9FF}"/>
                </c:ext>
              </c:extLst>
            </c:dLbl>
            <c:dLbl>
              <c:idx val="1"/>
              <c:layout/>
              <c:tx>
                <c:strRef>
                  <c:f>Credit_2015Q4!$M$9</c:f>
                  <c:strCache>
                    <c:ptCount val="1"/>
                    <c:pt idx="0">
                      <c:v>25%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{5BC13524-DC50-4D79-91DD-6286EEC5A707}</c15:txfldGUID>
                      <c15:f>Credit_2015Q4!$M$9</c15:f>
                      <c15:dlblFieldTableCache>
                        <c:ptCount val="1"/>
                        <c:pt idx="0">
                          <c:v>25%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9E40-4B42-9825-9B7966AEA9FF}"/>
                </c:ext>
              </c:extLst>
            </c:dLbl>
            <c:dLbl>
              <c:idx val="2"/>
              <c:layout/>
              <c:tx>
                <c:strRef>
                  <c:f>Credit_2015Q4!$P$9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{3E625FF2-F254-4174-B30D-EF23BBF06393}</c15:txfldGUID>
                      <c15:f>Credit_2015Q4!$P$9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9E40-4B42-9825-9B7966AEA9FF}"/>
                </c:ext>
              </c:extLst>
            </c:dLbl>
            <c:dLbl>
              <c:idx val="3"/>
              <c:layout/>
              <c:tx>
                <c:strRef>
                  <c:f>Credit_2015Q4!$S$9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{0CEE25E5-C7CE-4BBE-9714-3179E6846418}</c15:txfldGUID>
                      <c15:f>Credit_2015Q4!$S$9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9E40-4B42-9825-9B7966AEA9FF}"/>
                </c:ext>
              </c:extLst>
            </c:dLbl>
            <c:dLbl>
              <c:idx val="4"/>
              <c:layout/>
              <c:tx>
                <c:strRef>
                  <c:f>Credit_2015Q4!$V$9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{763E4160-66F8-46D0-94F4-2CACCF76A6FB}</c15:txfldGUID>
                      <c15:f>Credit_2015Q4!$V$9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(Credit_2015Q4!$Z$9,Credit_2015Q4!$L$9,Credit_2015Q4!$O$9,Credit_2015Q4!$R$9,Credit_2015Q4!$U$9)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8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E40-4B42-9825-9B7966AEA9FF}"/>
            </c:ext>
          </c:extLst>
        </c:ser>
        <c:ser>
          <c:idx val="2"/>
          <c:order val="2"/>
          <c:tx>
            <c:strRef>
              <c:f>Credit_2015Q4!$J$10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Credit_2015Q4!$J$10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{31221797-DFF5-4393-8375-DBC5911B8D93}</c15:txfldGUID>
                      <c15:f>Credit_2015Q4!$J$10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9E40-4B42-9825-9B7966AEA9FF}"/>
                </c:ext>
              </c:extLst>
            </c:dLbl>
            <c:dLbl>
              <c:idx val="1"/>
              <c:layout/>
              <c:tx>
                <c:strRef>
                  <c:f>Credit_2015Q4!$M$10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{0E26BC04-90D1-43F6-97E5-F03264151A1C}</c15:txfldGUID>
                      <c15:f>Credit_2015Q4!$M$10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9E40-4B42-9825-9B7966AEA9FF}"/>
                </c:ext>
              </c:extLst>
            </c:dLbl>
            <c:dLbl>
              <c:idx val="2"/>
              <c:layout/>
              <c:tx>
                <c:strRef>
                  <c:f>Credit_2015Q4!$P$10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{9B8265D1-DCDF-4FC1-885D-703A49427D17}</c15:txfldGUID>
                      <c15:f>Credit_2015Q4!$P$10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9E40-4B42-9825-9B7966AEA9FF}"/>
                </c:ext>
              </c:extLst>
            </c:dLbl>
            <c:dLbl>
              <c:idx val="3"/>
              <c:layout/>
              <c:tx>
                <c:strRef>
                  <c:f>Credit_2015Q4!$S$10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{AB158AB7-21BC-43D9-9717-34E8D1E3A85B}</c15:txfldGUID>
                      <c15:f>Credit_2015Q4!$S$10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9E40-4B42-9825-9B7966AEA9FF}"/>
                </c:ext>
              </c:extLst>
            </c:dLbl>
            <c:dLbl>
              <c:idx val="4"/>
              <c:layout/>
              <c:tx>
                <c:strRef>
                  <c:f>Credit_2015Q4!$V$10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{A4837BE8-6C93-4A96-A665-B5BF9356D15C}</c15:txfldGUID>
                      <c15:f>Credit_2015Q4!$V$10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(Credit_2015Q4!$Z$10,Credit_2015Q4!$L$10,Credit_2015Q4!$O$10,Credit_2015Q4!$R$10,Credit_2015Q4!$U$10)</c:f>
              <c:numCache>
                <c:formatCode>General</c:formatCode>
                <c:ptCount val="5"/>
                <c:pt idx="0">
                  <c:v>1</c:v>
                </c:pt>
                <c:pt idx="1">
                  <c:v>18</c:v>
                </c:pt>
                <c:pt idx="2">
                  <c:v>12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E40-4B42-9825-9B7966AEA9FF}"/>
            </c:ext>
          </c:extLst>
        </c:ser>
        <c:ser>
          <c:idx val="3"/>
          <c:order val="3"/>
          <c:tx>
            <c:strRef>
              <c:f>Credit_2015Q4!$J$11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Credit_2015Q4!$J$11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{072FA116-49C7-4BD3-8AFB-CFDBF2BB7A9B}</c15:txfldGUID>
                      <c15:f>Credit_2015Q4!$J$11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9E40-4B42-9825-9B7966AEA9FF}"/>
                </c:ext>
              </c:extLst>
            </c:dLbl>
            <c:dLbl>
              <c:idx val="1"/>
              <c:layout/>
              <c:tx>
                <c:strRef>
                  <c:f>Credit_2015Q4!$M$11</c:f>
                  <c:strCache>
                    <c:ptCount val="1"/>
                    <c:pt idx="0">
                      <c:v>25%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{F1AFE582-E93C-4630-8B6B-6BBF81168F70}</c15:txfldGUID>
                      <c15:f>Credit_2015Q4!$M$11</c15:f>
                      <c15:dlblFieldTableCache>
                        <c:ptCount val="1"/>
                        <c:pt idx="0">
                          <c:v>25%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9E40-4B42-9825-9B7966AEA9FF}"/>
                </c:ext>
              </c:extLst>
            </c:dLbl>
            <c:dLbl>
              <c:idx val="2"/>
              <c:layout/>
              <c:tx>
                <c:strRef>
                  <c:f>Credit_2015Q4!$P$11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{5B1A2683-E8AB-4A9C-B642-A525848F66FE}</c15:txfldGUID>
                      <c15:f>Credit_2015Q4!$P$11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9E40-4B42-9825-9B7966AEA9FF}"/>
                </c:ext>
              </c:extLst>
            </c:dLbl>
            <c:dLbl>
              <c:idx val="3"/>
              <c:layout/>
              <c:tx>
                <c:strRef>
                  <c:f>Credit_2015Q4!$S$11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{E7E49155-7CEF-4F87-A43E-9B368C5487BF}</c15:txfldGUID>
                      <c15:f>Credit_2015Q4!$S$11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9E40-4B42-9825-9B7966AEA9FF}"/>
                </c:ext>
              </c:extLst>
            </c:dLbl>
            <c:dLbl>
              <c:idx val="4"/>
              <c:layout/>
              <c:tx>
                <c:strRef>
                  <c:f>Credit_2015Q4!$V$11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{A2FF733C-2D6D-4162-B913-F081D3A9989E}</c15:txfldGUID>
                      <c15:f>Credit_2015Q4!$V$11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(Credit_2015Q4!$Z$11,Credit_2015Q4!$L$11,Credit_2015Q4!$O$11,Credit_2015Q4!$R$11,Credit_2015Q4!$U$11)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12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E40-4B42-9825-9B7966AEA9FF}"/>
            </c:ext>
          </c:extLst>
        </c:ser>
        <c:ser>
          <c:idx val="4"/>
          <c:order val="4"/>
          <c:tx>
            <c:strRef>
              <c:f>Credit_2015Q4!$J$12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layout/>
              <c:tx>
                <c:strRef>
                  <c:f>Credit_2015Q4!$J$12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{17090601-8110-4383-9F7C-A42ADEF9F90A}</c15:txfldGUID>
                      <c15:f>Credit_2015Q4!$J$12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9E40-4B42-9825-9B7966AEA9FF}"/>
                </c:ext>
              </c:extLst>
            </c:dLbl>
            <c:dLbl>
              <c:idx val="1"/>
              <c:layout/>
              <c:tx>
                <c:strRef>
                  <c:f>Credit_2015Q4!$M$12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{055C1FA2-A0CA-43E5-B142-E596524CEB45}</c15:txfldGUID>
                      <c15:f>Credit_2015Q4!$M$12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9E40-4B42-9825-9B7966AEA9FF}"/>
                </c:ext>
              </c:extLst>
            </c:dLbl>
            <c:dLbl>
              <c:idx val="2"/>
              <c:layout/>
              <c:tx>
                <c:strRef>
                  <c:f>Credit_2015Q4!$P$12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{31858E88-3745-4285-B4D7-626A22A75B80}</c15:txfldGUID>
                      <c15:f>Credit_2015Q4!$P$12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9E40-4B42-9825-9B7966AEA9FF}"/>
                </c:ext>
              </c:extLst>
            </c:dLbl>
            <c:dLbl>
              <c:idx val="3"/>
              <c:layout/>
              <c:tx>
                <c:strRef>
                  <c:f>Credit_2015Q4!$S$12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{42FC5D96-512C-4DD5-8A64-3C111E9A5FAB}</c15:txfldGUID>
                      <c15:f>Credit_2015Q4!$S$12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9E40-4B42-9825-9B7966AEA9FF}"/>
                </c:ext>
              </c:extLst>
            </c:dLbl>
            <c:dLbl>
              <c:idx val="4"/>
              <c:layout/>
              <c:tx>
                <c:strRef>
                  <c:f>Credit_2015Q4!$V$12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{DCD37460-9F49-4450-8E49-EE41EF606FEC}</c15:txfldGUID>
                      <c15:f>Credit_2015Q4!$V$12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(Credit_2015Q4!$Z$12,Credit_2015Q4!$L$12,Credit_2015Q4!$O$12,Credit_2015Q4!$R$12,Credit_2015Q4!$U$12)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E40-4B42-9825-9B7966AEA9FF}"/>
            </c:ext>
          </c:extLst>
        </c:ser>
        <c:ser>
          <c:idx val="5"/>
          <c:order val="5"/>
          <c:tx>
            <c:strRef>
              <c:f>Credit_2015Q4!$J$13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Credit_2015Q4!$J$13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{A3AADA1D-FF89-4436-9984-2E101A3E05BE}</c15:txfldGUID>
                      <c15:f>Credit_2015Q4!$J$13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9E40-4B42-9825-9B7966AEA9FF}"/>
                </c:ext>
              </c:extLst>
            </c:dLbl>
            <c:dLbl>
              <c:idx val="1"/>
              <c:layout/>
              <c:tx>
                <c:strRef>
                  <c:f>Credit_2015Q4!$M$13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{985E600B-04A7-412A-8EC0-48E6D23F4844}</c15:txfldGUID>
                      <c15:f>Credit_2015Q4!$M$13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9E40-4B42-9825-9B7966AEA9FF}"/>
                </c:ext>
              </c:extLst>
            </c:dLbl>
            <c:dLbl>
              <c:idx val="2"/>
              <c:layout/>
              <c:tx>
                <c:strRef>
                  <c:f>Credit_2015Q4!$P$13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{BAE677B7-7C2C-4983-BDE7-894F3F803EE0}</c15:txfldGUID>
                      <c15:f>Credit_2015Q4!$P$13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9E40-4B42-9825-9B7966AEA9FF}"/>
                </c:ext>
              </c:extLst>
            </c:dLbl>
            <c:dLbl>
              <c:idx val="3"/>
              <c:layout/>
              <c:tx>
                <c:strRef>
                  <c:f>Credit_2015Q4!$S$13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{64576B52-BE91-4A14-AC06-E9C27452555E}</c15:txfldGUID>
                      <c15:f>Credit_2015Q4!$S$13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9E40-4B42-9825-9B7966AEA9FF}"/>
                </c:ext>
              </c:extLst>
            </c:dLbl>
            <c:dLbl>
              <c:idx val="4"/>
              <c:layout/>
              <c:tx>
                <c:strRef>
                  <c:f>Credit_2015Q4!$V$13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{EA2D84AA-B52D-4876-B990-1368643AEFB0}</c15:txfldGUID>
                      <c15:f>Credit_2015Q4!$V$13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(Credit_2015Q4!$Z$13,Credit_2015Q4!$L$13,Credit_2015Q4!$O$13,Credit_2015Q4!$R$13,Credit_2015Q4!$U$13)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E40-4B42-9825-9B7966AEA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3254784"/>
        <c:axId val="263256320"/>
      </c:barChart>
      <c:catAx>
        <c:axId val="263254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3256320"/>
        <c:crosses val="max"/>
        <c:auto val="1"/>
        <c:lblAlgn val="ctr"/>
        <c:lblOffset val="100"/>
        <c:noMultiLvlLbl val="0"/>
      </c:catAx>
      <c:valAx>
        <c:axId val="263256320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325478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3FE5-4528-ACF7-564B8B9BC0BA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FE5-4528-ACF7-564B8B9BC0BA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3FE5-4528-ACF7-564B8B9BC0BA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3FE5-4528-ACF7-564B8B9BC0B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3FE5-4528-ACF7-564B8B9BC0BA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3FE5-4528-ACF7-564B8B9BC0BA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FE5-4528-ACF7-564B8B9BC0BA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FE5-4528-ACF7-564B8B9BC0BA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FE5-4528-ACF7-564B8B9BC0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Credit_2015Q3!$J$8:$J$13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Credit_2015Q3!$M$8:$M$13</c:f>
              <c:numCache>
                <c:formatCode>0%</c:formatCode>
                <c:ptCount val="6"/>
                <c:pt idx="0">
                  <c:v>3.8461538461538464E-2</c:v>
                </c:pt>
                <c:pt idx="1">
                  <c:v>0.25</c:v>
                </c:pt>
                <c:pt idx="2">
                  <c:v>0.32692307692307693</c:v>
                </c:pt>
                <c:pt idx="3">
                  <c:v>0.28846153846153844</c:v>
                </c:pt>
                <c:pt idx="4">
                  <c:v>5.7692307692307696E-2</c:v>
                </c:pt>
                <c:pt idx="5">
                  <c:v>3.8461538461538464E-2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FE5-4528-ACF7-564B8B9BC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Credit_2015Q3!$J$8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Credit_2015Q3!$J$8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{A6FA0583-698B-4835-AC87-0572356DEF84}</c15:txfldGUID>
                      <c15:f>Credit_2015Q3!$J$8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25F1-459C-A3E5-856FF817ECC8}"/>
                </c:ext>
              </c:extLst>
            </c:dLbl>
            <c:dLbl>
              <c:idx val="1"/>
              <c:layout/>
              <c:tx>
                <c:strRef>
                  <c:f>Credit_2015Q3!$M$8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{A89B8505-A66B-413F-AC7A-57C171F26E0C}</c15:txfldGUID>
                      <c15:f>Credit_2015Q3!$M$8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25F1-459C-A3E5-856FF817ECC8}"/>
                </c:ext>
              </c:extLst>
            </c:dLbl>
            <c:dLbl>
              <c:idx val="2"/>
              <c:layout/>
              <c:tx>
                <c:strRef>
                  <c:f>Credit_2015Q3!$P$8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{6A570489-B55E-4CB0-B0F2-DA461C8B7ED8}</c15:txfldGUID>
                      <c15:f>Credit_2015Q3!$P$8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25F1-459C-A3E5-856FF817ECC8}"/>
                </c:ext>
              </c:extLst>
            </c:dLbl>
            <c:dLbl>
              <c:idx val="3"/>
              <c:layout/>
              <c:tx>
                <c:strRef>
                  <c:f>Credit_2015Q3!$S$8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{5CD9406B-2BE6-41BA-98BC-0F814D5345B2}</c15:txfldGUID>
                      <c15:f>Credit_2015Q3!$S$8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25F1-459C-A3E5-856FF817ECC8}"/>
                </c:ext>
              </c:extLst>
            </c:dLbl>
            <c:dLbl>
              <c:idx val="4"/>
              <c:layout/>
              <c:tx>
                <c:strRef>
                  <c:f>Credit_2015Q3!$V$8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{AEA5BD93-2CE9-42FE-8B14-565E56E370B1}</c15:txfldGUID>
                      <c15:f>Credit_2015Q3!$V$8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(Credit_2015Q3!$Z$8,Credit_2015Q3!$L$8,Credit_2015Q3!$O$8,Credit_2015Q3!$R$8,Credit_2015Q3!$U$8)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5F1-459C-A3E5-856FF817ECC8}"/>
            </c:ext>
          </c:extLst>
        </c:ser>
        <c:ser>
          <c:idx val="1"/>
          <c:order val="1"/>
          <c:tx>
            <c:strRef>
              <c:f>Credit_2015Q3!$J$9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Credit_2015Q3!$J$9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{11E9F461-9BFC-4279-853E-2706E6850BF8}</c15:txfldGUID>
                      <c15:f>Credit_2015Q3!$J$9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25F1-459C-A3E5-856FF817ECC8}"/>
                </c:ext>
              </c:extLst>
            </c:dLbl>
            <c:dLbl>
              <c:idx val="1"/>
              <c:layout/>
              <c:tx>
                <c:strRef>
                  <c:f>Credit_2015Q3!$M$9</c:f>
                  <c:strCache>
                    <c:ptCount val="1"/>
                    <c:pt idx="0">
                      <c:v>25%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{D22BE539-005C-4CFD-8124-40A86F42B28F}</c15:txfldGUID>
                      <c15:f>Credit_2015Q3!$M$9</c15:f>
                      <c15:dlblFieldTableCache>
                        <c:ptCount val="1"/>
                        <c:pt idx="0">
                          <c:v>25%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25F1-459C-A3E5-856FF817ECC8}"/>
                </c:ext>
              </c:extLst>
            </c:dLbl>
            <c:dLbl>
              <c:idx val="2"/>
              <c:layout/>
              <c:tx>
                <c:strRef>
                  <c:f>Credit_2015Q3!$P$9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{6759722D-8786-4071-B7F3-B7BE4F8591BD}</c15:txfldGUID>
                      <c15:f>Credit_2015Q3!$P$9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25F1-459C-A3E5-856FF817ECC8}"/>
                </c:ext>
              </c:extLst>
            </c:dLbl>
            <c:dLbl>
              <c:idx val="3"/>
              <c:layout/>
              <c:tx>
                <c:strRef>
                  <c:f>Credit_2015Q3!$S$9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{D2FD5A02-4ED0-420C-BD91-41BC25701A30}</c15:txfldGUID>
                      <c15:f>Credit_2015Q3!$S$9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25F1-459C-A3E5-856FF817ECC8}"/>
                </c:ext>
              </c:extLst>
            </c:dLbl>
            <c:dLbl>
              <c:idx val="4"/>
              <c:layout/>
              <c:tx>
                <c:strRef>
                  <c:f>Credit_2015Q3!$V$9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{842B1D09-CB6C-4410-874E-172B2BD887FB}</c15:txfldGUID>
                      <c15:f>Credit_2015Q3!$V$9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(Credit_2015Q3!$Z$9,Credit_2015Q3!$L$9,Credit_2015Q3!$O$9,Credit_2015Q3!$R$9,Credit_2015Q3!$U$9)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8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5F1-459C-A3E5-856FF817ECC8}"/>
            </c:ext>
          </c:extLst>
        </c:ser>
        <c:ser>
          <c:idx val="2"/>
          <c:order val="2"/>
          <c:tx>
            <c:strRef>
              <c:f>Credit_2015Q3!$J$10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Credit_2015Q3!$J$10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{2987A333-FAAC-4996-BD9C-D474EFF14D66}</c15:txfldGUID>
                      <c15:f>Credit_2015Q3!$J$10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25F1-459C-A3E5-856FF817ECC8}"/>
                </c:ext>
              </c:extLst>
            </c:dLbl>
            <c:dLbl>
              <c:idx val="1"/>
              <c:layout/>
              <c:tx>
                <c:strRef>
                  <c:f>Credit_2015Q3!$M$10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{8DF1DB0C-1973-4AB4-816C-68F1D24B9428}</c15:txfldGUID>
                      <c15:f>Credit_2015Q3!$M$10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25F1-459C-A3E5-856FF817ECC8}"/>
                </c:ext>
              </c:extLst>
            </c:dLbl>
            <c:dLbl>
              <c:idx val="2"/>
              <c:layout/>
              <c:tx>
                <c:strRef>
                  <c:f>Credit_2015Q3!$P$10</c:f>
                  <c:strCache>
                    <c:ptCount val="1"/>
                    <c:pt idx="0">
                      <c:v>30%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{CD56E8BE-B05F-41CB-ABE2-A1DA4CFF63EB}</c15:txfldGUID>
                      <c15:f>Credit_2015Q3!$P$10</c15:f>
                      <c15:dlblFieldTableCache>
                        <c:ptCount val="1"/>
                        <c:pt idx="0">
                          <c:v>30%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25F1-459C-A3E5-856FF817ECC8}"/>
                </c:ext>
              </c:extLst>
            </c:dLbl>
            <c:dLbl>
              <c:idx val="3"/>
              <c:layout/>
              <c:tx>
                <c:strRef>
                  <c:f>Credit_2015Q3!$S$10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{9DFB805D-78E0-4D2A-827A-BBD5709C90D1}</c15:txfldGUID>
                      <c15:f>Credit_2015Q3!$S$10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25F1-459C-A3E5-856FF817ECC8}"/>
                </c:ext>
              </c:extLst>
            </c:dLbl>
            <c:dLbl>
              <c:idx val="4"/>
              <c:layout/>
              <c:tx>
                <c:strRef>
                  <c:f>Credit_2015Q3!$V$10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{51F47171-6F66-48A9-9C28-A48B6508728E}</c15:txfldGUID>
                      <c15:f>Credit_2015Q3!$V$10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(Credit_2015Q3!$Z$10,Credit_2015Q3!$L$10,Credit_2015Q3!$O$10,Credit_2015Q3!$R$10,Credit_2015Q3!$U$10)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11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5F1-459C-A3E5-856FF817ECC8}"/>
            </c:ext>
          </c:extLst>
        </c:ser>
        <c:ser>
          <c:idx val="3"/>
          <c:order val="3"/>
          <c:tx>
            <c:strRef>
              <c:f>Credit_2015Q3!$J$11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Credit_2015Q3!$J$11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{BA089680-4A90-4C5F-A6FE-84D8F01D28C1}</c15:txfldGUID>
                      <c15:f>Credit_2015Q3!$J$11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25F1-459C-A3E5-856FF817ECC8}"/>
                </c:ext>
              </c:extLst>
            </c:dLbl>
            <c:dLbl>
              <c:idx val="1"/>
              <c:layout/>
              <c:tx>
                <c:strRef>
                  <c:f>Credit_2015Q3!$M$11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{97271628-8F5B-4CE0-83F1-3962E89C1C07}</c15:txfldGUID>
                      <c15:f>Credit_2015Q3!$M$11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25F1-459C-A3E5-856FF817ECC8}"/>
                </c:ext>
              </c:extLst>
            </c:dLbl>
            <c:dLbl>
              <c:idx val="2"/>
              <c:layout/>
              <c:tx>
                <c:strRef>
                  <c:f>Credit_2015Q3!$P$11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{1B19F9F6-0DAF-4026-9DFB-37AAF088A74B}</c15:txfldGUID>
                      <c15:f>Credit_2015Q3!$P$11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25F1-459C-A3E5-856FF817ECC8}"/>
                </c:ext>
              </c:extLst>
            </c:dLbl>
            <c:dLbl>
              <c:idx val="3"/>
              <c:layout/>
              <c:tx>
                <c:strRef>
                  <c:f>Credit_2015Q3!$S$11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{464E8092-BFAB-46D1-9A45-F3EF935F3C5C}</c15:txfldGUID>
                      <c15:f>Credit_2015Q3!$S$11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25F1-459C-A3E5-856FF817ECC8}"/>
                </c:ext>
              </c:extLst>
            </c:dLbl>
            <c:dLbl>
              <c:idx val="4"/>
              <c:layout/>
              <c:tx>
                <c:strRef>
                  <c:f>Credit_2015Q3!$V$11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{10463F83-D31D-49CC-BD5E-D72A9BBAE89A}</c15:txfldGUID>
                      <c15:f>Credit_2015Q3!$V$11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(Credit_2015Q3!$Z$11,Credit_2015Q3!$L$11,Credit_2015Q3!$O$11,Credit_2015Q3!$R$11,Credit_2015Q3!$U$11)</c:f>
              <c:numCache>
                <c:formatCode>General</c:formatCode>
                <c:ptCount val="5"/>
                <c:pt idx="0">
                  <c:v>1</c:v>
                </c:pt>
                <c:pt idx="1">
                  <c:v>15</c:v>
                </c:pt>
                <c:pt idx="2">
                  <c:v>14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5F1-459C-A3E5-856FF817ECC8}"/>
            </c:ext>
          </c:extLst>
        </c:ser>
        <c:ser>
          <c:idx val="4"/>
          <c:order val="4"/>
          <c:tx>
            <c:strRef>
              <c:f>Credit_2015Q3!$J$12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layout/>
              <c:tx>
                <c:strRef>
                  <c:f>Credit_2015Q3!$J$12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{05BA270B-1578-4A47-A502-EDD0A69AA317}</c15:txfldGUID>
                      <c15:f>Credit_2015Q3!$J$12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25F1-459C-A3E5-856FF817ECC8}"/>
                </c:ext>
              </c:extLst>
            </c:dLbl>
            <c:dLbl>
              <c:idx val="1"/>
              <c:layout/>
              <c:tx>
                <c:strRef>
                  <c:f>Credit_2015Q3!$M$12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{4DD808E8-3114-40C0-8348-D8B538AED7A2}</c15:txfldGUID>
                      <c15:f>Credit_2015Q3!$M$12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25F1-459C-A3E5-856FF817ECC8}"/>
                </c:ext>
              </c:extLst>
            </c:dLbl>
            <c:dLbl>
              <c:idx val="2"/>
              <c:layout/>
              <c:tx>
                <c:strRef>
                  <c:f>Credit_2015Q3!$P$12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{1DDEB065-1FF3-4443-B678-DD4BC25A5948}</c15:txfldGUID>
                      <c15:f>Credit_2015Q3!$P$12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25F1-459C-A3E5-856FF817ECC8}"/>
                </c:ext>
              </c:extLst>
            </c:dLbl>
            <c:dLbl>
              <c:idx val="3"/>
              <c:layout/>
              <c:tx>
                <c:strRef>
                  <c:f>Credit_2015Q3!$S$12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{43142AFB-1E29-49FD-A1BE-4B011996660D}</c15:txfldGUID>
                      <c15:f>Credit_2015Q3!$S$12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25F1-459C-A3E5-856FF817ECC8}"/>
                </c:ext>
              </c:extLst>
            </c:dLbl>
            <c:dLbl>
              <c:idx val="4"/>
              <c:layout/>
              <c:tx>
                <c:strRef>
                  <c:f>Credit_2015Q3!$V$12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{B5444827-88E6-4ADE-928D-A9444147D10D}</c15:txfldGUID>
                      <c15:f>Credit_2015Q3!$V$12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(Credit_2015Q3!$Z$12,Credit_2015Q3!$L$12,Credit_2015Q3!$O$12,Credit_2015Q3!$R$12,Credit_2015Q3!$U$12)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25F1-459C-A3E5-856FF817ECC8}"/>
            </c:ext>
          </c:extLst>
        </c:ser>
        <c:ser>
          <c:idx val="5"/>
          <c:order val="5"/>
          <c:tx>
            <c:strRef>
              <c:f>Credit_2015Q3!$J$13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Credit_2015Q3!$J$13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{C34B397D-1302-4536-937C-45ABA3129669}</c15:txfldGUID>
                      <c15:f>Credit_2015Q3!$J$13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25F1-459C-A3E5-856FF817ECC8}"/>
                </c:ext>
              </c:extLst>
            </c:dLbl>
            <c:dLbl>
              <c:idx val="1"/>
              <c:layout/>
              <c:tx>
                <c:strRef>
                  <c:f>Credit_2015Q3!$M$13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{D2476FB3-2CDD-4A4A-8DEB-2F3D83AE8586}</c15:txfldGUID>
                      <c15:f>Credit_2015Q3!$M$13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25F1-459C-A3E5-856FF817ECC8}"/>
                </c:ext>
              </c:extLst>
            </c:dLbl>
            <c:dLbl>
              <c:idx val="2"/>
              <c:layout/>
              <c:tx>
                <c:strRef>
                  <c:f>Credit_2015Q3!$P$13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{F4B5344F-1D18-4C23-BD3F-A7F41183576C}</c15:txfldGUID>
                      <c15:f>Credit_2015Q3!$P$13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25F1-459C-A3E5-856FF817ECC8}"/>
                </c:ext>
              </c:extLst>
            </c:dLbl>
            <c:dLbl>
              <c:idx val="3"/>
              <c:layout/>
              <c:tx>
                <c:strRef>
                  <c:f>Credit_2015Q3!$S$13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{1FF0B391-BEBD-43F3-ADBA-953B9524A76C}</c15:txfldGUID>
                      <c15:f>Credit_2015Q3!$S$13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25F1-459C-A3E5-856FF817ECC8}"/>
                </c:ext>
              </c:extLst>
            </c:dLbl>
            <c:dLbl>
              <c:idx val="4"/>
              <c:layout/>
              <c:tx>
                <c:strRef>
                  <c:f>Credit_2015Q3!$V$13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{123A01F9-3194-45FF-9F2E-A28A45BF3C2D}</c15:txfldGUID>
                      <c15:f>Credit_2015Q3!$V$13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(Credit_2015Q3!$Z$13,Credit_2015Q3!$L$13,Credit_2015Q3!$O$13,Credit_2015Q3!$R$13,Credit_2015Q3!$U$13)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25F1-459C-A3E5-856FF817E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2932736"/>
        <c:axId val="262955008"/>
      </c:barChart>
      <c:catAx>
        <c:axId val="262932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2955008"/>
        <c:crosses val="max"/>
        <c:auto val="1"/>
        <c:lblAlgn val="ctr"/>
        <c:lblOffset val="100"/>
        <c:noMultiLvlLbl val="0"/>
      </c:catAx>
      <c:valAx>
        <c:axId val="26295500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29327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452-49C1-80E8-1D86B81C94B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D452-49C1-80E8-1D86B81C94B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D452-49C1-80E8-1D86B81C94B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D452-49C1-80E8-1D86B81C94B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D452-49C1-80E8-1D86B81C94B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D452-49C1-80E8-1D86B81C94B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452-49C1-80E8-1D86B81C94B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D452-49C1-80E8-1D86B81C94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Credit_2015Q2!$J$8:$J$13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Credit_2015Q2!$M$8:$M$13</c:f>
              <c:numCache>
                <c:formatCode>0%</c:formatCode>
                <c:ptCount val="6"/>
                <c:pt idx="0">
                  <c:v>5.7692307692307696E-2</c:v>
                </c:pt>
                <c:pt idx="1">
                  <c:v>0.23076923076923078</c:v>
                </c:pt>
                <c:pt idx="2">
                  <c:v>0.32692307692307693</c:v>
                </c:pt>
                <c:pt idx="3">
                  <c:v>0.28846153846153844</c:v>
                </c:pt>
                <c:pt idx="4">
                  <c:v>5.7692307692307696E-2</c:v>
                </c:pt>
                <c:pt idx="5">
                  <c:v>3.8461538461538464E-2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452-49C1-80E8-1D86B81C9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Credit_2015Q2!$J$8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Credit_2015Q2!$J$8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{14EFC3BB-0BEA-414D-9A52-26A54FCA4CEF}</c15:txfldGUID>
                      <c15:f>Credit_2015Q2!$J$8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7965-46DB-949D-84C3866A356E}"/>
                </c:ext>
              </c:extLst>
            </c:dLbl>
            <c:dLbl>
              <c:idx val="1"/>
              <c:layout/>
              <c:tx>
                <c:strRef>
                  <c:f>Credit_2015Q2!$M$8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{BDCB0334-14EE-4120-9680-526E2B673BCF}</c15:txfldGUID>
                      <c15:f>Credit_2015Q2!$M$8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7965-46DB-949D-84C3866A356E}"/>
                </c:ext>
              </c:extLst>
            </c:dLbl>
            <c:dLbl>
              <c:idx val="2"/>
              <c:layout/>
              <c:tx>
                <c:strRef>
                  <c:f>Credit_2015Q2!$P$8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{08981B72-1E48-4F7C-928B-6F86EB4A0F23}</c15:txfldGUID>
                      <c15:f>Credit_2015Q2!$P$8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7965-46DB-949D-84C3866A356E}"/>
                </c:ext>
              </c:extLst>
            </c:dLbl>
            <c:dLbl>
              <c:idx val="3"/>
              <c:layout/>
              <c:tx>
                <c:strRef>
                  <c:f>Credit_2015Q2!$S$8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{13B36DE5-5981-439D-9311-B47E3944CE4C}</c15:txfldGUID>
                      <c15:f>Credit_2015Q2!$S$8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7965-46DB-949D-84C3866A356E}"/>
                </c:ext>
              </c:extLst>
            </c:dLbl>
            <c:dLbl>
              <c:idx val="4"/>
              <c:layout/>
              <c:tx>
                <c:strRef>
                  <c:f>Credit_2015Q2!$V$8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{08F5DE09-78C1-45C5-A9C0-E54815683480}</c15:txfldGUID>
                      <c15:f>Credit_2015Q2!$V$8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(Credit_2015Q2!$Z$8,Credit_2015Q2!$L$8,Credit_2015Q2!$O$8,Credit_2015Q2!$R$8,Credit_2015Q2!$U$8)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965-46DB-949D-84C3866A356E}"/>
            </c:ext>
          </c:extLst>
        </c:ser>
        <c:ser>
          <c:idx val="1"/>
          <c:order val="1"/>
          <c:tx>
            <c:strRef>
              <c:f>Credit_2015Q2!$J$9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Credit_2015Q2!$J$9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{E30E0AB7-60B7-4AF4-AFB8-7B18086B6027}</c15:txfldGUID>
                      <c15:f>Credit_2015Q2!$J$9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7965-46DB-949D-84C3866A356E}"/>
                </c:ext>
              </c:extLst>
            </c:dLbl>
            <c:dLbl>
              <c:idx val="1"/>
              <c:layout/>
              <c:tx>
                <c:strRef>
                  <c:f>Credit_2015Q2!$M$9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{B6FB594E-3DE0-452D-B3D0-7DD09DF342D6}</c15:txfldGUID>
                      <c15:f>Credit_2015Q2!$M$9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7965-46DB-949D-84C3866A356E}"/>
                </c:ext>
              </c:extLst>
            </c:dLbl>
            <c:dLbl>
              <c:idx val="2"/>
              <c:layout/>
              <c:tx>
                <c:strRef>
                  <c:f>Credit_2015Q2!$P$9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{7555AF99-E33F-4DFC-8276-A3BA35E303CF}</c15:txfldGUID>
                      <c15:f>Credit_2015Q2!$P$9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7965-46DB-949D-84C3866A356E}"/>
                </c:ext>
              </c:extLst>
            </c:dLbl>
            <c:dLbl>
              <c:idx val="3"/>
              <c:layout/>
              <c:tx>
                <c:strRef>
                  <c:f>Credit_2015Q2!$S$9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{DD26D310-E144-42F9-AE0B-B1B8817215D4}</c15:txfldGUID>
                      <c15:f>Credit_2015Q2!$S$9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7965-46DB-949D-84C3866A356E}"/>
                </c:ext>
              </c:extLst>
            </c:dLbl>
            <c:dLbl>
              <c:idx val="4"/>
              <c:layout/>
              <c:tx>
                <c:strRef>
                  <c:f>Credit_2015Q2!$V$9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{FF6C2DF9-5B18-49C0-8516-D9C849E87090}</c15:txfldGUID>
                      <c15:f>Credit_2015Q2!$V$9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(Credit_2015Q2!$Z$9,Credit_2015Q2!$L$9,Credit_2015Q2!$O$9,Credit_2015Q2!$R$9,Credit_2015Q2!$U$9)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965-46DB-949D-84C3866A356E}"/>
            </c:ext>
          </c:extLst>
        </c:ser>
        <c:ser>
          <c:idx val="2"/>
          <c:order val="2"/>
          <c:tx>
            <c:strRef>
              <c:f>Credit_2015Q2!$J$10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Credit_2015Q2!$J$10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{6E0BC183-3901-4F2B-AA84-AC7D4FA91FE8}</c15:txfldGUID>
                      <c15:f>Credit_2015Q2!$J$10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7965-46DB-949D-84C3866A356E}"/>
                </c:ext>
              </c:extLst>
            </c:dLbl>
            <c:dLbl>
              <c:idx val="1"/>
              <c:layout/>
              <c:tx>
                <c:strRef>
                  <c:f>Credit_2015Q2!$M$10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{FD0E759E-6456-41BC-8041-27ED85F79AF9}</c15:txfldGUID>
                      <c15:f>Credit_2015Q2!$M$10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7965-46DB-949D-84C3866A356E}"/>
                </c:ext>
              </c:extLst>
            </c:dLbl>
            <c:dLbl>
              <c:idx val="2"/>
              <c:layout/>
              <c:tx>
                <c:strRef>
                  <c:f>Credit_2015Q2!$P$10</c:f>
                  <c:strCache>
                    <c:ptCount val="1"/>
                    <c:pt idx="0">
                      <c:v>30%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{D4D97A84-FC09-428B-923C-4B7C22AEDB0A}</c15:txfldGUID>
                      <c15:f>Credit_2015Q2!$P$10</c15:f>
                      <c15:dlblFieldTableCache>
                        <c:ptCount val="1"/>
                        <c:pt idx="0">
                          <c:v>30%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7965-46DB-949D-84C3866A356E}"/>
                </c:ext>
              </c:extLst>
            </c:dLbl>
            <c:dLbl>
              <c:idx val="3"/>
              <c:layout/>
              <c:tx>
                <c:strRef>
                  <c:f>Credit_2015Q2!$S$10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{2C74EA00-50CF-4B86-9738-3B2684CDC25C}</c15:txfldGUID>
                      <c15:f>Credit_2015Q2!$S$10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7965-46DB-949D-84C3866A356E}"/>
                </c:ext>
              </c:extLst>
            </c:dLbl>
            <c:dLbl>
              <c:idx val="4"/>
              <c:layout/>
              <c:tx>
                <c:strRef>
                  <c:f>Credit_2015Q2!$V$10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{B0E74E6B-4535-4037-936E-A7369B979CCC}</c15:txfldGUID>
                      <c15:f>Credit_2015Q2!$V$10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(Credit_2015Q2!$Z$10,Credit_2015Q2!$L$10,Credit_2015Q2!$O$10,Credit_2015Q2!$R$10,Credit_2015Q2!$U$10)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11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965-46DB-949D-84C3866A356E}"/>
            </c:ext>
          </c:extLst>
        </c:ser>
        <c:ser>
          <c:idx val="3"/>
          <c:order val="3"/>
          <c:tx>
            <c:strRef>
              <c:f>Credit_2015Q2!$J$11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Credit_2015Q2!$J$11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{FCBE373E-9D04-4219-95BC-A9F7C7987295}</c15:txfldGUID>
                      <c15:f>Credit_2015Q2!$J$11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7965-46DB-949D-84C3866A356E}"/>
                </c:ext>
              </c:extLst>
            </c:dLbl>
            <c:dLbl>
              <c:idx val="1"/>
              <c:layout/>
              <c:tx>
                <c:strRef>
                  <c:f>Credit_2015Q2!$M$11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{6BE77912-5029-4B27-B577-795E58927412}</c15:txfldGUID>
                      <c15:f>Credit_2015Q2!$M$11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7965-46DB-949D-84C3866A356E}"/>
                </c:ext>
              </c:extLst>
            </c:dLbl>
            <c:dLbl>
              <c:idx val="2"/>
              <c:layout/>
              <c:tx>
                <c:strRef>
                  <c:f>Credit_2015Q2!$P$11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{0C7F263A-2FCA-49A6-9FE1-1491706DA2D4}</c15:txfldGUID>
                      <c15:f>Credit_2015Q2!$P$11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7965-46DB-949D-84C3866A356E}"/>
                </c:ext>
              </c:extLst>
            </c:dLbl>
            <c:dLbl>
              <c:idx val="3"/>
              <c:layout/>
              <c:tx>
                <c:strRef>
                  <c:f>Credit_2015Q2!$S$11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{033C534B-B08B-445E-8199-492DC6138AEF}</c15:txfldGUID>
                      <c15:f>Credit_2015Q2!$S$11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7965-46DB-949D-84C3866A356E}"/>
                </c:ext>
              </c:extLst>
            </c:dLbl>
            <c:dLbl>
              <c:idx val="4"/>
              <c:layout/>
              <c:tx>
                <c:strRef>
                  <c:f>Credit_2015Q2!$V$11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{C1EC35EE-5A49-4D72-AC8C-FBD058AD38E6}</c15:txfldGUID>
                      <c15:f>Credit_2015Q2!$V$11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(Credit_2015Q2!$Z$11,Credit_2015Q2!$L$11,Credit_2015Q2!$O$11,Credit_2015Q2!$R$11,Credit_2015Q2!$U$11)</c:f>
              <c:numCache>
                <c:formatCode>General</c:formatCode>
                <c:ptCount val="5"/>
                <c:pt idx="0">
                  <c:v>1</c:v>
                </c:pt>
                <c:pt idx="1">
                  <c:v>15</c:v>
                </c:pt>
                <c:pt idx="2">
                  <c:v>14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965-46DB-949D-84C3866A356E}"/>
            </c:ext>
          </c:extLst>
        </c:ser>
        <c:ser>
          <c:idx val="4"/>
          <c:order val="4"/>
          <c:tx>
            <c:strRef>
              <c:f>Credit_2015Q2!$J$12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layout/>
              <c:tx>
                <c:strRef>
                  <c:f>Credit_2015Q2!$J$12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{A76B2D08-29FE-4778-915D-86951A090A00}</c15:txfldGUID>
                      <c15:f>Credit_2015Q2!$J$12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7965-46DB-949D-84C3866A356E}"/>
                </c:ext>
              </c:extLst>
            </c:dLbl>
            <c:dLbl>
              <c:idx val="1"/>
              <c:layout/>
              <c:tx>
                <c:strRef>
                  <c:f>Credit_2015Q2!$M$12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{DB10AA58-E591-4D52-B62D-D308E3BF1BEC}</c15:txfldGUID>
                      <c15:f>Credit_2015Q2!$M$12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7965-46DB-949D-84C3866A356E}"/>
                </c:ext>
              </c:extLst>
            </c:dLbl>
            <c:dLbl>
              <c:idx val="2"/>
              <c:layout/>
              <c:tx>
                <c:strRef>
                  <c:f>Credit_2015Q2!$P$12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{E3A63931-5E63-490F-97A1-709A680267F6}</c15:txfldGUID>
                      <c15:f>Credit_2015Q2!$P$12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7965-46DB-949D-84C3866A356E}"/>
                </c:ext>
              </c:extLst>
            </c:dLbl>
            <c:dLbl>
              <c:idx val="3"/>
              <c:layout/>
              <c:tx>
                <c:strRef>
                  <c:f>Credit_2015Q2!$S$12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{A381CF92-F9E4-457F-8408-0D78F3180A25}</c15:txfldGUID>
                      <c15:f>Credit_2015Q2!$S$12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7965-46DB-949D-84C3866A356E}"/>
                </c:ext>
              </c:extLst>
            </c:dLbl>
            <c:dLbl>
              <c:idx val="4"/>
              <c:layout/>
              <c:tx>
                <c:strRef>
                  <c:f>Credit_2015Q2!$V$12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{428A3AC0-B316-4FE4-A190-4E0F541921BF}</c15:txfldGUID>
                      <c15:f>Credit_2015Q2!$V$12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(Credit_2015Q2!$Z$12,Credit_2015Q2!$L$12,Credit_2015Q2!$O$12,Credit_2015Q2!$R$12,Credit_2015Q2!$U$12)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965-46DB-949D-84C3866A356E}"/>
            </c:ext>
          </c:extLst>
        </c:ser>
        <c:ser>
          <c:idx val="5"/>
          <c:order val="5"/>
          <c:tx>
            <c:strRef>
              <c:f>Credit_2015Q2!$J$13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Credit_2015Q2!$J$13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{AB4AC444-6667-4F09-921D-B5A012E395DA}</c15:txfldGUID>
                      <c15:f>Credit_2015Q2!$J$13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7965-46DB-949D-84C3866A356E}"/>
                </c:ext>
              </c:extLst>
            </c:dLbl>
            <c:dLbl>
              <c:idx val="1"/>
              <c:layout/>
              <c:tx>
                <c:strRef>
                  <c:f>Credit_2015Q2!$M$13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{F9ACFF9F-D562-4717-8A44-CB4057D74B8D}</c15:txfldGUID>
                      <c15:f>Credit_2015Q2!$M$13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7965-46DB-949D-84C3866A356E}"/>
                </c:ext>
              </c:extLst>
            </c:dLbl>
            <c:dLbl>
              <c:idx val="2"/>
              <c:layout/>
              <c:tx>
                <c:strRef>
                  <c:f>Credit_2015Q2!$P$13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{36DDC0E8-1A26-43EB-A77F-BD0654AB00D5}</c15:txfldGUID>
                      <c15:f>Credit_2015Q2!$P$13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7965-46DB-949D-84C3866A356E}"/>
                </c:ext>
              </c:extLst>
            </c:dLbl>
            <c:dLbl>
              <c:idx val="3"/>
              <c:layout/>
              <c:tx>
                <c:strRef>
                  <c:f>Credit_2015Q2!$S$13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{392DB76C-0DB5-4EBE-B2A5-A8A03506AC0C}</c15:txfldGUID>
                      <c15:f>Credit_2015Q2!$S$13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7965-46DB-949D-84C3866A356E}"/>
                </c:ext>
              </c:extLst>
            </c:dLbl>
            <c:dLbl>
              <c:idx val="4"/>
              <c:layout/>
              <c:tx>
                <c:strRef>
                  <c:f>Credit_2015Q2!$V$13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{75D103B4-57C6-421E-ACDC-E586766F0900}</c15:txfldGUID>
                      <c15:f>Credit_2015Q2!$V$13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(Credit_2015Q2!$Z$13,Credit_2015Q2!$L$13,Credit_2015Q2!$O$13,Credit_2015Q2!$R$13,Credit_2015Q2!$U$13)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965-46DB-949D-84C3866A3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4109056"/>
        <c:axId val="263996160"/>
      </c:barChart>
      <c:catAx>
        <c:axId val="264109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3996160"/>
        <c:crosses val="max"/>
        <c:auto val="1"/>
        <c:lblAlgn val="ctr"/>
        <c:lblOffset val="100"/>
        <c:noMultiLvlLbl val="0"/>
      </c:catAx>
      <c:valAx>
        <c:axId val="263996160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410905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972-4BCA-B52B-60ED7F08F0D7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972-4BCA-B52B-60ED7F08F0D7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972-4BCA-B52B-60ED7F08F0D7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7972-4BCA-B52B-60ED7F08F0D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7972-4BCA-B52B-60ED7F08F0D7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7972-4BCA-B52B-60ED7F08F0D7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972-4BCA-B52B-60ED7F08F0D7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7972-4BCA-B52B-60ED7F08F0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Credit_2021Q4!$J$8:$J$13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Credit_2021Q4!$M$8:$M$13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0.20454545454545456</c:v>
                </c:pt>
                <c:pt idx="2">
                  <c:v>0.43181818181818182</c:v>
                </c:pt>
                <c:pt idx="3">
                  <c:v>0.18181818181818182</c:v>
                </c:pt>
                <c:pt idx="4">
                  <c:v>9.0909090909090912E-2</c:v>
                </c:pt>
                <c:pt idx="5">
                  <c:v>4.5454545454545456E-2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972-4BCA-B52B-60ED7F08F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D79-45FD-A492-5A3465A1F850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D79-45FD-A492-5A3465A1F850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D79-45FD-A492-5A3465A1F850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7D79-45FD-A492-5A3465A1F850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7D79-45FD-A492-5A3465A1F850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7D79-45FD-A492-5A3465A1F850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D79-45FD-A492-5A3465A1F850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7D79-45FD-A492-5A3465A1F8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Credit_2015Q1!$J$8:$J$13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Credit_2015Q1!$M$8:$M$13</c:f>
              <c:numCache>
                <c:formatCode>0%</c:formatCode>
                <c:ptCount val="6"/>
                <c:pt idx="0">
                  <c:v>3.7735849056603772E-2</c:v>
                </c:pt>
                <c:pt idx="1">
                  <c:v>0.22641509433962265</c:v>
                </c:pt>
                <c:pt idx="2">
                  <c:v>0.32075471698113206</c:v>
                </c:pt>
                <c:pt idx="3">
                  <c:v>0.30188679245283018</c:v>
                </c:pt>
                <c:pt idx="4">
                  <c:v>7.5471698113207544E-2</c:v>
                </c:pt>
                <c:pt idx="5">
                  <c:v>3.7735849056603772E-2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D79-45FD-A492-5A3465A1F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Credit_2015Q1!$J$8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Credit_2015Q1!$J$8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{49FC5C65-102A-4DB2-A6D0-0EA1FCC72B73}</c15:txfldGUID>
                      <c15:f>Credit_2015Q1!$J$8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D470-49BA-84C7-107D723FEC67}"/>
                </c:ext>
              </c:extLst>
            </c:dLbl>
            <c:dLbl>
              <c:idx val="1"/>
              <c:layout/>
              <c:tx>
                <c:strRef>
                  <c:f>Credit_2015Q1!$M$8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{59204A76-C506-496A-AB6D-B137AD3DD251}</c15:txfldGUID>
                      <c15:f>Credit_2015Q1!$M$8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D470-49BA-84C7-107D723FEC67}"/>
                </c:ext>
              </c:extLst>
            </c:dLbl>
            <c:dLbl>
              <c:idx val="2"/>
              <c:layout/>
              <c:tx>
                <c:strRef>
                  <c:f>Credit_2015Q1!$P$8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{4A8573BF-69AC-4654-9B32-DCC02E6CDE47}</c15:txfldGUID>
                      <c15:f>Credit_2015Q1!$P$8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D470-49BA-84C7-107D723FEC67}"/>
                </c:ext>
              </c:extLst>
            </c:dLbl>
            <c:dLbl>
              <c:idx val="3"/>
              <c:layout/>
              <c:tx>
                <c:strRef>
                  <c:f>Credit_2015Q1!$S$8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{FC45F430-34B7-4114-AD04-F8C5553193F5}</c15:txfldGUID>
                      <c15:f>Credit_2015Q1!$S$8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D470-49BA-84C7-107D723FEC67}"/>
                </c:ext>
              </c:extLst>
            </c:dLbl>
            <c:dLbl>
              <c:idx val="4"/>
              <c:layout/>
              <c:tx>
                <c:strRef>
                  <c:f>Credit_2015Q1!$V$8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{24BB8E32-E194-4232-9CCD-0BB680A25C41}</c15:txfldGUID>
                      <c15:f>Credit_2015Q1!$V$8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(Credit_2015Q1!$Z$8,Credit_2015Q1!$L$8,Credit_2015Q1!$O$8,Credit_2015Q1!$R$8,Credit_2015Q1!$U$8)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70-49BA-84C7-107D723FEC67}"/>
            </c:ext>
          </c:extLst>
        </c:ser>
        <c:ser>
          <c:idx val="1"/>
          <c:order val="1"/>
          <c:tx>
            <c:strRef>
              <c:f>Credit_2015Q1!$J$9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Credit_2015Q1!$J$9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{FB68A7DC-E2F8-4F61-8579-FAE455E54D07}</c15:txfldGUID>
                      <c15:f>Credit_2015Q1!$J$9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D470-49BA-84C7-107D723FEC67}"/>
                </c:ext>
              </c:extLst>
            </c:dLbl>
            <c:dLbl>
              <c:idx val="1"/>
              <c:layout/>
              <c:tx>
                <c:strRef>
                  <c:f>Credit_2015Q1!$M$9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{AEA94CB3-8050-4C12-B124-F49B2448DBA4}</c15:txfldGUID>
                      <c15:f>Credit_2015Q1!$M$9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D470-49BA-84C7-107D723FEC67}"/>
                </c:ext>
              </c:extLst>
            </c:dLbl>
            <c:dLbl>
              <c:idx val="2"/>
              <c:layout/>
              <c:tx>
                <c:strRef>
                  <c:f>Credit_2015Q1!$P$9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{9662A705-1130-46BE-8FD0-3A179268F2F1}</c15:txfldGUID>
                      <c15:f>Credit_2015Q1!$P$9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D470-49BA-84C7-107D723FEC67}"/>
                </c:ext>
              </c:extLst>
            </c:dLbl>
            <c:dLbl>
              <c:idx val="3"/>
              <c:layout/>
              <c:tx>
                <c:strRef>
                  <c:f>Credit_2015Q1!$S$9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{05290AA3-3AE8-47C2-8574-3D8E229718BD}</c15:txfldGUID>
                      <c15:f>Credit_2015Q1!$S$9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D470-49BA-84C7-107D723FEC67}"/>
                </c:ext>
              </c:extLst>
            </c:dLbl>
            <c:dLbl>
              <c:idx val="4"/>
              <c:layout/>
              <c:tx>
                <c:strRef>
                  <c:f>Credit_2015Q1!$V$9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{1AC4D96B-6C90-4303-9514-369B69B6408C}</c15:txfldGUID>
                      <c15:f>Credit_2015Q1!$V$9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(Credit_2015Q1!$Z$9,Credit_2015Q1!$L$9,Credit_2015Q1!$O$9,Credit_2015Q1!$R$9,Credit_2015Q1!$U$9)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8</c:v>
                </c:pt>
                <c:pt idx="3">
                  <c:v>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470-49BA-84C7-107D723FEC67}"/>
            </c:ext>
          </c:extLst>
        </c:ser>
        <c:ser>
          <c:idx val="2"/>
          <c:order val="2"/>
          <c:tx>
            <c:strRef>
              <c:f>Credit_2015Q1!$J$10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Credit_2015Q1!$J$10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{BCFA80EE-9D5F-4A9D-9513-133F78BC4D92}</c15:txfldGUID>
                      <c15:f>Credit_2015Q1!$J$10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D470-49BA-84C7-107D723FEC67}"/>
                </c:ext>
              </c:extLst>
            </c:dLbl>
            <c:dLbl>
              <c:idx val="1"/>
              <c:layout/>
              <c:tx>
                <c:strRef>
                  <c:f>Credit_2015Q1!$M$10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{25B48658-4F3D-4E51-A779-BCF7ACF13757}</c15:txfldGUID>
                      <c15:f>Credit_2015Q1!$M$10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D470-49BA-84C7-107D723FEC67}"/>
                </c:ext>
              </c:extLst>
            </c:dLbl>
            <c:dLbl>
              <c:idx val="2"/>
              <c:layout/>
              <c:tx>
                <c:strRef>
                  <c:f>Credit_2015Q1!$P$10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{C8408A4A-2B93-485F-A7A6-B575F47BDD1D}</c15:txfldGUID>
                      <c15:f>Credit_2015Q1!$P$10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D470-49BA-84C7-107D723FEC67}"/>
                </c:ext>
              </c:extLst>
            </c:dLbl>
            <c:dLbl>
              <c:idx val="3"/>
              <c:layout/>
              <c:tx>
                <c:strRef>
                  <c:f>Credit_2015Q1!$S$10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{35A88F2A-2A5B-4BCA-B505-B3DC78A6E325}</c15:txfldGUID>
                      <c15:f>Credit_2015Q1!$S$10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D470-49BA-84C7-107D723FEC67}"/>
                </c:ext>
              </c:extLst>
            </c:dLbl>
            <c:dLbl>
              <c:idx val="4"/>
              <c:layout/>
              <c:tx>
                <c:strRef>
                  <c:f>Credit_2015Q1!$V$10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{24B56722-AF6C-4AB0-92CD-990BE632F544}</c15:txfldGUID>
                      <c15:f>Credit_2015Q1!$V$10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(Credit_2015Q1!$Z$10,Credit_2015Q1!$L$10,Credit_2015Q1!$O$10,Credit_2015Q1!$R$10,Credit_2015Q1!$U$10)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12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470-49BA-84C7-107D723FEC67}"/>
            </c:ext>
          </c:extLst>
        </c:ser>
        <c:ser>
          <c:idx val="3"/>
          <c:order val="3"/>
          <c:tx>
            <c:strRef>
              <c:f>Credit_2015Q1!$J$11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Credit_2015Q1!$J$11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{4C4A3AA0-37A6-4F5F-BE80-3410F243B198}</c15:txfldGUID>
                      <c15:f>Credit_2015Q1!$J$11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D470-49BA-84C7-107D723FEC67}"/>
                </c:ext>
              </c:extLst>
            </c:dLbl>
            <c:dLbl>
              <c:idx val="1"/>
              <c:layout/>
              <c:tx>
                <c:strRef>
                  <c:f>Credit_2015Q1!$M$11</c:f>
                  <c:strCache>
                    <c:ptCount val="1"/>
                    <c:pt idx="0">
                      <c:v>30%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{75150100-BA14-4C0E-9409-B13F9ABDC755}</c15:txfldGUID>
                      <c15:f>Credit_2015Q1!$M$11</c15:f>
                      <c15:dlblFieldTableCache>
                        <c:ptCount val="1"/>
                        <c:pt idx="0">
                          <c:v>30%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D470-49BA-84C7-107D723FEC67}"/>
                </c:ext>
              </c:extLst>
            </c:dLbl>
            <c:dLbl>
              <c:idx val="2"/>
              <c:layout/>
              <c:tx>
                <c:strRef>
                  <c:f>Credit_2015Q1!$P$11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{4B941AF7-E8F6-406A-BFF4-2D31942FF0B6}</c15:txfldGUID>
                      <c15:f>Credit_2015Q1!$P$11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D470-49BA-84C7-107D723FEC67}"/>
                </c:ext>
              </c:extLst>
            </c:dLbl>
            <c:dLbl>
              <c:idx val="3"/>
              <c:layout/>
              <c:tx>
                <c:strRef>
                  <c:f>Credit_2015Q1!$S$11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{1B96AEDE-8262-4F05-AB98-004314265487}</c15:txfldGUID>
                      <c15:f>Credit_2015Q1!$S$11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D470-49BA-84C7-107D723FEC67}"/>
                </c:ext>
              </c:extLst>
            </c:dLbl>
            <c:dLbl>
              <c:idx val="4"/>
              <c:layout/>
              <c:tx>
                <c:strRef>
                  <c:f>Credit_2015Q1!$V$11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{428C6C7A-BA52-4CFE-BDD0-AD3E051C3E2F}</c15:txfldGUID>
                      <c15:f>Credit_2015Q1!$V$11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(Credit_2015Q1!$Z$11,Credit_2015Q1!$L$11,Credit_2015Q1!$O$11,Credit_2015Q1!$R$11,Credit_2015Q1!$U$11)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14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470-49BA-84C7-107D723FEC67}"/>
            </c:ext>
          </c:extLst>
        </c:ser>
        <c:ser>
          <c:idx val="4"/>
          <c:order val="4"/>
          <c:tx>
            <c:strRef>
              <c:f>Credit_2015Q1!$J$12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layout/>
              <c:tx>
                <c:strRef>
                  <c:f>Credit_2015Q1!$J$12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{B14BA12A-33CC-4C6B-8898-69B238B57765}</c15:txfldGUID>
                      <c15:f>Credit_2015Q1!$J$12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D470-49BA-84C7-107D723FEC67}"/>
                </c:ext>
              </c:extLst>
            </c:dLbl>
            <c:dLbl>
              <c:idx val="1"/>
              <c:layout/>
              <c:tx>
                <c:strRef>
                  <c:f>Credit_2015Q1!$M$12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{7C615520-799E-43AC-9719-8612FD561476}</c15:txfldGUID>
                      <c15:f>Credit_2015Q1!$M$12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D470-49BA-84C7-107D723FEC67}"/>
                </c:ext>
              </c:extLst>
            </c:dLbl>
            <c:dLbl>
              <c:idx val="2"/>
              <c:layout/>
              <c:tx>
                <c:strRef>
                  <c:f>Credit_2015Q1!$P$12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{6B18708E-3E6E-428B-9D2D-DB096A54F752}</c15:txfldGUID>
                      <c15:f>Credit_2015Q1!$P$12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D470-49BA-84C7-107D723FEC67}"/>
                </c:ext>
              </c:extLst>
            </c:dLbl>
            <c:dLbl>
              <c:idx val="3"/>
              <c:layout/>
              <c:tx>
                <c:strRef>
                  <c:f>Credit_2015Q1!$S$12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{3A47DA53-2D03-4326-91E9-8368D4438A27}</c15:txfldGUID>
                      <c15:f>Credit_2015Q1!$S$12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D470-49BA-84C7-107D723FEC67}"/>
                </c:ext>
              </c:extLst>
            </c:dLbl>
            <c:dLbl>
              <c:idx val="4"/>
              <c:layout/>
              <c:tx>
                <c:strRef>
                  <c:f>Credit_2015Q1!$V$12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{E4228169-09F7-438C-86B3-C799D46F2E37}</c15:txfldGUID>
                      <c15:f>Credit_2015Q1!$V$12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(Credit_2015Q1!$Z$12,Credit_2015Q1!$L$12,Credit_2015Q1!$O$12,Credit_2015Q1!$R$12,Credit_2015Q1!$U$12)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470-49BA-84C7-107D723FEC67}"/>
            </c:ext>
          </c:extLst>
        </c:ser>
        <c:ser>
          <c:idx val="5"/>
          <c:order val="5"/>
          <c:tx>
            <c:strRef>
              <c:f>Credit_2015Q1!$J$13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Credit_2015Q1!$J$13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{4B9A1AE3-4D75-447F-8FC6-8EBC0A894679}</c15:txfldGUID>
                      <c15:f>Credit_2015Q1!$J$13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D470-49BA-84C7-107D723FEC67}"/>
                </c:ext>
              </c:extLst>
            </c:dLbl>
            <c:dLbl>
              <c:idx val="1"/>
              <c:layout/>
              <c:tx>
                <c:strRef>
                  <c:f>Credit_2015Q1!$M$13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{7007DB14-E001-4C0B-96EE-6CFA8D230A0E}</c15:txfldGUID>
                      <c15:f>Credit_2015Q1!$M$13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D470-49BA-84C7-107D723FEC67}"/>
                </c:ext>
              </c:extLst>
            </c:dLbl>
            <c:dLbl>
              <c:idx val="2"/>
              <c:layout/>
              <c:tx>
                <c:strRef>
                  <c:f>Credit_2015Q1!$P$13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{1130F34F-24FA-4229-91B7-0A7E19402BAD}</c15:txfldGUID>
                      <c15:f>Credit_2015Q1!$P$13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D470-49BA-84C7-107D723FEC67}"/>
                </c:ext>
              </c:extLst>
            </c:dLbl>
            <c:dLbl>
              <c:idx val="3"/>
              <c:layout/>
              <c:tx>
                <c:strRef>
                  <c:f>Credit_2015Q1!$S$13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{DA0B99DF-A410-4215-847F-195B0A49B032}</c15:txfldGUID>
                      <c15:f>Credit_2015Q1!$S$13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D470-49BA-84C7-107D723FEC67}"/>
                </c:ext>
              </c:extLst>
            </c:dLbl>
            <c:dLbl>
              <c:idx val="4"/>
              <c:layout/>
              <c:tx>
                <c:strRef>
                  <c:f>Credit_2015Q1!$V$13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{E64E44EE-7B72-49B0-8231-D8614A374379}</c15:txfldGUID>
                      <c15:f>Credit_2015Q1!$V$13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(Credit_2015Q1!$Z$13,Credit_2015Q1!$L$13,Credit_2015Q1!$O$13,Credit_2015Q1!$R$13,Credit_2015Q1!$U$13)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470-49BA-84C7-107D723FE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3958912"/>
        <c:axId val="263960448"/>
      </c:barChart>
      <c:catAx>
        <c:axId val="263958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3960448"/>
        <c:crosses val="max"/>
        <c:auto val="1"/>
        <c:lblAlgn val="ctr"/>
        <c:lblOffset val="100"/>
        <c:noMultiLvlLbl val="0"/>
      </c:catAx>
      <c:valAx>
        <c:axId val="26396044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395891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A71-4BD2-A998-567EFFFC7B52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A71-4BD2-A998-567EFFFC7B52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A71-4BD2-A998-567EFFFC7B52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6A71-4BD2-A998-567EFFFC7B52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6A71-4BD2-A998-567EFFFC7B52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6A71-4BD2-A998-567EFFFC7B52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A71-4BD2-A998-567EFFFC7B52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6A71-4BD2-A998-567EFFFC7B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Credit_2014Q4!$J$8:$J$13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Credit_2014Q4!$M$8:$M$13</c:f>
              <c:numCache>
                <c:formatCode>0%</c:formatCode>
                <c:ptCount val="6"/>
                <c:pt idx="0">
                  <c:v>3.7735849056603772E-2</c:v>
                </c:pt>
                <c:pt idx="1">
                  <c:v>0.22641509433962265</c:v>
                </c:pt>
                <c:pt idx="2">
                  <c:v>0.32075471698113206</c:v>
                </c:pt>
                <c:pt idx="3">
                  <c:v>0.30188679245283018</c:v>
                </c:pt>
                <c:pt idx="4">
                  <c:v>7.5471698113207544E-2</c:v>
                </c:pt>
                <c:pt idx="5">
                  <c:v>3.7735849056603772E-2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A71-4BD2-A998-567EFFFC7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Credit_2014Q4!$J$8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Credit_2014Q4!$J$8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{698F6D52-F929-4ABD-B134-DDDCE08312CB}</c15:txfldGUID>
                      <c15:f>Credit_2014Q4!$J$8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C3A2-4B95-BF06-541250AC758B}"/>
                </c:ext>
              </c:extLst>
            </c:dLbl>
            <c:dLbl>
              <c:idx val="1"/>
              <c:layout/>
              <c:tx>
                <c:strRef>
                  <c:f>Credit_2014Q4!$M$8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{575762A1-3EED-43E3-86A6-FB28C5358809}</c15:txfldGUID>
                      <c15:f>Credit_2014Q4!$M$8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C3A2-4B95-BF06-541250AC758B}"/>
                </c:ext>
              </c:extLst>
            </c:dLbl>
            <c:dLbl>
              <c:idx val="2"/>
              <c:layout/>
              <c:tx>
                <c:strRef>
                  <c:f>Credit_2014Q4!$P$8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{D081FE3B-BB0A-4D11-8FE2-00651705CEC4}</c15:txfldGUID>
                      <c15:f>Credit_2014Q4!$P$8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C3A2-4B95-BF06-541250AC758B}"/>
                </c:ext>
              </c:extLst>
            </c:dLbl>
            <c:dLbl>
              <c:idx val="3"/>
              <c:layout/>
              <c:tx>
                <c:strRef>
                  <c:f>Credit_2014Q4!$S$8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{56AE700D-125F-45F2-A050-571ED7386C83}</c15:txfldGUID>
                      <c15:f>Credit_2014Q4!$S$8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C3A2-4B95-BF06-541250AC758B}"/>
                </c:ext>
              </c:extLst>
            </c:dLbl>
            <c:dLbl>
              <c:idx val="4"/>
              <c:layout/>
              <c:tx>
                <c:strRef>
                  <c:f>Credit_2014Q4!$V$8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{B4350DCB-43D8-4DB0-914E-623A2DCFDA2D}</c15:txfldGUID>
                      <c15:f>Credit_2014Q4!$V$8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(Credit_2014Q4!$Z$8,Credit_2014Q4!$L$8,Credit_2014Q4!$O$8,Credit_2014Q4!$R$8,Credit_2014Q4!$U$8)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A2-4B95-BF06-541250AC758B}"/>
            </c:ext>
          </c:extLst>
        </c:ser>
        <c:ser>
          <c:idx val="1"/>
          <c:order val="1"/>
          <c:tx>
            <c:strRef>
              <c:f>Credit_2014Q4!$J$9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Credit_2014Q4!$J$9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{839B5B87-3644-4227-953D-6EDD4B3E2148}</c15:txfldGUID>
                      <c15:f>Credit_2014Q4!$J$9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C3A2-4B95-BF06-541250AC758B}"/>
                </c:ext>
              </c:extLst>
            </c:dLbl>
            <c:dLbl>
              <c:idx val="1"/>
              <c:layout/>
              <c:tx>
                <c:strRef>
                  <c:f>Credit_2014Q4!$M$9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{E3E86F1E-902E-477D-8622-8D6FC2157FD7}</c15:txfldGUID>
                      <c15:f>Credit_2014Q4!$M$9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C3A2-4B95-BF06-541250AC758B}"/>
                </c:ext>
              </c:extLst>
            </c:dLbl>
            <c:dLbl>
              <c:idx val="2"/>
              <c:layout/>
              <c:tx>
                <c:strRef>
                  <c:f>Credit_2014Q4!$P$9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{A7DFB401-942F-4726-98C9-B41E8A052B4B}</c15:txfldGUID>
                      <c15:f>Credit_2014Q4!$P$9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C3A2-4B95-BF06-541250AC758B}"/>
                </c:ext>
              </c:extLst>
            </c:dLbl>
            <c:dLbl>
              <c:idx val="3"/>
              <c:layout/>
              <c:tx>
                <c:strRef>
                  <c:f>Credit_2014Q4!$S$9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{4064485F-C586-4941-AD7C-2AF56FB2E69E}</c15:txfldGUID>
                      <c15:f>Credit_2014Q4!$S$9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C3A2-4B95-BF06-541250AC758B}"/>
                </c:ext>
              </c:extLst>
            </c:dLbl>
            <c:dLbl>
              <c:idx val="4"/>
              <c:layout/>
              <c:tx>
                <c:strRef>
                  <c:f>Credit_2014Q4!$V$9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{2D29E9CD-C18A-4EFC-9394-827B6875AD76}</c15:txfldGUID>
                      <c15:f>Credit_2014Q4!$V$9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(Credit_2014Q4!$Z$9,Credit_2014Q4!$L$9,Credit_2014Q4!$O$9,Credit_2014Q4!$R$9,Credit_2014Q4!$U$9)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8</c:v>
                </c:pt>
                <c:pt idx="3">
                  <c:v>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3A2-4B95-BF06-541250AC758B}"/>
            </c:ext>
          </c:extLst>
        </c:ser>
        <c:ser>
          <c:idx val="2"/>
          <c:order val="2"/>
          <c:tx>
            <c:strRef>
              <c:f>Credit_2014Q4!$J$10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Credit_2014Q4!$J$10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{94346C83-F0A6-4AB9-B182-2642BDD486D7}</c15:txfldGUID>
                      <c15:f>Credit_2014Q4!$J$10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C3A2-4B95-BF06-541250AC758B}"/>
                </c:ext>
              </c:extLst>
            </c:dLbl>
            <c:dLbl>
              <c:idx val="1"/>
              <c:layout/>
              <c:tx>
                <c:strRef>
                  <c:f>Credit_2014Q4!$M$10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{103EAA72-0047-462F-8EB4-4E2DB145A0D7}</c15:txfldGUID>
                      <c15:f>Credit_2014Q4!$M$10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C3A2-4B95-BF06-541250AC758B}"/>
                </c:ext>
              </c:extLst>
            </c:dLbl>
            <c:dLbl>
              <c:idx val="2"/>
              <c:layout/>
              <c:tx>
                <c:strRef>
                  <c:f>Credit_2014Q4!$P$10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{B2E2BCA5-79B1-4834-A1E2-5940AC6EED5F}</c15:txfldGUID>
                      <c15:f>Credit_2014Q4!$P$10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C3A2-4B95-BF06-541250AC758B}"/>
                </c:ext>
              </c:extLst>
            </c:dLbl>
            <c:dLbl>
              <c:idx val="3"/>
              <c:layout/>
              <c:tx>
                <c:strRef>
                  <c:f>Credit_2014Q4!$S$10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{F2364615-17EA-4177-B7DC-AFFD2EAC8C5B}</c15:txfldGUID>
                      <c15:f>Credit_2014Q4!$S$10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C3A2-4B95-BF06-541250AC758B}"/>
                </c:ext>
              </c:extLst>
            </c:dLbl>
            <c:dLbl>
              <c:idx val="4"/>
              <c:layout/>
              <c:tx>
                <c:strRef>
                  <c:f>Credit_2014Q4!$V$10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{57E68A20-A42B-46A1-BFAD-2BFECFCEB1F5}</c15:txfldGUID>
                      <c15:f>Credit_2014Q4!$V$10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(Credit_2014Q4!$Z$10,Credit_2014Q4!$L$10,Credit_2014Q4!$O$10,Credit_2014Q4!$R$10,Credit_2014Q4!$U$10)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12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3A2-4B95-BF06-541250AC758B}"/>
            </c:ext>
          </c:extLst>
        </c:ser>
        <c:ser>
          <c:idx val="3"/>
          <c:order val="3"/>
          <c:tx>
            <c:strRef>
              <c:f>Credit_2014Q4!$J$11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Credit_2014Q4!$J$11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{E3EF1279-80E3-46DD-93A6-6A7649EB1968}</c15:txfldGUID>
                      <c15:f>Credit_2014Q4!$J$11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C3A2-4B95-BF06-541250AC758B}"/>
                </c:ext>
              </c:extLst>
            </c:dLbl>
            <c:dLbl>
              <c:idx val="1"/>
              <c:layout/>
              <c:tx>
                <c:strRef>
                  <c:f>Credit_2014Q4!$M$11</c:f>
                  <c:strCache>
                    <c:ptCount val="1"/>
                    <c:pt idx="0">
                      <c:v>30%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{C04E9837-1F92-42F9-A604-B19769CB6170}</c15:txfldGUID>
                      <c15:f>Credit_2014Q4!$M$11</c15:f>
                      <c15:dlblFieldTableCache>
                        <c:ptCount val="1"/>
                        <c:pt idx="0">
                          <c:v>30%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C3A2-4B95-BF06-541250AC758B}"/>
                </c:ext>
              </c:extLst>
            </c:dLbl>
            <c:dLbl>
              <c:idx val="2"/>
              <c:layout/>
              <c:tx>
                <c:strRef>
                  <c:f>Credit_2014Q4!$P$11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{CA404F55-2490-43E2-A886-5B7ABA830583}</c15:txfldGUID>
                      <c15:f>Credit_2014Q4!$P$11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C3A2-4B95-BF06-541250AC758B}"/>
                </c:ext>
              </c:extLst>
            </c:dLbl>
            <c:dLbl>
              <c:idx val="3"/>
              <c:layout/>
              <c:tx>
                <c:strRef>
                  <c:f>Credit_2014Q4!$S$11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{DD30D34B-67FA-42BE-BA5B-6C78B74DAFA6}</c15:txfldGUID>
                      <c15:f>Credit_2014Q4!$S$11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C3A2-4B95-BF06-541250AC758B}"/>
                </c:ext>
              </c:extLst>
            </c:dLbl>
            <c:dLbl>
              <c:idx val="4"/>
              <c:layout/>
              <c:tx>
                <c:strRef>
                  <c:f>Credit_2014Q4!$V$11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{70D031A3-5ADB-4109-ABE1-90076022F99C}</c15:txfldGUID>
                      <c15:f>Credit_2014Q4!$V$11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(Credit_2014Q4!$Z$11,Credit_2014Q4!$L$11,Credit_2014Q4!$O$11,Credit_2014Q4!$R$11,Credit_2014Q4!$U$11)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14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3A2-4B95-BF06-541250AC758B}"/>
            </c:ext>
          </c:extLst>
        </c:ser>
        <c:ser>
          <c:idx val="4"/>
          <c:order val="4"/>
          <c:tx>
            <c:strRef>
              <c:f>Credit_2014Q4!$J$12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layout/>
              <c:tx>
                <c:strRef>
                  <c:f>Credit_2014Q4!$J$12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{BB1C66D9-BE02-43D6-9652-B289472D4922}</c15:txfldGUID>
                      <c15:f>Credit_2014Q4!$J$12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C3A2-4B95-BF06-541250AC758B}"/>
                </c:ext>
              </c:extLst>
            </c:dLbl>
            <c:dLbl>
              <c:idx val="1"/>
              <c:layout/>
              <c:tx>
                <c:strRef>
                  <c:f>Credit_2014Q4!$M$12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{339D15BB-6962-451B-97C1-B8EA2CBDE9E1}</c15:txfldGUID>
                      <c15:f>Credit_2014Q4!$M$12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C3A2-4B95-BF06-541250AC758B}"/>
                </c:ext>
              </c:extLst>
            </c:dLbl>
            <c:dLbl>
              <c:idx val="2"/>
              <c:layout/>
              <c:tx>
                <c:strRef>
                  <c:f>Credit_2014Q4!$P$12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{71C39943-B380-4E92-9825-4D67A40EE52C}</c15:txfldGUID>
                      <c15:f>Credit_2014Q4!$P$12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C3A2-4B95-BF06-541250AC758B}"/>
                </c:ext>
              </c:extLst>
            </c:dLbl>
            <c:dLbl>
              <c:idx val="3"/>
              <c:layout/>
              <c:tx>
                <c:strRef>
                  <c:f>Credit_2014Q4!$S$12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{C2D8FFB6-4A4F-4A98-8841-C8EB052D0D10}</c15:txfldGUID>
                      <c15:f>Credit_2014Q4!$S$12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C3A2-4B95-BF06-541250AC758B}"/>
                </c:ext>
              </c:extLst>
            </c:dLbl>
            <c:dLbl>
              <c:idx val="4"/>
              <c:layout/>
              <c:tx>
                <c:strRef>
                  <c:f>Credit_2014Q4!$V$12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{412B415E-9110-4B41-B1BF-AEECADF7233F}</c15:txfldGUID>
                      <c15:f>Credit_2014Q4!$V$12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(Credit_2014Q4!$Z$12,Credit_2014Q4!$L$12,Credit_2014Q4!$O$12,Credit_2014Q4!$R$12,Credit_2014Q4!$U$12)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3A2-4B95-BF06-541250AC758B}"/>
            </c:ext>
          </c:extLst>
        </c:ser>
        <c:ser>
          <c:idx val="5"/>
          <c:order val="5"/>
          <c:tx>
            <c:strRef>
              <c:f>Credit_2014Q4!$J$13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Credit_2014Q4!$J$13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{BF2686F8-95FE-45F5-B1DA-3B6F1E4B8F6A}</c15:txfldGUID>
                      <c15:f>Credit_2014Q4!$J$13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C3A2-4B95-BF06-541250AC758B}"/>
                </c:ext>
              </c:extLst>
            </c:dLbl>
            <c:dLbl>
              <c:idx val="1"/>
              <c:layout/>
              <c:tx>
                <c:strRef>
                  <c:f>Credit_2014Q4!$M$13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{1BDF2230-8024-448F-B5D8-205C7BF49263}</c15:txfldGUID>
                      <c15:f>Credit_2014Q4!$M$13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C3A2-4B95-BF06-541250AC758B}"/>
                </c:ext>
              </c:extLst>
            </c:dLbl>
            <c:dLbl>
              <c:idx val="2"/>
              <c:layout/>
              <c:tx>
                <c:strRef>
                  <c:f>Credit_2014Q4!$P$13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{66219EB0-AE4F-49C7-98F7-4E3BFF680E4F}</c15:txfldGUID>
                      <c15:f>Credit_2014Q4!$P$13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C3A2-4B95-BF06-541250AC758B}"/>
                </c:ext>
              </c:extLst>
            </c:dLbl>
            <c:dLbl>
              <c:idx val="3"/>
              <c:layout/>
              <c:tx>
                <c:strRef>
                  <c:f>Credit_2014Q4!$S$13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{7D99F67E-2928-46D2-B6FD-D4643FA802C3}</c15:txfldGUID>
                      <c15:f>Credit_2014Q4!$S$13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C3A2-4B95-BF06-541250AC758B}"/>
                </c:ext>
              </c:extLst>
            </c:dLbl>
            <c:dLbl>
              <c:idx val="4"/>
              <c:layout/>
              <c:tx>
                <c:strRef>
                  <c:f>Credit_2014Q4!$V$13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{F90590B5-D3A9-48EC-88D0-4E86C54555D1}</c15:txfldGUID>
                      <c15:f>Credit_2014Q4!$V$13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(Credit_2014Q4!$Z$13,Credit_2014Q4!$L$13,Credit_2014Q4!$O$13,Credit_2014Q4!$R$13,Credit_2014Q4!$U$13)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C3A2-4B95-BF06-541250AC7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4721536"/>
        <c:axId val="264723072"/>
      </c:barChart>
      <c:catAx>
        <c:axId val="264721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4723072"/>
        <c:crosses val="max"/>
        <c:auto val="1"/>
        <c:lblAlgn val="ctr"/>
        <c:lblOffset val="100"/>
        <c:noMultiLvlLbl val="0"/>
      </c:catAx>
      <c:valAx>
        <c:axId val="264723072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47215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E7CE-4BF1-940A-8DA56AD4DF8B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7CE-4BF1-940A-8DA56AD4DF8B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E7CE-4BF1-940A-8DA56AD4DF8B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E7CE-4BF1-940A-8DA56AD4DF8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E7CE-4BF1-940A-8DA56AD4DF8B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E7CE-4BF1-940A-8DA56AD4DF8B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7CE-4BF1-940A-8DA56AD4DF8B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7CE-4BF1-940A-8DA56AD4DF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Credit_2014Q3!$J$8:$J$13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Credit_2014Q3!$M$8:$M$13</c:f>
              <c:numCache>
                <c:formatCode>0%</c:formatCode>
                <c:ptCount val="6"/>
                <c:pt idx="0">
                  <c:v>3.7735849056603772E-2</c:v>
                </c:pt>
                <c:pt idx="1">
                  <c:v>0.22641509433962265</c:v>
                </c:pt>
                <c:pt idx="2">
                  <c:v>0.28301886792452829</c:v>
                </c:pt>
                <c:pt idx="3">
                  <c:v>0.33962264150943394</c:v>
                </c:pt>
                <c:pt idx="4">
                  <c:v>7.5471698113207544E-2</c:v>
                </c:pt>
                <c:pt idx="5">
                  <c:v>3.7735849056603772E-2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7CE-4BF1-940A-8DA56AD4D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Credit_2014Q3!$J$8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Credit_2014Q3!$J$8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{9CF9E6A2-CAE3-4498-8A2F-B4C582A2229D}</c15:txfldGUID>
                      <c15:f>Credit_2014Q3!$J$8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7868-4224-836D-9A1A72DF0ABC}"/>
                </c:ext>
              </c:extLst>
            </c:dLbl>
            <c:dLbl>
              <c:idx val="1"/>
              <c:layout/>
              <c:tx>
                <c:strRef>
                  <c:f>Credit_2014Q3!$M$8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{BA9CCF0D-CF32-494F-BEF6-A221A0FB0315}</c15:txfldGUID>
                      <c15:f>Credit_2014Q3!$M$8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7868-4224-836D-9A1A72DF0ABC}"/>
                </c:ext>
              </c:extLst>
            </c:dLbl>
            <c:dLbl>
              <c:idx val="2"/>
              <c:layout/>
              <c:tx>
                <c:strRef>
                  <c:f>Credit_2014Q3!$P$8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{7CAEF6B4-1F07-48EE-8FA5-B799BFD771AF}</c15:txfldGUID>
                      <c15:f>Credit_2014Q3!$P$8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7868-4224-836D-9A1A72DF0ABC}"/>
                </c:ext>
              </c:extLst>
            </c:dLbl>
            <c:dLbl>
              <c:idx val="3"/>
              <c:layout/>
              <c:tx>
                <c:strRef>
                  <c:f>Credit_2014Q3!$S$8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{9E0696F2-F8FD-43DF-922D-3D6DE64D87BD}</c15:txfldGUID>
                      <c15:f>Credit_2014Q3!$S$8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7868-4224-836D-9A1A72DF0ABC}"/>
                </c:ext>
              </c:extLst>
            </c:dLbl>
            <c:dLbl>
              <c:idx val="4"/>
              <c:layout/>
              <c:tx>
                <c:strRef>
                  <c:f>Credit_2014Q3!$V$8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{FCCBB64E-6C3B-4764-94F8-DBDEAA63728E}</c15:txfldGUID>
                      <c15:f>Credit_2014Q3!$V$8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(Credit_2014Q3!$Z$8,Credit_2014Q3!$L$8,Credit_2014Q3!$O$8,Credit_2014Q3!$R$8,Credit_2014Q3!$U$8)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868-4224-836D-9A1A72DF0ABC}"/>
            </c:ext>
          </c:extLst>
        </c:ser>
        <c:ser>
          <c:idx val="1"/>
          <c:order val="1"/>
          <c:tx>
            <c:strRef>
              <c:f>Credit_2014Q3!$J$9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Credit_2014Q3!$J$9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{DCCEDDE1-7D98-4EEC-9111-972267C10146}</c15:txfldGUID>
                      <c15:f>Credit_2014Q3!$J$9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7868-4224-836D-9A1A72DF0ABC}"/>
                </c:ext>
              </c:extLst>
            </c:dLbl>
            <c:dLbl>
              <c:idx val="1"/>
              <c:layout/>
              <c:tx>
                <c:strRef>
                  <c:f>Credit_2014Q3!$M$9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{55120C9D-4F36-4FBE-B245-E7A53C44D67E}</c15:txfldGUID>
                      <c15:f>Credit_2014Q3!$M$9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7868-4224-836D-9A1A72DF0ABC}"/>
                </c:ext>
              </c:extLst>
            </c:dLbl>
            <c:dLbl>
              <c:idx val="2"/>
              <c:layout/>
              <c:tx>
                <c:strRef>
                  <c:f>Credit_2014Q3!$P$9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{0BCC0108-3955-4492-AB35-2B64FCE2C692}</c15:txfldGUID>
                      <c15:f>Credit_2014Q3!$P$9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7868-4224-836D-9A1A72DF0ABC}"/>
                </c:ext>
              </c:extLst>
            </c:dLbl>
            <c:dLbl>
              <c:idx val="3"/>
              <c:layout/>
              <c:tx>
                <c:strRef>
                  <c:f>Credit_2014Q3!$S$9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{D1D19FFC-3B62-4DE9-9B1F-A4DFFAB51BF6}</c15:txfldGUID>
                      <c15:f>Credit_2014Q3!$S$9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7868-4224-836D-9A1A72DF0ABC}"/>
                </c:ext>
              </c:extLst>
            </c:dLbl>
            <c:dLbl>
              <c:idx val="4"/>
              <c:layout/>
              <c:tx>
                <c:strRef>
                  <c:f>Credit_2014Q3!$V$9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{D9B5135F-B98C-476D-9CE7-C83BDEC18205}</c15:txfldGUID>
                      <c15:f>Credit_2014Q3!$V$9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(Credit_2014Q3!$Z$9,Credit_2014Q3!$L$9,Credit_2014Q3!$O$9,Credit_2014Q3!$R$9,Credit_2014Q3!$U$9)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8</c:v>
                </c:pt>
                <c:pt idx="3">
                  <c:v>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868-4224-836D-9A1A72DF0ABC}"/>
            </c:ext>
          </c:extLst>
        </c:ser>
        <c:ser>
          <c:idx val="2"/>
          <c:order val="2"/>
          <c:tx>
            <c:strRef>
              <c:f>Credit_2014Q3!$J$10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Credit_2014Q3!$J$10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{1DF0CDBC-EA5B-43D3-AF24-7026394F0BFF}</c15:txfldGUID>
                      <c15:f>Credit_2014Q3!$J$10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7868-4224-836D-9A1A72DF0ABC}"/>
                </c:ext>
              </c:extLst>
            </c:dLbl>
            <c:dLbl>
              <c:idx val="1"/>
              <c:layout/>
              <c:tx>
                <c:strRef>
                  <c:f>Credit_2014Q3!$M$10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{F4AD90AF-4B04-4AA2-803A-567A2D6DFCAD}</c15:txfldGUID>
                      <c15:f>Credit_2014Q3!$M$10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7868-4224-836D-9A1A72DF0ABC}"/>
                </c:ext>
              </c:extLst>
            </c:dLbl>
            <c:dLbl>
              <c:idx val="2"/>
              <c:layout/>
              <c:tx>
                <c:strRef>
                  <c:f>Credit_2014Q3!$P$10</c:f>
                  <c:strCache>
                    <c:ptCount val="1"/>
                    <c:pt idx="0">
                      <c:v>26%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{4CB97368-19AC-4A48-95A1-A9164E522A02}</c15:txfldGUID>
                      <c15:f>Credit_2014Q3!$P$10</c15:f>
                      <c15:dlblFieldTableCache>
                        <c:ptCount val="1"/>
                        <c:pt idx="0">
                          <c:v>26%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7868-4224-836D-9A1A72DF0ABC}"/>
                </c:ext>
              </c:extLst>
            </c:dLbl>
            <c:dLbl>
              <c:idx val="3"/>
              <c:layout/>
              <c:tx>
                <c:strRef>
                  <c:f>Credit_2014Q3!$S$10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{C6EF2232-5989-4D63-80D8-6017791FCC49}</c15:txfldGUID>
                      <c15:f>Credit_2014Q3!$S$10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7868-4224-836D-9A1A72DF0ABC}"/>
                </c:ext>
              </c:extLst>
            </c:dLbl>
            <c:dLbl>
              <c:idx val="4"/>
              <c:layout/>
              <c:tx>
                <c:strRef>
                  <c:f>Credit_2014Q3!$V$10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{1EA6D31E-9E24-4886-9906-03D4F09C1A1E}</c15:txfldGUID>
                      <c15:f>Credit_2014Q3!$V$10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(Credit_2014Q3!$Z$10,Credit_2014Q3!$L$10,Credit_2014Q3!$O$10,Credit_2014Q3!$R$10,Credit_2014Q3!$U$10)</c:f>
              <c:numCache>
                <c:formatCode>General</c:formatCode>
                <c:ptCount val="5"/>
                <c:pt idx="0">
                  <c:v>1</c:v>
                </c:pt>
                <c:pt idx="1">
                  <c:v>15</c:v>
                </c:pt>
                <c:pt idx="2">
                  <c:v>10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868-4224-836D-9A1A72DF0ABC}"/>
            </c:ext>
          </c:extLst>
        </c:ser>
        <c:ser>
          <c:idx val="3"/>
          <c:order val="3"/>
          <c:tx>
            <c:strRef>
              <c:f>Credit_2014Q3!$J$11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Credit_2014Q3!$J$11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{32167A62-D6DD-4B97-B916-616B22413FF2}</c15:txfldGUID>
                      <c15:f>Credit_2014Q3!$J$11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7868-4224-836D-9A1A72DF0ABC}"/>
                </c:ext>
              </c:extLst>
            </c:dLbl>
            <c:dLbl>
              <c:idx val="1"/>
              <c:layout/>
              <c:tx>
                <c:strRef>
                  <c:f>Credit_2014Q3!$M$11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{933E087F-C82A-4F00-B760-B55E4A0757FA}</c15:txfldGUID>
                      <c15:f>Credit_2014Q3!$M$11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7868-4224-836D-9A1A72DF0ABC}"/>
                </c:ext>
              </c:extLst>
            </c:dLbl>
            <c:dLbl>
              <c:idx val="2"/>
              <c:layout/>
              <c:tx>
                <c:strRef>
                  <c:f>Credit_2014Q3!$P$11</c:f>
                  <c:strCache>
                    <c:ptCount val="1"/>
                    <c:pt idx="0">
                      <c:v>42%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{1A0000FA-8C3B-4308-8419-CB8A3DBAD42B}</c15:txfldGUID>
                      <c15:f>Credit_2014Q3!$P$11</c15:f>
                      <c15:dlblFieldTableCache>
                        <c:ptCount val="1"/>
                        <c:pt idx="0">
                          <c:v>42%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7868-4224-836D-9A1A72DF0ABC}"/>
                </c:ext>
              </c:extLst>
            </c:dLbl>
            <c:dLbl>
              <c:idx val="3"/>
              <c:layout/>
              <c:tx>
                <c:strRef>
                  <c:f>Credit_2014Q3!$S$11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{D2DED23A-77A2-4B34-8638-C293A13850BF}</c15:txfldGUID>
                      <c15:f>Credit_2014Q3!$S$11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7868-4224-836D-9A1A72DF0ABC}"/>
                </c:ext>
              </c:extLst>
            </c:dLbl>
            <c:dLbl>
              <c:idx val="4"/>
              <c:layout/>
              <c:tx>
                <c:strRef>
                  <c:f>Credit_2014Q3!$V$11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{5E0E1259-F62D-4625-BCC8-7E4DB7E18B62}</c15:txfldGUID>
                      <c15:f>Credit_2014Q3!$V$11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(Credit_2014Q3!$Z$11,Credit_2014Q3!$L$11,Credit_2014Q3!$O$11,Credit_2014Q3!$R$11,Credit_2014Q3!$U$11)</c:f>
              <c:numCache>
                <c:formatCode>General</c:formatCode>
                <c:ptCount val="5"/>
                <c:pt idx="0">
                  <c:v>1</c:v>
                </c:pt>
                <c:pt idx="1">
                  <c:v>18</c:v>
                </c:pt>
                <c:pt idx="2">
                  <c:v>16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868-4224-836D-9A1A72DF0ABC}"/>
            </c:ext>
          </c:extLst>
        </c:ser>
        <c:ser>
          <c:idx val="4"/>
          <c:order val="4"/>
          <c:tx>
            <c:strRef>
              <c:f>Credit_2014Q3!$J$12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layout/>
              <c:tx>
                <c:strRef>
                  <c:f>Credit_2014Q3!$J$12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{CB0DE9B0-2EAA-469D-B1F6-9141B6E00D87}</c15:txfldGUID>
                      <c15:f>Credit_2014Q3!$J$12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7868-4224-836D-9A1A72DF0ABC}"/>
                </c:ext>
              </c:extLst>
            </c:dLbl>
            <c:dLbl>
              <c:idx val="1"/>
              <c:layout/>
              <c:tx>
                <c:strRef>
                  <c:f>Credit_2014Q3!$M$12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{098E7822-181F-42EE-9EC3-BC219DAEE47E}</c15:txfldGUID>
                      <c15:f>Credit_2014Q3!$M$12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7868-4224-836D-9A1A72DF0ABC}"/>
                </c:ext>
              </c:extLst>
            </c:dLbl>
            <c:dLbl>
              <c:idx val="2"/>
              <c:layout/>
              <c:tx>
                <c:strRef>
                  <c:f>Credit_2014Q3!$P$12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{E2FAF0EA-0457-4860-9976-6F7C918A6941}</c15:txfldGUID>
                      <c15:f>Credit_2014Q3!$P$12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7868-4224-836D-9A1A72DF0ABC}"/>
                </c:ext>
              </c:extLst>
            </c:dLbl>
            <c:dLbl>
              <c:idx val="3"/>
              <c:layout/>
              <c:tx>
                <c:strRef>
                  <c:f>Credit_2014Q3!$S$12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{00BF93C0-456A-4103-B814-54A651E0ACE5}</c15:txfldGUID>
                      <c15:f>Credit_2014Q3!$S$12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7868-4224-836D-9A1A72DF0ABC}"/>
                </c:ext>
              </c:extLst>
            </c:dLbl>
            <c:dLbl>
              <c:idx val="4"/>
              <c:layout/>
              <c:tx>
                <c:strRef>
                  <c:f>Credit_2014Q3!$V$12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{34C9BF9F-7204-4CD3-BD8F-F99DF48F6003}</c15:txfldGUID>
                      <c15:f>Credit_2014Q3!$V$12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(Credit_2014Q3!$Z$12,Credit_2014Q3!$L$12,Credit_2014Q3!$O$12,Credit_2014Q3!$R$12,Credit_2014Q3!$U$12)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868-4224-836D-9A1A72DF0ABC}"/>
            </c:ext>
          </c:extLst>
        </c:ser>
        <c:ser>
          <c:idx val="5"/>
          <c:order val="5"/>
          <c:tx>
            <c:strRef>
              <c:f>Credit_2014Q3!$J$13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Credit_2014Q3!$J$13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{FD1E9102-585F-4E48-941C-C1AF8546E83C}</c15:txfldGUID>
                      <c15:f>Credit_2014Q3!$J$13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7868-4224-836D-9A1A72DF0ABC}"/>
                </c:ext>
              </c:extLst>
            </c:dLbl>
            <c:dLbl>
              <c:idx val="1"/>
              <c:layout/>
              <c:tx>
                <c:strRef>
                  <c:f>Credit_2014Q3!$M$13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{38C77597-E90A-4579-8A60-5F67AD0828D7}</c15:txfldGUID>
                      <c15:f>Credit_2014Q3!$M$13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7868-4224-836D-9A1A72DF0ABC}"/>
                </c:ext>
              </c:extLst>
            </c:dLbl>
            <c:dLbl>
              <c:idx val="2"/>
              <c:layout/>
              <c:tx>
                <c:strRef>
                  <c:f>Credit_2014Q3!$P$13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{70EF2B1B-1883-411E-B607-DDC983B17DA2}</c15:txfldGUID>
                      <c15:f>Credit_2014Q3!$P$13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7868-4224-836D-9A1A72DF0ABC}"/>
                </c:ext>
              </c:extLst>
            </c:dLbl>
            <c:dLbl>
              <c:idx val="3"/>
              <c:layout/>
              <c:tx>
                <c:strRef>
                  <c:f>Credit_2014Q3!$S$13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{B8977063-5B0D-4A12-967E-CFC30610745C}</c15:txfldGUID>
                      <c15:f>Credit_2014Q3!$S$13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7868-4224-836D-9A1A72DF0ABC}"/>
                </c:ext>
              </c:extLst>
            </c:dLbl>
            <c:dLbl>
              <c:idx val="4"/>
              <c:layout/>
              <c:tx>
                <c:strRef>
                  <c:f>Credit_2014Q3!$V$13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{681431F1-3B0C-4E9E-AA4E-CC1B46D319D3}</c15:txfldGUID>
                      <c15:f>Credit_2014Q3!$V$13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(Credit_2014Q3!$Z$13,Credit_2014Q3!$L$13,Credit_2014Q3!$O$13,Credit_2014Q3!$R$13,Credit_2014Q3!$U$13)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868-4224-836D-9A1A72DF0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5136000"/>
        <c:axId val="265137536"/>
      </c:barChart>
      <c:catAx>
        <c:axId val="265136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5137536"/>
        <c:crosses val="max"/>
        <c:auto val="1"/>
        <c:lblAlgn val="ctr"/>
        <c:lblOffset val="100"/>
        <c:noMultiLvlLbl val="0"/>
      </c:catAx>
      <c:valAx>
        <c:axId val="26513753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513600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E17C-4F7E-B5B7-E215E86B0352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17C-4F7E-B5B7-E215E86B0352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E17C-4F7E-B5B7-E215E86B0352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E17C-4F7E-B5B7-E215E86B0352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E17C-4F7E-B5B7-E215E86B0352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E17C-4F7E-B5B7-E215E86B0352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17C-4F7E-B5B7-E215E86B0352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17C-4F7E-B5B7-E215E86B03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Credit_2014Q2!$J$8:$J$13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Credit_2014Q2!$M$8:$M$13</c:f>
              <c:numCache>
                <c:formatCode>0%</c:formatCode>
                <c:ptCount val="6"/>
                <c:pt idx="0">
                  <c:v>3.7735849056603772E-2</c:v>
                </c:pt>
                <c:pt idx="1">
                  <c:v>0.22641509433962265</c:v>
                </c:pt>
                <c:pt idx="2">
                  <c:v>0.28301886792452829</c:v>
                </c:pt>
                <c:pt idx="3">
                  <c:v>0.33962264150943394</c:v>
                </c:pt>
                <c:pt idx="4">
                  <c:v>7.5471698113207544E-2</c:v>
                </c:pt>
                <c:pt idx="5">
                  <c:v>3.7735849056603772E-2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17C-4F7E-B5B7-E215E86B0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Credit_2014Q2!$J$8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Credit_2014Q2!$J$8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{73834123-9E74-4056-BB70-F75704A7A5C3}</c15:txfldGUID>
                      <c15:f>Credit_2014Q2!$J$8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7B18-4300-AD6B-BC6C6C703987}"/>
                </c:ext>
              </c:extLst>
            </c:dLbl>
            <c:dLbl>
              <c:idx val="1"/>
              <c:layout/>
              <c:tx>
                <c:strRef>
                  <c:f>Credit_2014Q2!$M$8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{92B58F04-D70E-47A3-99E8-F97BC35941D9}</c15:txfldGUID>
                      <c15:f>Credit_2014Q2!$M$8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7B18-4300-AD6B-BC6C6C703987}"/>
                </c:ext>
              </c:extLst>
            </c:dLbl>
            <c:dLbl>
              <c:idx val="2"/>
              <c:layout/>
              <c:tx>
                <c:strRef>
                  <c:f>Credit_2014Q2!$P$8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{8C175A9F-ED56-4108-9F70-13584F8EC528}</c15:txfldGUID>
                      <c15:f>Credit_2014Q2!$P$8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7B18-4300-AD6B-BC6C6C703987}"/>
                </c:ext>
              </c:extLst>
            </c:dLbl>
            <c:dLbl>
              <c:idx val="3"/>
              <c:layout/>
              <c:tx>
                <c:strRef>
                  <c:f>Credit_2014Q2!$S$8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{9E1BBB1A-E284-42CD-8A4A-58B95D612014}</c15:txfldGUID>
                      <c15:f>Credit_2014Q2!$S$8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7B18-4300-AD6B-BC6C6C703987}"/>
                </c:ext>
              </c:extLst>
            </c:dLbl>
            <c:dLbl>
              <c:idx val="4"/>
              <c:layout/>
              <c:tx>
                <c:strRef>
                  <c:f>Credit_2014Q2!$V$8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{7E93537D-3470-4BFE-AAE2-1115B8A7B83B}</c15:txfldGUID>
                      <c15:f>Credit_2014Q2!$V$8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(Credit_2014Q2!$Z$8,Credit_2014Q2!$L$8,Credit_2014Q2!$O$8,Credit_2014Q2!$R$8,Credit_2014Q2!$U$8)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18-4300-AD6B-BC6C6C703987}"/>
            </c:ext>
          </c:extLst>
        </c:ser>
        <c:ser>
          <c:idx val="1"/>
          <c:order val="1"/>
          <c:tx>
            <c:strRef>
              <c:f>Credit_2014Q2!$J$9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Credit_2014Q2!$J$9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{A296107A-3606-4456-962A-8D01AA2BB657}</c15:txfldGUID>
                      <c15:f>Credit_2014Q2!$J$9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7B18-4300-AD6B-BC6C6C703987}"/>
                </c:ext>
              </c:extLst>
            </c:dLbl>
            <c:dLbl>
              <c:idx val="1"/>
              <c:layout/>
              <c:tx>
                <c:strRef>
                  <c:f>Credit_2014Q2!$M$9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{6D8BD8F0-6A64-4F30-8AEF-E5DBA0B048C6}</c15:txfldGUID>
                      <c15:f>Credit_2014Q2!$M$9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7B18-4300-AD6B-BC6C6C703987}"/>
                </c:ext>
              </c:extLst>
            </c:dLbl>
            <c:dLbl>
              <c:idx val="2"/>
              <c:layout/>
              <c:tx>
                <c:strRef>
                  <c:f>Credit_2014Q2!$P$9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{C26A20D4-E14B-4F69-A3EF-8215DE65F729}</c15:txfldGUID>
                      <c15:f>Credit_2014Q2!$P$9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7B18-4300-AD6B-BC6C6C703987}"/>
                </c:ext>
              </c:extLst>
            </c:dLbl>
            <c:dLbl>
              <c:idx val="3"/>
              <c:layout/>
              <c:tx>
                <c:strRef>
                  <c:f>Credit_2014Q2!$S$9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{5E063EA6-27ED-45DD-8F7B-272DAFCEAD17}</c15:txfldGUID>
                      <c15:f>Credit_2014Q2!$S$9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7B18-4300-AD6B-BC6C6C703987}"/>
                </c:ext>
              </c:extLst>
            </c:dLbl>
            <c:dLbl>
              <c:idx val="4"/>
              <c:layout/>
              <c:tx>
                <c:strRef>
                  <c:f>Credit_2014Q2!$V$9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{55E22E64-5E3D-42B7-B084-1A133EB3E3DB}</c15:txfldGUID>
                      <c15:f>Credit_2014Q2!$V$9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(Credit_2014Q2!$Z$9,Credit_2014Q2!$L$9,Credit_2014Q2!$O$9,Credit_2014Q2!$R$9,Credit_2014Q2!$U$9)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8</c:v>
                </c:pt>
                <c:pt idx="3">
                  <c:v>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B18-4300-AD6B-BC6C6C703987}"/>
            </c:ext>
          </c:extLst>
        </c:ser>
        <c:ser>
          <c:idx val="2"/>
          <c:order val="2"/>
          <c:tx>
            <c:strRef>
              <c:f>Credit_2014Q2!$J$10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Credit_2014Q2!$J$10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{14108574-A81B-470C-BCDD-0BC2EDF47D43}</c15:txfldGUID>
                      <c15:f>Credit_2014Q2!$J$10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7B18-4300-AD6B-BC6C6C703987}"/>
                </c:ext>
              </c:extLst>
            </c:dLbl>
            <c:dLbl>
              <c:idx val="1"/>
              <c:layout/>
              <c:tx>
                <c:strRef>
                  <c:f>Credit_2014Q2!$M$10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{CA688B81-D255-4C71-8CBF-6F420591559F}</c15:txfldGUID>
                      <c15:f>Credit_2014Q2!$M$10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7B18-4300-AD6B-BC6C6C703987}"/>
                </c:ext>
              </c:extLst>
            </c:dLbl>
            <c:dLbl>
              <c:idx val="2"/>
              <c:layout/>
              <c:tx>
                <c:strRef>
                  <c:f>Credit_2014Q2!$P$10</c:f>
                  <c:strCache>
                    <c:ptCount val="1"/>
                    <c:pt idx="0">
                      <c:v>26%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{22ECCDD5-C64C-4EA2-8C1B-DD392B4194F8}</c15:txfldGUID>
                      <c15:f>Credit_2014Q2!$P$10</c15:f>
                      <c15:dlblFieldTableCache>
                        <c:ptCount val="1"/>
                        <c:pt idx="0">
                          <c:v>26%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7B18-4300-AD6B-BC6C6C703987}"/>
                </c:ext>
              </c:extLst>
            </c:dLbl>
            <c:dLbl>
              <c:idx val="3"/>
              <c:layout/>
              <c:tx>
                <c:strRef>
                  <c:f>Credit_2014Q2!$S$10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{EC76195D-81A7-47B2-92FF-A7341334668B}</c15:txfldGUID>
                      <c15:f>Credit_2014Q2!$S$10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7B18-4300-AD6B-BC6C6C703987}"/>
                </c:ext>
              </c:extLst>
            </c:dLbl>
            <c:dLbl>
              <c:idx val="4"/>
              <c:layout/>
              <c:tx>
                <c:strRef>
                  <c:f>Credit_2014Q2!$V$10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{A4597CBA-F3B9-4E65-B5CC-281FBBFD6C1F}</c15:txfldGUID>
                      <c15:f>Credit_2014Q2!$V$10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(Credit_2014Q2!$Z$10,Credit_2014Q2!$L$10,Credit_2014Q2!$O$10,Credit_2014Q2!$R$10,Credit_2014Q2!$U$10)</c:f>
              <c:numCache>
                <c:formatCode>General</c:formatCode>
                <c:ptCount val="5"/>
                <c:pt idx="0">
                  <c:v>1</c:v>
                </c:pt>
                <c:pt idx="1">
                  <c:v>15</c:v>
                </c:pt>
                <c:pt idx="2">
                  <c:v>10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B18-4300-AD6B-BC6C6C703987}"/>
            </c:ext>
          </c:extLst>
        </c:ser>
        <c:ser>
          <c:idx val="3"/>
          <c:order val="3"/>
          <c:tx>
            <c:strRef>
              <c:f>Credit_2014Q2!$J$11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Credit_2014Q2!$J$11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{444A333C-3211-434A-8B80-FCA3303606BA}</c15:txfldGUID>
                      <c15:f>Credit_2014Q2!$J$11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7B18-4300-AD6B-BC6C6C703987}"/>
                </c:ext>
              </c:extLst>
            </c:dLbl>
            <c:dLbl>
              <c:idx val="1"/>
              <c:layout/>
              <c:tx>
                <c:strRef>
                  <c:f>Credit_2014Q2!$M$11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{66DEA617-11B5-4AA0-8DE7-4FBF04453187}</c15:txfldGUID>
                      <c15:f>Credit_2014Q2!$M$11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7B18-4300-AD6B-BC6C6C703987}"/>
                </c:ext>
              </c:extLst>
            </c:dLbl>
            <c:dLbl>
              <c:idx val="2"/>
              <c:layout/>
              <c:tx>
                <c:strRef>
                  <c:f>Credit_2014Q2!$P$11</c:f>
                  <c:strCache>
                    <c:ptCount val="1"/>
                    <c:pt idx="0">
                      <c:v>42%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{ECCAC87F-C768-4D0B-BD0B-3D6C8909C2C7}</c15:txfldGUID>
                      <c15:f>Credit_2014Q2!$P$11</c15:f>
                      <c15:dlblFieldTableCache>
                        <c:ptCount val="1"/>
                        <c:pt idx="0">
                          <c:v>42%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7B18-4300-AD6B-BC6C6C703987}"/>
                </c:ext>
              </c:extLst>
            </c:dLbl>
            <c:dLbl>
              <c:idx val="3"/>
              <c:layout/>
              <c:tx>
                <c:strRef>
                  <c:f>Credit_2014Q2!$S$11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{D5801412-8E0E-478C-8BD2-32243EB3223E}</c15:txfldGUID>
                      <c15:f>Credit_2014Q2!$S$11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7B18-4300-AD6B-BC6C6C703987}"/>
                </c:ext>
              </c:extLst>
            </c:dLbl>
            <c:dLbl>
              <c:idx val="4"/>
              <c:layout/>
              <c:tx>
                <c:strRef>
                  <c:f>Credit_2014Q2!$V$11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{A2E10911-F8DE-46C9-B0F9-1C50AEDBF3E9}</c15:txfldGUID>
                      <c15:f>Credit_2014Q2!$V$11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(Credit_2014Q2!$Z$11,Credit_2014Q2!$L$11,Credit_2014Q2!$O$11,Credit_2014Q2!$R$11,Credit_2014Q2!$U$11)</c:f>
              <c:numCache>
                <c:formatCode>General</c:formatCode>
                <c:ptCount val="5"/>
                <c:pt idx="0">
                  <c:v>1</c:v>
                </c:pt>
                <c:pt idx="1">
                  <c:v>18</c:v>
                </c:pt>
                <c:pt idx="2">
                  <c:v>16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B18-4300-AD6B-BC6C6C703987}"/>
            </c:ext>
          </c:extLst>
        </c:ser>
        <c:ser>
          <c:idx val="4"/>
          <c:order val="4"/>
          <c:tx>
            <c:strRef>
              <c:f>Credit_2014Q2!$J$12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layout/>
              <c:tx>
                <c:strRef>
                  <c:f>Credit_2014Q2!$J$12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{432FBE4E-214D-4E5F-81DC-7D1117D5A9AE}</c15:txfldGUID>
                      <c15:f>Credit_2014Q2!$J$12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7B18-4300-AD6B-BC6C6C703987}"/>
                </c:ext>
              </c:extLst>
            </c:dLbl>
            <c:dLbl>
              <c:idx val="1"/>
              <c:layout/>
              <c:tx>
                <c:strRef>
                  <c:f>Credit_2014Q2!$M$12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{B578B68A-37DF-4DC9-897B-3ECA0818BFB2}</c15:txfldGUID>
                      <c15:f>Credit_2014Q2!$M$12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7B18-4300-AD6B-BC6C6C703987}"/>
                </c:ext>
              </c:extLst>
            </c:dLbl>
            <c:dLbl>
              <c:idx val="2"/>
              <c:layout/>
              <c:tx>
                <c:strRef>
                  <c:f>Credit_2014Q2!$P$12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{44E3E35D-EAEC-4D64-B8EA-CC4911F52FD2}</c15:txfldGUID>
                      <c15:f>Credit_2014Q2!$P$12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7B18-4300-AD6B-BC6C6C703987}"/>
                </c:ext>
              </c:extLst>
            </c:dLbl>
            <c:dLbl>
              <c:idx val="3"/>
              <c:layout/>
              <c:tx>
                <c:strRef>
                  <c:f>Credit_2014Q2!$S$12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{B5C82DB7-9341-4795-906D-3F808DDCDBF8}</c15:txfldGUID>
                      <c15:f>Credit_2014Q2!$S$12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7B18-4300-AD6B-BC6C6C703987}"/>
                </c:ext>
              </c:extLst>
            </c:dLbl>
            <c:dLbl>
              <c:idx val="4"/>
              <c:layout/>
              <c:tx>
                <c:strRef>
                  <c:f>Credit_2014Q2!$V$12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{B98883A2-D2E9-40BD-A993-BC715266F853}</c15:txfldGUID>
                      <c15:f>Credit_2014Q2!$V$12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(Credit_2014Q2!$Z$12,Credit_2014Q2!$L$12,Credit_2014Q2!$O$12,Credit_2014Q2!$R$12,Credit_2014Q2!$U$12)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B18-4300-AD6B-BC6C6C703987}"/>
            </c:ext>
          </c:extLst>
        </c:ser>
        <c:ser>
          <c:idx val="5"/>
          <c:order val="5"/>
          <c:tx>
            <c:strRef>
              <c:f>Credit_2014Q2!$J$13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Credit_2014Q2!$J$13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{24F4C6CE-595B-406A-A0E4-8D07A245FAB9}</c15:txfldGUID>
                      <c15:f>Credit_2014Q2!$J$13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7B18-4300-AD6B-BC6C6C703987}"/>
                </c:ext>
              </c:extLst>
            </c:dLbl>
            <c:dLbl>
              <c:idx val="1"/>
              <c:layout/>
              <c:tx>
                <c:strRef>
                  <c:f>Credit_2014Q2!$M$13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{EBFBA987-EB11-4E0D-9377-C2CCFF916DDB}</c15:txfldGUID>
                      <c15:f>Credit_2014Q2!$M$13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7B18-4300-AD6B-BC6C6C703987}"/>
                </c:ext>
              </c:extLst>
            </c:dLbl>
            <c:dLbl>
              <c:idx val="2"/>
              <c:layout/>
              <c:tx>
                <c:strRef>
                  <c:f>Credit_2014Q2!$P$13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{BA5A379C-B44A-4124-88C5-1D2692B05148}</c15:txfldGUID>
                      <c15:f>Credit_2014Q2!$P$13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7B18-4300-AD6B-BC6C6C703987}"/>
                </c:ext>
              </c:extLst>
            </c:dLbl>
            <c:dLbl>
              <c:idx val="3"/>
              <c:layout/>
              <c:tx>
                <c:strRef>
                  <c:f>Credit_2014Q2!$S$13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{EDE2AF22-8FB8-4D5F-878C-A3F6B932C99D}</c15:txfldGUID>
                      <c15:f>Credit_2014Q2!$S$13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7B18-4300-AD6B-BC6C6C703987}"/>
                </c:ext>
              </c:extLst>
            </c:dLbl>
            <c:dLbl>
              <c:idx val="4"/>
              <c:layout/>
              <c:tx>
                <c:strRef>
                  <c:f>Credit_2014Q2!$V$13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{2B06EBB5-8DE2-4AF0-A37C-A3D2EDE925EE}</c15:txfldGUID>
                      <c15:f>Credit_2014Q2!$V$13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(Credit_2014Q2!$Z$13,Credit_2014Q2!$L$13,Credit_2014Q2!$O$13,Credit_2014Q2!$R$13,Credit_2014Q2!$U$13)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B18-4300-AD6B-BC6C6C703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4964352"/>
        <c:axId val="264994816"/>
      </c:barChart>
      <c:catAx>
        <c:axId val="264964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4994816"/>
        <c:crosses val="max"/>
        <c:auto val="1"/>
        <c:lblAlgn val="ctr"/>
        <c:lblOffset val="100"/>
        <c:noMultiLvlLbl val="0"/>
      </c:catAx>
      <c:valAx>
        <c:axId val="26499481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496435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8B3-4585-A7F8-437ECFFD5543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8B3-4585-A7F8-437ECFFD5543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8B3-4585-A7F8-437ECFFD5543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8B3-4585-A7F8-437ECFFD5543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8B3-4585-A7F8-437ECFFD5543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8B3-4585-A7F8-437ECFFD5543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8B3-4585-A7F8-437ECFFD5543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8B3-4585-A7F8-437ECFFD55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Credit_2014Q1!$J$8:$J$13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Credit_2014Q1!$M$8:$M$13</c:f>
              <c:numCache>
                <c:formatCode>0%</c:formatCode>
                <c:ptCount val="6"/>
                <c:pt idx="0">
                  <c:v>3.7037037037037035E-2</c:v>
                </c:pt>
                <c:pt idx="1">
                  <c:v>0.22222222222222221</c:v>
                </c:pt>
                <c:pt idx="2">
                  <c:v>0.22222222222222221</c:v>
                </c:pt>
                <c:pt idx="3">
                  <c:v>0.37037037037037035</c:v>
                </c:pt>
                <c:pt idx="4">
                  <c:v>9.2592592592592587E-2</c:v>
                </c:pt>
                <c:pt idx="5">
                  <c:v>5.5555555555555552E-2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8B3-4585-A7F8-437ECFFD5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Credit_2014Q1!$J$8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Credit_2014Q1!$J$8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{E0D87466-F8D7-49EA-84FA-6792FA4147A3}</c15:txfldGUID>
                      <c15:f>Credit_2014Q1!$J$8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3D7A-4233-8A1E-AECE1A0A62A4}"/>
                </c:ext>
              </c:extLst>
            </c:dLbl>
            <c:dLbl>
              <c:idx val="1"/>
              <c:layout/>
              <c:tx>
                <c:strRef>
                  <c:f>Credit_2014Q1!$M$8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{C22244E0-3F57-43D5-AC2B-13C8873B9DBC}</c15:txfldGUID>
                      <c15:f>Credit_2014Q1!$M$8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3D7A-4233-8A1E-AECE1A0A62A4}"/>
                </c:ext>
              </c:extLst>
            </c:dLbl>
            <c:dLbl>
              <c:idx val="2"/>
              <c:layout/>
              <c:tx>
                <c:strRef>
                  <c:f>Credit_2014Q1!$P$8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{8E7FD8E4-B795-43F7-841F-6A550DE8462B}</c15:txfldGUID>
                      <c15:f>Credit_2014Q1!$P$8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3D7A-4233-8A1E-AECE1A0A62A4}"/>
                </c:ext>
              </c:extLst>
            </c:dLbl>
            <c:dLbl>
              <c:idx val="3"/>
              <c:layout/>
              <c:tx>
                <c:strRef>
                  <c:f>Credit_2014Q1!$S$8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{E094DBCD-E0A3-41DA-839B-8218B66F2B7C}</c15:txfldGUID>
                      <c15:f>Credit_2014Q1!$S$8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3D7A-4233-8A1E-AECE1A0A62A4}"/>
                </c:ext>
              </c:extLst>
            </c:dLbl>
            <c:dLbl>
              <c:idx val="4"/>
              <c:layout/>
              <c:tx>
                <c:strRef>
                  <c:f>Credit_2014Q1!$V$8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{D7CE517D-E998-4A2B-B3FE-4A9FD0686C6D}</c15:txfldGUID>
                      <c15:f>Credit_2014Q1!$V$8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(Credit_2014Q1!$Z$8,Credit_2014Q1!$L$8,Credit_2014Q1!$O$8,Credit_2014Q1!$R$8,Credit_2014Q1!$U$8)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D7A-4233-8A1E-AECE1A0A62A4}"/>
            </c:ext>
          </c:extLst>
        </c:ser>
        <c:ser>
          <c:idx val="1"/>
          <c:order val="1"/>
          <c:tx>
            <c:strRef>
              <c:f>Credit_2014Q1!$J$9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Credit_2014Q1!$J$9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{CAF437AE-C3DA-4D7B-8D9D-92A2D257D638}</c15:txfldGUID>
                      <c15:f>Credit_2014Q1!$J$9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3D7A-4233-8A1E-AECE1A0A62A4}"/>
                </c:ext>
              </c:extLst>
            </c:dLbl>
            <c:dLbl>
              <c:idx val="1"/>
              <c:layout/>
              <c:tx>
                <c:strRef>
                  <c:f>Credit_2014Q1!$M$9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{C65A27C0-B644-44A4-9D29-C6D388238F40}</c15:txfldGUID>
                      <c15:f>Credit_2014Q1!$M$9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3D7A-4233-8A1E-AECE1A0A62A4}"/>
                </c:ext>
              </c:extLst>
            </c:dLbl>
            <c:dLbl>
              <c:idx val="2"/>
              <c:layout/>
              <c:tx>
                <c:strRef>
                  <c:f>Credit_2014Q1!$P$9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{56B14E2F-F2FC-4501-9EBE-0963BAB96519}</c15:txfldGUID>
                      <c15:f>Credit_2014Q1!$P$9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3D7A-4233-8A1E-AECE1A0A62A4}"/>
                </c:ext>
              </c:extLst>
            </c:dLbl>
            <c:dLbl>
              <c:idx val="3"/>
              <c:layout/>
              <c:tx>
                <c:strRef>
                  <c:f>Credit_2014Q1!$S$9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{8763903D-1BC6-42EF-B76F-F499FCDFE394}</c15:txfldGUID>
                      <c15:f>Credit_2014Q1!$S$9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3D7A-4233-8A1E-AECE1A0A62A4}"/>
                </c:ext>
              </c:extLst>
            </c:dLbl>
            <c:dLbl>
              <c:idx val="4"/>
              <c:layout/>
              <c:tx>
                <c:strRef>
                  <c:f>Credit_2014Q1!$V$9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{A2C584C1-380A-47C3-9125-F7F6D844AD19}</c15:txfldGUID>
                      <c15:f>Credit_2014Q1!$V$9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(Credit_2014Q1!$Z$9,Credit_2014Q1!$L$9,Credit_2014Q1!$O$9,Credit_2014Q1!$R$9,Credit_2014Q1!$U$9)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D7A-4233-8A1E-AECE1A0A62A4}"/>
            </c:ext>
          </c:extLst>
        </c:ser>
        <c:ser>
          <c:idx val="2"/>
          <c:order val="2"/>
          <c:tx>
            <c:strRef>
              <c:f>Credit_2014Q1!$J$10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Credit_2014Q1!$J$10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{2D11408F-01A8-4138-A4B2-F475FB2BC4BB}</c15:txfldGUID>
                      <c15:f>Credit_2014Q1!$J$10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3D7A-4233-8A1E-AECE1A0A62A4}"/>
                </c:ext>
              </c:extLst>
            </c:dLbl>
            <c:dLbl>
              <c:idx val="1"/>
              <c:layout/>
              <c:tx>
                <c:strRef>
                  <c:f>Credit_2014Q1!$M$10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{48FC1ACD-B5CA-4E83-94DA-30336C2C428C}</c15:txfldGUID>
                      <c15:f>Credit_2014Q1!$M$10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3D7A-4233-8A1E-AECE1A0A62A4}"/>
                </c:ext>
              </c:extLst>
            </c:dLbl>
            <c:dLbl>
              <c:idx val="2"/>
              <c:layout/>
              <c:tx>
                <c:strRef>
                  <c:f>Credit_2014Q1!$P$10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{67559152-F7BF-4D0E-B274-CD1C8DAFC190}</c15:txfldGUID>
                      <c15:f>Credit_2014Q1!$P$10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3D7A-4233-8A1E-AECE1A0A62A4}"/>
                </c:ext>
              </c:extLst>
            </c:dLbl>
            <c:dLbl>
              <c:idx val="3"/>
              <c:layout/>
              <c:tx>
                <c:strRef>
                  <c:f>Credit_2014Q1!$S$10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{7E590D14-7320-43BF-8C80-5389ECBE6FAD}</c15:txfldGUID>
                      <c15:f>Credit_2014Q1!$S$10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3D7A-4233-8A1E-AECE1A0A62A4}"/>
                </c:ext>
              </c:extLst>
            </c:dLbl>
            <c:dLbl>
              <c:idx val="4"/>
              <c:layout/>
              <c:tx>
                <c:strRef>
                  <c:f>Credit_2014Q1!$V$10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{A3049E41-B566-4D68-82CA-EFD1CA5790F9}</c15:txfldGUID>
                      <c15:f>Credit_2014Q1!$V$10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(Credit_2014Q1!$Z$10,Credit_2014Q1!$L$10,Credit_2014Q1!$O$10,Credit_2014Q1!$R$10,Credit_2014Q1!$U$10)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6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D7A-4233-8A1E-AECE1A0A62A4}"/>
            </c:ext>
          </c:extLst>
        </c:ser>
        <c:ser>
          <c:idx val="3"/>
          <c:order val="3"/>
          <c:tx>
            <c:strRef>
              <c:f>Credit_2014Q1!$J$11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Credit_2014Q1!$J$11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{054587A4-AED7-4F63-BD52-47E48E7F1C73}</c15:txfldGUID>
                      <c15:f>Credit_2014Q1!$J$11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3D7A-4233-8A1E-AECE1A0A62A4}"/>
                </c:ext>
              </c:extLst>
            </c:dLbl>
            <c:dLbl>
              <c:idx val="1"/>
              <c:layout/>
              <c:tx>
                <c:strRef>
                  <c:f>Credit_2014Q1!$M$11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{7C66F6F2-4828-4DD2-A586-0FB6EF77566D}</c15:txfldGUID>
                      <c15:f>Credit_2014Q1!$M$11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3D7A-4233-8A1E-AECE1A0A62A4}"/>
                </c:ext>
              </c:extLst>
            </c:dLbl>
            <c:dLbl>
              <c:idx val="2"/>
              <c:layout/>
              <c:tx>
                <c:strRef>
                  <c:f>Credit_2014Q1!$P$11</c:f>
                  <c:strCache>
                    <c:ptCount val="1"/>
                    <c:pt idx="0">
                      <c:v>49%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{2D6CA7BA-E96D-44AF-A029-2151B1050ED6}</c15:txfldGUID>
                      <c15:f>Credit_2014Q1!$P$11</c15:f>
                      <c15:dlblFieldTableCache>
                        <c:ptCount val="1"/>
                        <c:pt idx="0">
                          <c:v>49%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3D7A-4233-8A1E-AECE1A0A62A4}"/>
                </c:ext>
              </c:extLst>
            </c:dLbl>
            <c:dLbl>
              <c:idx val="3"/>
              <c:layout/>
              <c:tx>
                <c:strRef>
                  <c:f>Credit_2014Q1!$S$11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{DE8A7519-1815-43BC-9709-1521113709CA}</c15:txfldGUID>
                      <c15:f>Credit_2014Q1!$S$11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3D7A-4233-8A1E-AECE1A0A62A4}"/>
                </c:ext>
              </c:extLst>
            </c:dLbl>
            <c:dLbl>
              <c:idx val="4"/>
              <c:layout/>
              <c:tx>
                <c:strRef>
                  <c:f>Credit_2014Q1!$V$11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{1053BFDF-8390-4C78-B380-53CDE221B1CD}</c15:txfldGUID>
                      <c15:f>Credit_2014Q1!$V$11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(Credit_2014Q1!$Z$11,Credit_2014Q1!$L$11,Credit_2014Q1!$O$11,Credit_2014Q1!$R$11,Credit_2014Q1!$U$11)</c:f>
              <c:numCache>
                <c:formatCode>General</c:formatCode>
                <c:ptCount val="5"/>
                <c:pt idx="0">
                  <c:v>1</c:v>
                </c:pt>
                <c:pt idx="1">
                  <c:v>20</c:v>
                </c:pt>
                <c:pt idx="2">
                  <c:v>17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D7A-4233-8A1E-AECE1A0A62A4}"/>
            </c:ext>
          </c:extLst>
        </c:ser>
        <c:ser>
          <c:idx val="4"/>
          <c:order val="4"/>
          <c:tx>
            <c:strRef>
              <c:f>Credit_2014Q1!$J$12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layout/>
              <c:tx>
                <c:strRef>
                  <c:f>Credit_2014Q1!$J$12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{5C5C3345-0D87-44B5-86F8-6EDC6679FAD0}</c15:txfldGUID>
                      <c15:f>Credit_2014Q1!$J$12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3D7A-4233-8A1E-AECE1A0A62A4}"/>
                </c:ext>
              </c:extLst>
            </c:dLbl>
            <c:dLbl>
              <c:idx val="1"/>
              <c:layout/>
              <c:tx>
                <c:strRef>
                  <c:f>Credit_2014Q1!$M$12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{D415DCD9-D4AF-40D8-AA68-B0A80058D647}</c15:txfldGUID>
                      <c15:f>Credit_2014Q1!$M$12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3D7A-4233-8A1E-AECE1A0A62A4}"/>
                </c:ext>
              </c:extLst>
            </c:dLbl>
            <c:dLbl>
              <c:idx val="2"/>
              <c:layout/>
              <c:tx>
                <c:strRef>
                  <c:f>Credit_2014Q1!$P$12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{167E0CB3-ADAE-4CD4-9F4D-E0D03844181E}</c15:txfldGUID>
                      <c15:f>Credit_2014Q1!$P$12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3D7A-4233-8A1E-AECE1A0A62A4}"/>
                </c:ext>
              </c:extLst>
            </c:dLbl>
            <c:dLbl>
              <c:idx val="3"/>
              <c:layout/>
              <c:tx>
                <c:strRef>
                  <c:f>Credit_2014Q1!$S$12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{B98EAD52-18E4-4D69-AF0D-06D02DA8933B}</c15:txfldGUID>
                      <c15:f>Credit_2014Q1!$S$12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3D7A-4233-8A1E-AECE1A0A62A4}"/>
                </c:ext>
              </c:extLst>
            </c:dLbl>
            <c:dLbl>
              <c:idx val="4"/>
              <c:layout/>
              <c:tx>
                <c:strRef>
                  <c:f>Credit_2014Q1!$V$12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{A572689A-3B98-4987-A1BE-A6F2DB6EA7DB}</c15:txfldGUID>
                      <c15:f>Credit_2014Q1!$V$12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(Credit_2014Q1!$Z$12,Credit_2014Q1!$L$12,Credit_2014Q1!$O$12,Credit_2014Q1!$R$12,Credit_2014Q1!$U$12)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2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D7A-4233-8A1E-AECE1A0A62A4}"/>
            </c:ext>
          </c:extLst>
        </c:ser>
        <c:ser>
          <c:idx val="5"/>
          <c:order val="5"/>
          <c:tx>
            <c:strRef>
              <c:f>Credit_2014Q1!$J$13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Credit_2014Q1!$J$13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{07ADB367-291D-4D2E-A14B-B3FAC49CF780}</c15:txfldGUID>
                      <c15:f>Credit_2014Q1!$J$13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3D7A-4233-8A1E-AECE1A0A62A4}"/>
                </c:ext>
              </c:extLst>
            </c:dLbl>
            <c:dLbl>
              <c:idx val="1"/>
              <c:layout/>
              <c:tx>
                <c:strRef>
                  <c:f>Credit_2014Q1!$M$13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{D9149BEE-7AAC-400C-A9CA-24513E2E126F}</c15:txfldGUID>
                      <c15:f>Credit_2014Q1!$M$13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3D7A-4233-8A1E-AECE1A0A62A4}"/>
                </c:ext>
              </c:extLst>
            </c:dLbl>
            <c:dLbl>
              <c:idx val="2"/>
              <c:layout/>
              <c:tx>
                <c:strRef>
                  <c:f>Credit_2014Q1!$P$13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{2CCE4396-F98C-4016-983C-E197C2F526E7}</c15:txfldGUID>
                      <c15:f>Credit_2014Q1!$P$13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3D7A-4233-8A1E-AECE1A0A62A4}"/>
                </c:ext>
              </c:extLst>
            </c:dLbl>
            <c:dLbl>
              <c:idx val="3"/>
              <c:layout/>
              <c:tx>
                <c:strRef>
                  <c:f>Credit_2014Q1!$S$13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{9FCE1B39-0223-4660-BCC2-EC79AE8B5818}</c15:txfldGUID>
                      <c15:f>Credit_2014Q1!$S$13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3D7A-4233-8A1E-AECE1A0A62A4}"/>
                </c:ext>
              </c:extLst>
            </c:dLbl>
            <c:dLbl>
              <c:idx val="4"/>
              <c:layout/>
              <c:tx>
                <c:strRef>
                  <c:f>Credit_2014Q1!$V$13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{7C768D68-7F21-42BC-8248-2DB646632EE4}</c15:txfldGUID>
                      <c15:f>Credit_2014Q1!$V$13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(Credit_2014Q1!$Z$13,Credit_2014Q1!$L$13,Credit_2014Q1!$O$13,Credit_2014Q1!$R$13,Credit_2014Q1!$U$13)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D7A-4233-8A1E-AECE1A0A6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5300992"/>
        <c:axId val="265319168"/>
      </c:barChart>
      <c:catAx>
        <c:axId val="265300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5319168"/>
        <c:crosses val="max"/>
        <c:auto val="1"/>
        <c:lblAlgn val="ctr"/>
        <c:lblOffset val="100"/>
        <c:noMultiLvlLbl val="0"/>
      </c:catAx>
      <c:valAx>
        <c:axId val="26531916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530099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Credit_2021Q4!$J$8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Credit_2021Q4!$J$8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{381574D2-DFA3-469C-9CC1-604577E09C89}</c15:txfldGUID>
                      <c15:f>Credit_2021Q4!$J$8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A99A-4F0D-A746-4B05EEF06C28}"/>
                </c:ext>
              </c:extLst>
            </c:dLbl>
            <c:dLbl>
              <c:idx val="1"/>
              <c:layout/>
              <c:tx>
                <c:strRef>
                  <c:f>Credit_2021Q4!$M$8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{1B200896-30BB-4229-B7A8-0BF15C30F0A2}</c15:txfldGUID>
                      <c15:f>Credit_2021Q4!$M$8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A99A-4F0D-A746-4B05EEF06C28}"/>
                </c:ext>
              </c:extLst>
            </c:dLbl>
            <c:dLbl>
              <c:idx val="2"/>
              <c:layout/>
              <c:tx>
                <c:strRef>
                  <c:f>Credit_2021Q4!$P$8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{C356A8B9-5ADE-4AC1-AFCD-54D7EF70BB9E}</c15:txfldGUID>
                      <c15:f>Credit_2021Q4!$P$8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A99A-4F0D-A746-4B05EEF06C28}"/>
                </c:ext>
              </c:extLst>
            </c:dLbl>
            <c:dLbl>
              <c:idx val="3"/>
              <c:layout/>
              <c:tx>
                <c:strRef>
                  <c:f>Credit_2021Q4!$S$8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{C1DB8566-FD4B-48DB-8F5A-557087EB6D77}</c15:txfldGUID>
                      <c15:f>Credit_2021Q4!$S$8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A99A-4F0D-A746-4B05EEF06C28}"/>
                </c:ext>
              </c:extLst>
            </c:dLbl>
            <c:dLbl>
              <c:idx val="4"/>
              <c:tx>
                <c:strRef>
                  <c:f>Credit_2021Q4!$V$8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{604AF7B9-4B66-4420-89DE-09E1589922E4}</c15:txfldGUID>
                      <c15:f>Credit_2021Q4!$V$8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A99A-4F0D-A746-4B05EEF06C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(Credit_2021Q4!$J$5,Credit_2021Q4!$L$5,Credit_2021Q4!$O$5,Credit_2021Q4!$R$5,Credit_2021Q4!$U$5)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(Credit_2021Q4!$Z$8,Credit_2021Q4!$L$8,Credit_2021Q4!$O$8,Credit_2021Q4!$R$8,Credit_2021Q4!$U$8)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99A-4F0D-A746-4B05EEF06C28}"/>
            </c:ext>
          </c:extLst>
        </c:ser>
        <c:ser>
          <c:idx val="1"/>
          <c:order val="1"/>
          <c:tx>
            <c:strRef>
              <c:f>Credit_2021Q4!$J$9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Credit_2021Q4!$J$9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{90D5B052-1EFE-4985-9409-2085071A26CC}</c15:txfldGUID>
                      <c15:f>Credit_2021Q4!$J$9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A99A-4F0D-A746-4B05EEF06C28}"/>
                </c:ext>
              </c:extLst>
            </c:dLbl>
            <c:dLbl>
              <c:idx val="1"/>
              <c:layout/>
              <c:tx>
                <c:strRef>
                  <c:f>Credit_2021Q4!$M$9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{5A2FEEAC-F3BB-4B4F-8F1F-40FE35317939}</c15:txfldGUID>
                      <c15:f>Credit_2021Q4!$M$9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A99A-4F0D-A746-4B05EEF06C28}"/>
                </c:ext>
              </c:extLst>
            </c:dLbl>
            <c:dLbl>
              <c:idx val="2"/>
              <c:layout/>
              <c:tx>
                <c:strRef>
                  <c:f>Credit_2021Q4!$P$9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{E1FAD33D-6160-45F4-870B-326EBAFC1B6C}</c15:txfldGUID>
                      <c15:f>Credit_2021Q4!$P$9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A99A-4F0D-A746-4B05EEF06C28}"/>
                </c:ext>
              </c:extLst>
            </c:dLbl>
            <c:dLbl>
              <c:idx val="3"/>
              <c:layout/>
              <c:tx>
                <c:strRef>
                  <c:f>Credit_2021Q4!$S$9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{49C41FE5-4CBB-444E-BFD2-40344489C1C5}</c15:txfldGUID>
                      <c15:f>Credit_2021Q4!$S$9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A99A-4F0D-A746-4B05EEF06C28}"/>
                </c:ext>
              </c:extLst>
            </c:dLbl>
            <c:dLbl>
              <c:idx val="4"/>
              <c:tx>
                <c:strRef>
                  <c:f>Credit_2021Q4!$V$9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{15CB3B6B-4233-40D2-BCD6-A555FD09839F}</c15:txfldGUID>
                      <c15:f>Credit_2021Q4!$V$9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A99A-4F0D-A746-4B05EEF06C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(Credit_2021Q4!$J$5,Credit_2021Q4!$L$5,Credit_2021Q4!$O$5,Credit_2021Q4!$R$5,Credit_2021Q4!$U$5)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(Credit_2021Q4!$Z$9,Credit_2021Q4!$L$9,Credit_2021Q4!$O$9,Credit_2021Q4!$R$9,Credit_2021Q4!$U$9)</c:f>
              <c:numCache>
                <c:formatCode>General</c:formatCode>
                <c:ptCount val="4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99A-4F0D-A746-4B05EEF06C28}"/>
            </c:ext>
          </c:extLst>
        </c:ser>
        <c:ser>
          <c:idx val="2"/>
          <c:order val="2"/>
          <c:tx>
            <c:strRef>
              <c:f>Credit_2021Q4!$J$10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Credit_2021Q4!$J$10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{5E81B7F6-DDFC-4530-A36E-D31B160C721C}</c15:txfldGUID>
                      <c15:f>Credit_2021Q4!$J$10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A99A-4F0D-A746-4B05EEF06C28}"/>
                </c:ext>
              </c:extLst>
            </c:dLbl>
            <c:dLbl>
              <c:idx val="1"/>
              <c:layout/>
              <c:tx>
                <c:strRef>
                  <c:f>Credit_2021Q4!$M$10</c:f>
                  <c:strCache>
                    <c:ptCount val="1"/>
                    <c:pt idx="0">
                      <c:v>43%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{C7F12A94-B209-4DE5-9D24-EEFE969AF727}</c15:txfldGUID>
                      <c15:f>Credit_2021Q4!$M$10</c15:f>
                      <c15:dlblFieldTableCache>
                        <c:ptCount val="1"/>
                        <c:pt idx="0">
                          <c:v>43%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A99A-4F0D-A746-4B05EEF06C28}"/>
                </c:ext>
              </c:extLst>
            </c:dLbl>
            <c:dLbl>
              <c:idx val="2"/>
              <c:layout/>
              <c:tx>
                <c:strRef>
                  <c:f>Credit_2021Q4!$P$10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{5BB40CC0-5A32-40F4-A121-1E42CE2C8592}</c15:txfldGUID>
                      <c15:f>Credit_2021Q4!$P$10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A99A-4F0D-A746-4B05EEF06C28}"/>
                </c:ext>
              </c:extLst>
            </c:dLbl>
            <c:dLbl>
              <c:idx val="3"/>
              <c:layout/>
              <c:tx>
                <c:strRef>
                  <c:f>Credit_2021Q4!$S$10</c:f>
                  <c:strCache>
                    <c:ptCount val="1"/>
                    <c:pt idx="0">
                      <c:v>56%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{6D0EBAEA-1A18-46F8-BEA4-1AFB17C38CC9}</c15:txfldGUID>
                      <c15:f>Credit_2021Q4!$S$10</c15:f>
                      <c15:dlblFieldTableCache>
                        <c:ptCount val="1"/>
                        <c:pt idx="0">
                          <c:v>56%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A99A-4F0D-A746-4B05EEF06C28}"/>
                </c:ext>
              </c:extLst>
            </c:dLbl>
            <c:dLbl>
              <c:idx val="4"/>
              <c:tx>
                <c:strRef>
                  <c:f>Credit_2021Q4!$V$10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{3A2EF035-61AC-46DD-9197-46D05A5E0A93}</c15:txfldGUID>
                      <c15:f>Credit_2021Q4!$V$10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A99A-4F0D-A746-4B05EEF06C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(Credit_2021Q4!$J$5,Credit_2021Q4!$L$5,Credit_2021Q4!$O$5,Credit_2021Q4!$R$5,Credit_2021Q4!$U$5)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(Credit_2021Q4!$Z$10,Credit_2021Q4!$L$10,Credit_2021Q4!$O$10,Credit_2021Q4!$R$10,Credit_2021Q4!$U$10)</c:f>
              <c:numCache>
                <c:formatCode>General</c:formatCode>
                <c:ptCount val="4"/>
                <c:pt idx="0">
                  <c:v>1</c:v>
                </c:pt>
                <c:pt idx="1">
                  <c:v>19</c:v>
                </c:pt>
                <c:pt idx="2">
                  <c:v>14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99A-4F0D-A746-4B05EEF06C28}"/>
            </c:ext>
          </c:extLst>
        </c:ser>
        <c:ser>
          <c:idx val="3"/>
          <c:order val="3"/>
          <c:tx>
            <c:strRef>
              <c:f>Credit_2021Q4!$J$11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Credit_2021Q4!$J$11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{D64712BA-585F-49EC-8D51-62777D633715}</c15:txfldGUID>
                      <c15:f>Credit_2021Q4!$J$11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A99A-4F0D-A746-4B05EEF06C28}"/>
                </c:ext>
              </c:extLst>
            </c:dLbl>
            <c:dLbl>
              <c:idx val="1"/>
              <c:layout/>
              <c:tx>
                <c:strRef>
                  <c:f>Credit_2021Q4!$M$11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{354AE370-3806-4ACA-B55D-F6154EF59551}</c15:txfldGUID>
                      <c15:f>Credit_2021Q4!$M$11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A99A-4F0D-A746-4B05EEF06C28}"/>
                </c:ext>
              </c:extLst>
            </c:dLbl>
            <c:dLbl>
              <c:idx val="2"/>
              <c:layout/>
              <c:tx>
                <c:strRef>
                  <c:f>Credit_2021Q4!$P$11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{73F3325D-0516-4380-82A6-71CC69B2A05B}</c15:txfldGUID>
                      <c15:f>Credit_2021Q4!$P$11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A99A-4F0D-A746-4B05EEF06C28}"/>
                </c:ext>
              </c:extLst>
            </c:dLbl>
            <c:dLbl>
              <c:idx val="3"/>
              <c:layout/>
              <c:tx>
                <c:strRef>
                  <c:f>Credit_2021Q4!$S$11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{E1E6001C-DE4A-483C-A349-EEF9543773D8}</c15:txfldGUID>
                      <c15:f>Credit_2021Q4!$S$11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A99A-4F0D-A746-4B05EEF06C28}"/>
                </c:ext>
              </c:extLst>
            </c:dLbl>
            <c:dLbl>
              <c:idx val="4"/>
              <c:tx>
                <c:strRef>
                  <c:f>Credit_2021Q4!$V$11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{31EF94EB-9410-4C84-ABE5-DF5D5A7C5B73}</c15:txfldGUID>
                      <c15:f>Credit_2021Q4!$V$11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A99A-4F0D-A746-4B05EEF06C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(Credit_2021Q4!$J$5,Credit_2021Q4!$L$5,Credit_2021Q4!$O$5,Credit_2021Q4!$R$5,Credit_2021Q4!$U$5)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(Credit_2021Q4!$Z$11,Credit_2021Q4!$L$11,Credit_2021Q4!$O$11,Credit_2021Q4!$R$11,Credit_2021Q4!$U$11)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99A-4F0D-A746-4B05EEF06C28}"/>
            </c:ext>
          </c:extLst>
        </c:ser>
        <c:ser>
          <c:idx val="4"/>
          <c:order val="4"/>
          <c:tx>
            <c:strRef>
              <c:f>Credit_2021Q4!$J$12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layout/>
              <c:tx>
                <c:strRef>
                  <c:f>Credit_2021Q4!$J$12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{B625BC41-F47F-4AF6-B12A-52B104020DA1}</c15:txfldGUID>
                      <c15:f>Credit_2021Q4!$J$12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A99A-4F0D-A746-4B05EEF06C28}"/>
                </c:ext>
              </c:extLst>
            </c:dLbl>
            <c:dLbl>
              <c:idx val="1"/>
              <c:layout/>
              <c:tx>
                <c:strRef>
                  <c:f>Credit_2021Q4!$M$12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{622C6F50-627A-4FBB-BF30-3C422EFB9BF2}</c15:txfldGUID>
                      <c15:f>Credit_2021Q4!$M$12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A99A-4F0D-A746-4B05EEF06C28}"/>
                </c:ext>
              </c:extLst>
            </c:dLbl>
            <c:dLbl>
              <c:idx val="2"/>
              <c:layout/>
              <c:tx>
                <c:strRef>
                  <c:f>Credit_2021Q4!$P$12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{750CDB0A-6261-4BF3-9D7D-4A74092B4460}</c15:txfldGUID>
                      <c15:f>Credit_2021Q4!$P$12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A99A-4F0D-A746-4B05EEF06C28}"/>
                </c:ext>
              </c:extLst>
            </c:dLbl>
            <c:dLbl>
              <c:idx val="3"/>
              <c:layout/>
              <c:tx>
                <c:strRef>
                  <c:f>Credit_2021Q4!$S$12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{F0100BD6-8C99-40A1-9EAF-CF2753FD9DED}</c15:txfldGUID>
                      <c15:f>Credit_2021Q4!$S$12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A99A-4F0D-A746-4B05EEF06C28}"/>
                </c:ext>
              </c:extLst>
            </c:dLbl>
            <c:dLbl>
              <c:idx val="4"/>
              <c:tx>
                <c:strRef>
                  <c:f>Credit_2021Q4!$V$12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{B2246310-4DC9-4A8B-8DE2-59AE385C2E00}</c15:txfldGUID>
                      <c15:f>Credit_2021Q4!$V$12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A99A-4F0D-A746-4B05EEF06C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(Credit_2021Q4!$J$5,Credit_2021Q4!$L$5,Credit_2021Q4!$O$5,Credit_2021Q4!$R$5,Credit_2021Q4!$U$5)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(Credit_2021Q4!$Z$12,Credit_2021Q4!$L$12,Credit_2021Q4!$O$12,Credit_2021Q4!$R$12,Credit_2021Q4!$U$12)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99A-4F0D-A746-4B05EEF06C28}"/>
            </c:ext>
          </c:extLst>
        </c:ser>
        <c:ser>
          <c:idx val="5"/>
          <c:order val="5"/>
          <c:tx>
            <c:strRef>
              <c:f>Credit_2021Q4!$J$13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Credit_2021Q4!$J$13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{A09D4C83-2E1D-4813-B47E-3320517F7D1F}</c15:txfldGUID>
                      <c15:f>Credit_2021Q4!$J$13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A99A-4F0D-A746-4B05EEF06C28}"/>
                </c:ext>
              </c:extLst>
            </c:dLbl>
            <c:dLbl>
              <c:idx val="1"/>
              <c:layout/>
              <c:tx>
                <c:strRef>
                  <c:f>Credit_2021Q4!$M$13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{4A9C7126-DD5F-44E9-B0DA-497833880180}</c15:txfldGUID>
                      <c15:f>Credit_2021Q4!$M$13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A99A-4F0D-A746-4B05EEF06C28}"/>
                </c:ext>
              </c:extLst>
            </c:dLbl>
            <c:dLbl>
              <c:idx val="2"/>
              <c:layout/>
              <c:tx>
                <c:strRef>
                  <c:f>Credit_2021Q4!$P$13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{086A14B0-0D3D-4DCD-9EFE-820431000A29}</c15:txfldGUID>
                      <c15:f>Credit_2021Q4!$P$13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A99A-4F0D-A746-4B05EEF06C28}"/>
                </c:ext>
              </c:extLst>
            </c:dLbl>
            <c:dLbl>
              <c:idx val="3"/>
              <c:layout/>
              <c:tx>
                <c:strRef>
                  <c:f>Credit_2021Q4!$S$13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{BC98B184-72F0-4897-A5FC-19270A650522}</c15:txfldGUID>
                      <c15:f>Credit_2021Q4!$S$13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A99A-4F0D-A746-4B05EEF06C28}"/>
                </c:ext>
              </c:extLst>
            </c:dLbl>
            <c:dLbl>
              <c:idx val="4"/>
              <c:tx>
                <c:strRef>
                  <c:f>Credit_2021Q4!$V$13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{488596AE-2867-4D5F-AEA5-CFD22AF4A461}</c15:txfldGUID>
                      <c15:f>Credit_2021Q4!$V$13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A99A-4F0D-A746-4B05EEF06C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(Credit_2021Q4!$J$5,Credit_2021Q4!$L$5,Credit_2021Q4!$O$5,Credit_2021Q4!$R$5,Credit_2021Q4!$U$5)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(Credit_2021Q4!$Z$13,Credit_2021Q4!$L$13,Credit_2021Q4!$O$13,Credit_2021Q4!$R$13,Credit_2021Q4!$U$13)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A99A-4F0D-A746-4B05EEF06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2D5E-47E5-BD7C-182C39DE03C1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2D5E-47E5-BD7C-182C39DE03C1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2D5E-47E5-BD7C-182C39DE03C1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2D5E-47E5-BD7C-182C39DE03C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2D5E-47E5-BD7C-182C39DE03C1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2D5E-47E5-BD7C-182C39DE03C1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D5E-47E5-BD7C-182C39DE03C1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2D5E-47E5-BD7C-182C39DE03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Credit_2013Q4!$J$8:$J$13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Credit_2013Q4!$M$8:$M$13</c:f>
              <c:numCache>
                <c:formatCode>0%</c:formatCode>
                <c:ptCount val="6"/>
                <c:pt idx="0">
                  <c:v>3.7037037037037035E-2</c:v>
                </c:pt>
                <c:pt idx="1">
                  <c:v>0.22222222222222221</c:v>
                </c:pt>
                <c:pt idx="2">
                  <c:v>0.22222222222222221</c:v>
                </c:pt>
                <c:pt idx="3">
                  <c:v>0.37037037037037035</c:v>
                </c:pt>
                <c:pt idx="4">
                  <c:v>9.2592592592592587E-2</c:v>
                </c:pt>
                <c:pt idx="5">
                  <c:v>5.5555555555555552E-2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D5E-47E5-BD7C-182C39DE0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Credit_2013Q4!$J$8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Credit_2013Q4!$J$8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{13EB100C-4894-42B4-923E-AA0C7D1E6795}</c15:txfldGUID>
                      <c15:f>Credit_2013Q4!$J$8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EFD6-4CAF-9B4C-F6C655B3CEF9}"/>
                </c:ext>
              </c:extLst>
            </c:dLbl>
            <c:dLbl>
              <c:idx val="1"/>
              <c:layout/>
              <c:tx>
                <c:strRef>
                  <c:f>Credit_2013Q4!$M$8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{C4E0EBF5-50E5-4CA4-92D9-A8153F68679C}</c15:txfldGUID>
                      <c15:f>Credit_2013Q4!$M$8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EFD6-4CAF-9B4C-F6C655B3CEF9}"/>
                </c:ext>
              </c:extLst>
            </c:dLbl>
            <c:dLbl>
              <c:idx val="2"/>
              <c:layout/>
              <c:tx>
                <c:strRef>
                  <c:f>Credit_2013Q4!$P$8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{2895AC48-F0C9-47CA-B27B-814CC07D2614}</c15:txfldGUID>
                      <c15:f>Credit_2013Q4!$P$8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EFD6-4CAF-9B4C-F6C655B3CEF9}"/>
                </c:ext>
              </c:extLst>
            </c:dLbl>
            <c:dLbl>
              <c:idx val="3"/>
              <c:layout/>
              <c:tx>
                <c:strRef>
                  <c:f>Credit_2013Q4!$S$8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{BB392C16-98A7-4E0B-9823-33AE29761383}</c15:txfldGUID>
                      <c15:f>Credit_2013Q4!$S$8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EFD6-4CAF-9B4C-F6C655B3CEF9}"/>
                </c:ext>
              </c:extLst>
            </c:dLbl>
            <c:dLbl>
              <c:idx val="4"/>
              <c:layout/>
              <c:tx>
                <c:strRef>
                  <c:f>Credit_2013Q4!$V$8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{308D59F2-6D62-4789-A1EA-6DBAB135973B}</c15:txfldGUID>
                      <c15:f>Credit_2013Q4!$V$8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(Credit_2013Q4!$Z$8,Credit_2013Q4!$L$8,Credit_2013Q4!$O$8,Credit_2013Q4!$R$8,Credit_2013Q4!$U$8)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D6-4CAF-9B4C-F6C655B3CEF9}"/>
            </c:ext>
          </c:extLst>
        </c:ser>
        <c:ser>
          <c:idx val="1"/>
          <c:order val="1"/>
          <c:tx>
            <c:strRef>
              <c:f>Credit_2013Q4!$J$9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Credit_2013Q4!$J$9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{FD928142-C367-4BAA-A60F-81E38625C8BE}</c15:txfldGUID>
                      <c15:f>Credit_2013Q4!$J$9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EFD6-4CAF-9B4C-F6C655B3CEF9}"/>
                </c:ext>
              </c:extLst>
            </c:dLbl>
            <c:dLbl>
              <c:idx val="1"/>
              <c:layout/>
              <c:tx>
                <c:strRef>
                  <c:f>Credit_2013Q4!$M$9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{A6247AAA-D7E6-46E8-AB25-0FCA6FEB4417}</c15:txfldGUID>
                      <c15:f>Credit_2013Q4!$M$9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EFD6-4CAF-9B4C-F6C655B3CEF9}"/>
                </c:ext>
              </c:extLst>
            </c:dLbl>
            <c:dLbl>
              <c:idx val="2"/>
              <c:layout/>
              <c:tx>
                <c:strRef>
                  <c:f>Credit_2013Q4!$P$9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{84CBC777-91A1-4F15-AADF-B30519C0CFDF}</c15:txfldGUID>
                      <c15:f>Credit_2013Q4!$P$9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EFD6-4CAF-9B4C-F6C655B3CEF9}"/>
                </c:ext>
              </c:extLst>
            </c:dLbl>
            <c:dLbl>
              <c:idx val="3"/>
              <c:layout/>
              <c:tx>
                <c:strRef>
                  <c:f>Credit_2013Q4!$S$9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{1379A348-6635-4B09-A524-3191885FF91F}</c15:txfldGUID>
                      <c15:f>Credit_2013Q4!$S$9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EFD6-4CAF-9B4C-F6C655B3CEF9}"/>
                </c:ext>
              </c:extLst>
            </c:dLbl>
            <c:dLbl>
              <c:idx val="4"/>
              <c:layout/>
              <c:tx>
                <c:strRef>
                  <c:f>Credit_2013Q4!$V$9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{D4765AA7-F73E-467E-92A6-D45BF8E03816}</c15:txfldGUID>
                      <c15:f>Credit_2013Q4!$V$9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(Credit_2013Q4!$Z$9,Credit_2013Q4!$L$9,Credit_2013Q4!$O$9,Credit_2013Q4!$R$9,Credit_2013Q4!$U$9)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FD6-4CAF-9B4C-F6C655B3CEF9}"/>
            </c:ext>
          </c:extLst>
        </c:ser>
        <c:ser>
          <c:idx val="2"/>
          <c:order val="2"/>
          <c:tx>
            <c:strRef>
              <c:f>Credit_2013Q4!$J$10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Credit_2013Q4!$J$10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{C9BB0522-0B8F-4FF4-B3FB-10C1E88F41D1}</c15:txfldGUID>
                      <c15:f>Credit_2013Q4!$J$10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EFD6-4CAF-9B4C-F6C655B3CEF9}"/>
                </c:ext>
              </c:extLst>
            </c:dLbl>
            <c:dLbl>
              <c:idx val="1"/>
              <c:layout/>
              <c:tx>
                <c:strRef>
                  <c:f>Credit_2013Q4!$M$10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{95041134-B0A1-4A9C-8B59-1483E551F139}</c15:txfldGUID>
                      <c15:f>Credit_2013Q4!$M$10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EFD6-4CAF-9B4C-F6C655B3CEF9}"/>
                </c:ext>
              </c:extLst>
            </c:dLbl>
            <c:dLbl>
              <c:idx val="2"/>
              <c:layout/>
              <c:tx>
                <c:strRef>
                  <c:f>Credit_2013Q4!$P$10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{52EF2784-9324-428F-AE4A-E1EAE8552E4F}</c15:txfldGUID>
                      <c15:f>Credit_2013Q4!$P$10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EFD6-4CAF-9B4C-F6C655B3CEF9}"/>
                </c:ext>
              </c:extLst>
            </c:dLbl>
            <c:dLbl>
              <c:idx val="3"/>
              <c:layout/>
              <c:tx>
                <c:strRef>
                  <c:f>Credit_2013Q4!$S$10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{8252C545-735B-4CD0-989F-FCC618FC0670}</c15:txfldGUID>
                      <c15:f>Credit_2013Q4!$S$10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EFD6-4CAF-9B4C-F6C655B3CEF9}"/>
                </c:ext>
              </c:extLst>
            </c:dLbl>
            <c:dLbl>
              <c:idx val="4"/>
              <c:layout/>
              <c:tx>
                <c:strRef>
                  <c:f>Credit_2013Q4!$V$10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{775A2495-B05B-49D2-826C-542523B25D27}</c15:txfldGUID>
                      <c15:f>Credit_2013Q4!$V$10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(Credit_2013Q4!$Z$10,Credit_2013Q4!$L$10,Credit_2013Q4!$O$10,Credit_2013Q4!$R$10,Credit_2013Q4!$U$10)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6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FD6-4CAF-9B4C-F6C655B3CEF9}"/>
            </c:ext>
          </c:extLst>
        </c:ser>
        <c:ser>
          <c:idx val="3"/>
          <c:order val="3"/>
          <c:tx>
            <c:strRef>
              <c:f>Credit_2013Q4!$J$11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Credit_2013Q4!$J$11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{AC1706CD-A52B-4184-9D61-FD29731871F6}</c15:txfldGUID>
                      <c15:f>Credit_2013Q4!$J$11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EFD6-4CAF-9B4C-F6C655B3CEF9}"/>
                </c:ext>
              </c:extLst>
            </c:dLbl>
            <c:dLbl>
              <c:idx val="1"/>
              <c:layout/>
              <c:tx>
                <c:strRef>
                  <c:f>Credit_2013Q4!$M$11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{9DCFCDCF-BE52-4497-8A6E-5170E812B2F3}</c15:txfldGUID>
                      <c15:f>Credit_2013Q4!$M$11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EFD6-4CAF-9B4C-F6C655B3CEF9}"/>
                </c:ext>
              </c:extLst>
            </c:dLbl>
            <c:dLbl>
              <c:idx val="2"/>
              <c:layout/>
              <c:tx>
                <c:strRef>
                  <c:f>Credit_2013Q4!$P$11</c:f>
                  <c:strCache>
                    <c:ptCount val="1"/>
                    <c:pt idx="0">
                      <c:v>49%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{D3C33ED7-A523-4F49-AD54-9DB9C16448A5}</c15:txfldGUID>
                      <c15:f>Credit_2013Q4!$P$11</c15:f>
                      <c15:dlblFieldTableCache>
                        <c:ptCount val="1"/>
                        <c:pt idx="0">
                          <c:v>49%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EFD6-4CAF-9B4C-F6C655B3CEF9}"/>
                </c:ext>
              </c:extLst>
            </c:dLbl>
            <c:dLbl>
              <c:idx val="3"/>
              <c:layout/>
              <c:tx>
                <c:strRef>
                  <c:f>Credit_2013Q4!$S$11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{91ABD755-C690-4A04-9308-03DE90F348C3}</c15:txfldGUID>
                      <c15:f>Credit_2013Q4!$S$11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EFD6-4CAF-9B4C-F6C655B3CEF9}"/>
                </c:ext>
              </c:extLst>
            </c:dLbl>
            <c:dLbl>
              <c:idx val="4"/>
              <c:layout/>
              <c:tx>
                <c:strRef>
                  <c:f>Credit_2013Q4!$V$11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{E9660705-1C7F-440D-BBF8-18EAA59AC03D}</c15:txfldGUID>
                      <c15:f>Credit_2013Q4!$V$11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(Credit_2013Q4!$Z$11,Credit_2013Q4!$L$11,Credit_2013Q4!$O$11,Credit_2013Q4!$R$11,Credit_2013Q4!$U$11)</c:f>
              <c:numCache>
                <c:formatCode>General</c:formatCode>
                <c:ptCount val="5"/>
                <c:pt idx="0">
                  <c:v>1</c:v>
                </c:pt>
                <c:pt idx="1">
                  <c:v>20</c:v>
                </c:pt>
                <c:pt idx="2">
                  <c:v>17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FD6-4CAF-9B4C-F6C655B3CEF9}"/>
            </c:ext>
          </c:extLst>
        </c:ser>
        <c:ser>
          <c:idx val="4"/>
          <c:order val="4"/>
          <c:tx>
            <c:strRef>
              <c:f>Credit_2013Q4!$J$12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layout/>
              <c:tx>
                <c:strRef>
                  <c:f>Credit_2013Q4!$J$12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{A550C322-D927-4983-8561-ACA6A0981AD6}</c15:txfldGUID>
                      <c15:f>Credit_2013Q4!$J$12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EFD6-4CAF-9B4C-F6C655B3CEF9}"/>
                </c:ext>
              </c:extLst>
            </c:dLbl>
            <c:dLbl>
              <c:idx val="1"/>
              <c:layout/>
              <c:tx>
                <c:strRef>
                  <c:f>Credit_2013Q4!$M$12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{1D6E9B13-0D3C-4898-BECE-F85362A6F21D}</c15:txfldGUID>
                      <c15:f>Credit_2013Q4!$M$12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EFD6-4CAF-9B4C-F6C655B3CEF9}"/>
                </c:ext>
              </c:extLst>
            </c:dLbl>
            <c:dLbl>
              <c:idx val="2"/>
              <c:layout/>
              <c:tx>
                <c:strRef>
                  <c:f>Credit_2013Q4!$P$12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{F092E38A-4622-4C73-804A-2FFA5A4E3DFB}</c15:txfldGUID>
                      <c15:f>Credit_2013Q4!$P$12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EFD6-4CAF-9B4C-F6C655B3CEF9}"/>
                </c:ext>
              </c:extLst>
            </c:dLbl>
            <c:dLbl>
              <c:idx val="3"/>
              <c:layout/>
              <c:tx>
                <c:strRef>
                  <c:f>Credit_2013Q4!$S$12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{C0DF6165-B675-4667-8250-F9FC5136AE38}</c15:txfldGUID>
                      <c15:f>Credit_2013Q4!$S$12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EFD6-4CAF-9B4C-F6C655B3CEF9}"/>
                </c:ext>
              </c:extLst>
            </c:dLbl>
            <c:dLbl>
              <c:idx val="4"/>
              <c:layout/>
              <c:tx>
                <c:strRef>
                  <c:f>Credit_2013Q4!$V$12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{5F829669-33C1-40F8-ABC9-A0C556C13BCC}</c15:txfldGUID>
                      <c15:f>Credit_2013Q4!$V$12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(Credit_2013Q4!$Z$12,Credit_2013Q4!$L$12,Credit_2013Q4!$O$12,Credit_2013Q4!$R$12,Credit_2013Q4!$U$12)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2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FD6-4CAF-9B4C-F6C655B3CEF9}"/>
            </c:ext>
          </c:extLst>
        </c:ser>
        <c:ser>
          <c:idx val="5"/>
          <c:order val="5"/>
          <c:tx>
            <c:strRef>
              <c:f>Credit_2013Q4!$J$13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Credit_2013Q4!$J$13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{AC452993-F066-4F02-8B43-901A41F2128A}</c15:txfldGUID>
                      <c15:f>Credit_2013Q4!$J$13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EFD6-4CAF-9B4C-F6C655B3CEF9}"/>
                </c:ext>
              </c:extLst>
            </c:dLbl>
            <c:dLbl>
              <c:idx val="1"/>
              <c:layout/>
              <c:tx>
                <c:strRef>
                  <c:f>Credit_2013Q4!$M$13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{985197E6-9EA9-45B9-A69F-F98E644319AA}</c15:txfldGUID>
                      <c15:f>Credit_2013Q4!$M$13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EFD6-4CAF-9B4C-F6C655B3CEF9}"/>
                </c:ext>
              </c:extLst>
            </c:dLbl>
            <c:dLbl>
              <c:idx val="2"/>
              <c:layout/>
              <c:tx>
                <c:strRef>
                  <c:f>Credit_2013Q4!$P$13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{A11AA8B0-A238-46C6-975B-19050536C4E5}</c15:txfldGUID>
                      <c15:f>Credit_2013Q4!$P$13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EFD6-4CAF-9B4C-F6C655B3CEF9}"/>
                </c:ext>
              </c:extLst>
            </c:dLbl>
            <c:dLbl>
              <c:idx val="3"/>
              <c:layout/>
              <c:tx>
                <c:strRef>
                  <c:f>Credit_2013Q4!$S$13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{F7F16550-E608-4EA7-9D4A-D5D87669C01C}</c15:txfldGUID>
                      <c15:f>Credit_2013Q4!$S$13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EFD6-4CAF-9B4C-F6C655B3CEF9}"/>
                </c:ext>
              </c:extLst>
            </c:dLbl>
            <c:dLbl>
              <c:idx val="4"/>
              <c:layout/>
              <c:tx>
                <c:strRef>
                  <c:f>Credit_2013Q4!$V$13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{93AB7A15-B1B9-4809-8FB8-C764407F9DF3}</c15:txfldGUID>
                      <c15:f>Credit_2013Q4!$V$13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(Credit_2013Q4!$Z$13,Credit_2013Q4!$L$13,Credit_2013Q4!$O$13,Credit_2013Q4!$R$13,Credit_2013Q4!$U$13)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FD6-4CAF-9B4C-F6C655B3C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6199040"/>
        <c:axId val="266200576"/>
      </c:barChart>
      <c:catAx>
        <c:axId val="266199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6200576"/>
        <c:crosses val="max"/>
        <c:auto val="1"/>
        <c:lblAlgn val="ctr"/>
        <c:lblOffset val="100"/>
        <c:noMultiLvlLbl val="0"/>
      </c:catAx>
      <c:valAx>
        <c:axId val="26620057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619904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750-41F1-AA7D-9F9DFCA1C3EF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750-41F1-AA7D-9F9DFCA1C3EF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750-41F1-AA7D-9F9DFCA1C3EF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750-41F1-AA7D-9F9DFCA1C3EF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750-41F1-AA7D-9F9DFCA1C3EF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750-41F1-AA7D-9F9DFCA1C3EF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750-41F1-AA7D-9F9DFCA1C3EF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750-41F1-AA7D-9F9DFCA1C3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Credit_2013Q3!$J$8:$J$13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Credit_2013Q3!$M$8:$M$13</c:f>
              <c:numCache>
                <c:formatCode>0%</c:formatCode>
                <c:ptCount val="6"/>
                <c:pt idx="0">
                  <c:v>3.6363636363636362E-2</c:v>
                </c:pt>
                <c:pt idx="1">
                  <c:v>0.2</c:v>
                </c:pt>
                <c:pt idx="2">
                  <c:v>0.21818181818181817</c:v>
                </c:pt>
                <c:pt idx="3">
                  <c:v>0.38181818181818183</c:v>
                </c:pt>
                <c:pt idx="4">
                  <c:v>0.10909090909090909</c:v>
                </c:pt>
                <c:pt idx="5">
                  <c:v>5.4545454545454543E-2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750-41F1-AA7D-9F9DFCA1C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Credit_2013Q3!$J$8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Credit_2013Q3!$J$8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{362E5286-0EC4-4BE8-B608-2CD51EEB08C7}</c15:txfldGUID>
                      <c15:f>Credit_2013Q3!$J$8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EB72-44C8-A23A-807C9CBFC2BA}"/>
                </c:ext>
              </c:extLst>
            </c:dLbl>
            <c:dLbl>
              <c:idx val="1"/>
              <c:layout/>
              <c:tx>
                <c:strRef>
                  <c:f>Credit_2013Q3!$M$8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{52F14D1B-6A67-4FD2-BAE9-B783DD5C3ABA}</c15:txfldGUID>
                      <c15:f>Credit_2013Q3!$M$8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EB72-44C8-A23A-807C9CBFC2BA}"/>
                </c:ext>
              </c:extLst>
            </c:dLbl>
            <c:dLbl>
              <c:idx val="2"/>
              <c:layout/>
              <c:tx>
                <c:strRef>
                  <c:f>Credit_2013Q3!$P$8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{F545B9D1-049F-41D7-AC9E-5FF4AA30542E}</c15:txfldGUID>
                      <c15:f>Credit_2013Q3!$P$8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EB72-44C8-A23A-807C9CBFC2BA}"/>
                </c:ext>
              </c:extLst>
            </c:dLbl>
            <c:dLbl>
              <c:idx val="3"/>
              <c:layout/>
              <c:tx>
                <c:strRef>
                  <c:f>Credit_2013Q3!$S$8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{BE614013-FBB9-417B-9903-DFA45DA07476}</c15:txfldGUID>
                      <c15:f>Credit_2013Q3!$S$8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EB72-44C8-A23A-807C9CBFC2BA}"/>
                </c:ext>
              </c:extLst>
            </c:dLbl>
            <c:dLbl>
              <c:idx val="4"/>
              <c:layout/>
              <c:tx>
                <c:strRef>
                  <c:f>Credit_2013Q3!$V$8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{240B90F6-3A2A-4D54-AC0E-18949A6534A7}</c15:txfldGUID>
                      <c15:f>Credit_2013Q3!$V$8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(Credit_2013Q3!$Z$8,Credit_2013Q3!$L$8,Credit_2013Q3!$O$8,Credit_2013Q3!$R$8,Credit_2013Q3!$U$8)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B72-44C8-A23A-807C9CBFC2BA}"/>
            </c:ext>
          </c:extLst>
        </c:ser>
        <c:ser>
          <c:idx val="1"/>
          <c:order val="1"/>
          <c:tx>
            <c:strRef>
              <c:f>Credit_2013Q3!$J$9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Credit_2013Q3!$J$9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{7A934F8B-F22E-4DAD-BA2F-728E6109BD48}</c15:txfldGUID>
                      <c15:f>Credit_2013Q3!$J$9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EB72-44C8-A23A-807C9CBFC2BA}"/>
                </c:ext>
              </c:extLst>
            </c:dLbl>
            <c:dLbl>
              <c:idx val="1"/>
              <c:layout/>
              <c:tx>
                <c:strRef>
                  <c:f>Credit_2013Q3!$M$9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{F278E1E5-5BF0-43C7-8EA3-49955F70E83E}</c15:txfldGUID>
                      <c15:f>Credit_2013Q3!$M$9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EB72-44C8-A23A-807C9CBFC2BA}"/>
                </c:ext>
              </c:extLst>
            </c:dLbl>
            <c:dLbl>
              <c:idx val="2"/>
              <c:layout/>
              <c:tx>
                <c:strRef>
                  <c:f>Credit_2013Q3!$P$9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{52CC20BB-0B89-41A2-9DF9-73D8208F111E}</c15:txfldGUID>
                      <c15:f>Credit_2013Q3!$P$9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EB72-44C8-A23A-807C9CBFC2BA}"/>
                </c:ext>
              </c:extLst>
            </c:dLbl>
            <c:dLbl>
              <c:idx val="3"/>
              <c:layout/>
              <c:tx>
                <c:strRef>
                  <c:f>Credit_2013Q3!$S$9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{5600844E-F2F5-446E-A75E-B6AA5562370F}</c15:txfldGUID>
                      <c15:f>Credit_2013Q3!$S$9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EB72-44C8-A23A-807C9CBFC2BA}"/>
                </c:ext>
              </c:extLst>
            </c:dLbl>
            <c:dLbl>
              <c:idx val="4"/>
              <c:layout/>
              <c:tx>
                <c:strRef>
                  <c:f>Credit_2013Q3!$V$9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{962D25AA-87FB-452F-B992-C7DB4FD1B29A}</c15:txfldGUID>
                      <c15:f>Credit_2013Q3!$V$9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(Credit_2013Q3!$Z$9,Credit_2013Q3!$L$9,Credit_2013Q3!$O$9,Credit_2013Q3!$R$9,Credit_2013Q3!$U$9)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6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B72-44C8-A23A-807C9CBFC2BA}"/>
            </c:ext>
          </c:extLst>
        </c:ser>
        <c:ser>
          <c:idx val="2"/>
          <c:order val="2"/>
          <c:tx>
            <c:strRef>
              <c:f>Credit_2013Q3!$J$10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Credit_2013Q3!$J$10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{E3BB573C-A64D-4C1D-BB3D-2059CDADED7E}</c15:txfldGUID>
                      <c15:f>Credit_2013Q3!$J$10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EB72-44C8-A23A-807C9CBFC2BA}"/>
                </c:ext>
              </c:extLst>
            </c:dLbl>
            <c:dLbl>
              <c:idx val="1"/>
              <c:layout/>
              <c:tx>
                <c:strRef>
                  <c:f>Credit_2013Q3!$M$10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{F816AC5C-6260-463B-BB23-95E118ABD71B}</c15:txfldGUID>
                      <c15:f>Credit_2013Q3!$M$10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EB72-44C8-A23A-807C9CBFC2BA}"/>
                </c:ext>
              </c:extLst>
            </c:dLbl>
            <c:dLbl>
              <c:idx val="2"/>
              <c:layout/>
              <c:tx>
                <c:strRef>
                  <c:f>Credit_2013Q3!$P$10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{5FC8B7B4-55B0-40FA-AA4B-6F057FCB5ABC}</c15:txfldGUID>
                      <c15:f>Credit_2013Q3!$P$10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EB72-44C8-A23A-807C9CBFC2BA}"/>
                </c:ext>
              </c:extLst>
            </c:dLbl>
            <c:dLbl>
              <c:idx val="3"/>
              <c:layout/>
              <c:tx>
                <c:strRef>
                  <c:f>Credit_2013Q3!$S$10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{556AA731-7515-40CB-A746-4F4D1CD0DEB7}</c15:txfldGUID>
                      <c15:f>Credit_2013Q3!$S$10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EB72-44C8-A23A-807C9CBFC2BA}"/>
                </c:ext>
              </c:extLst>
            </c:dLbl>
            <c:dLbl>
              <c:idx val="4"/>
              <c:layout/>
              <c:tx>
                <c:strRef>
                  <c:f>Credit_2013Q3!$V$10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{6A2B5963-FC53-4EB1-8FB2-F7DBAB87EAF9}</c15:txfldGUID>
                      <c15:f>Credit_2013Q3!$V$10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(Credit_2013Q3!$Z$10,Credit_2013Q3!$L$10,Credit_2013Q3!$O$10,Credit_2013Q3!$R$10,Credit_2013Q3!$U$10)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6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B72-44C8-A23A-807C9CBFC2BA}"/>
            </c:ext>
          </c:extLst>
        </c:ser>
        <c:ser>
          <c:idx val="3"/>
          <c:order val="3"/>
          <c:tx>
            <c:strRef>
              <c:f>Credit_2013Q3!$J$11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Credit_2013Q3!$J$11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{4433312F-D1C2-4807-A1B1-61B4748854EF}</c15:txfldGUID>
                      <c15:f>Credit_2013Q3!$J$11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EB72-44C8-A23A-807C9CBFC2BA}"/>
                </c:ext>
              </c:extLst>
            </c:dLbl>
            <c:dLbl>
              <c:idx val="1"/>
              <c:layout/>
              <c:tx>
                <c:strRef>
                  <c:f>Credit_2013Q3!$M$11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{B5837CB2-E0FB-4E34-9BBC-0E9E576EE068}</c15:txfldGUID>
                      <c15:f>Credit_2013Q3!$M$11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EB72-44C8-A23A-807C9CBFC2BA}"/>
                </c:ext>
              </c:extLst>
            </c:dLbl>
            <c:dLbl>
              <c:idx val="2"/>
              <c:layout/>
              <c:tx>
                <c:strRef>
                  <c:f>Credit_2013Q3!$P$11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{E7AC45B0-F5A2-40D8-B7BB-1399D6CF7E28}</c15:txfldGUID>
                      <c15:f>Credit_2013Q3!$P$11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EB72-44C8-A23A-807C9CBFC2BA}"/>
                </c:ext>
              </c:extLst>
            </c:dLbl>
            <c:dLbl>
              <c:idx val="3"/>
              <c:layout/>
              <c:tx>
                <c:strRef>
                  <c:f>Credit_2013Q3!$S$11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{C21EA603-8F13-4718-9D42-A93720A992F8}</c15:txfldGUID>
                      <c15:f>Credit_2013Q3!$S$11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EB72-44C8-A23A-807C9CBFC2BA}"/>
                </c:ext>
              </c:extLst>
            </c:dLbl>
            <c:dLbl>
              <c:idx val="4"/>
              <c:layout/>
              <c:tx>
                <c:strRef>
                  <c:f>Credit_2013Q3!$V$11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{25917759-C716-45D2-A06F-D92333008D35}</c15:txfldGUID>
                      <c15:f>Credit_2013Q3!$V$11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(Credit_2013Q3!$Z$11,Credit_2013Q3!$L$11,Credit_2013Q3!$O$11,Credit_2013Q3!$R$11,Credit_2013Q3!$U$11)</c:f>
              <c:numCache>
                <c:formatCode>General</c:formatCode>
                <c:ptCount val="5"/>
                <c:pt idx="0">
                  <c:v>1</c:v>
                </c:pt>
                <c:pt idx="1">
                  <c:v>21</c:v>
                </c:pt>
                <c:pt idx="2">
                  <c:v>18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B72-44C8-A23A-807C9CBFC2BA}"/>
            </c:ext>
          </c:extLst>
        </c:ser>
        <c:ser>
          <c:idx val="4"/>
          <c:order val="4"/>
          <c:tx>
            <c:strRef>
              <c:f>Credit_2013Q3!$J$12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layout/>
              <c:tx>
                <c:strRef>
                  <c:f>Credit_2013Q3!$J$12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{7C513EAF-6F98-4696-B771-BCAE4E83E15C}</c15:txfldGUID>
                      <c15:f>Credit_2013Q3!$J$12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EB72-44C8-A23A-807C9CBFC2BA}"/>
                </c:ext>
              </c:extLst>
            </c:dLbl>
            <c:dLbl>
              <c:idx val="1"/>
              <c:layout/>
              <c:tx>
                <c:strRef>
                  <c:f>Credit_2013Q3!$M$12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{09250415-DB87-4B4E-9CAD-E8CD0B18F78D}</c15:txfldGUID>
                      <c15:f>Credit_2013Q3!$M$12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EB72-44C8-A23A-807C9CBFC2BA}"/>
                </c:ext>
              </c:extLst>
            </c:dLbl>
            <c:dLbl>
              <c:idx val="2"/>
              <c:layout/>
              <c:tx>
                <c:strRef>
                  <c:f>Credit_2013Q3!$P$12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{DB5332C9-3594-4F95-9957-A41E7B3C116E}</c15:txfldGUID>
                      <c15:f>Credit_2013Q3!$P$12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EB72-44C8-A23A-807C9CBFC2BA}"/>
                </c:ext>
              </c:extLst>
            </c:dLbl>
            <c:dLbl>
              <c:idx val="3"/>
              <c:layout/>
              <c:tx>
                <c:strRef>
                  <c:f>Credit_2013Q3!$S$12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{5BCBEC4E-AB60-43B8-B5E2-4AD97231B8D6}</c15:txfldGUID>
                      <c15:f>Credit_2013Q3!$S$12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EB72-44C8-A23A-807C9CBFC2BA}"/>
                </c:ext>
              </c:extLst>
            </c:dLbl>
            <c:dLbl>
              <c:idx val="4"/>
              <c:layout/>
              <c:tx>
                <c:strRef>
                  <c:f>Credit_2013Q3!$V$12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{F995B937-CADA-4C62-8C3D-045A36DDB10B}</c15:txfldGUID>
                      <c15:f>Credit_2013Q3!$V$12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(Credit_2013Q3!$Z$12,Credit_2013Q3!$L$12,Credit_2013Q3!$O$12,Credit_2013Q3!$R$12,Credit_2013Q3!$U$12)</c:f>
              <c:numCache>
                <c:formatCode>General</c:formatCode>
                <c:ptCount val="5"/>
                <c:pt idx="0">
                  <c:v>1</c:v>
                </c:pt>
                <c:pt idx="1">
                  <c:v>6</c:v>
                </c:pt>
                <c:pt idx="2">
                  <c:v>3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B72-44C8-A23A-807C9CBFC2BA}"/>
            </c:ext>
          </c:extLst>
        </c:ser>
        <c:ser>
          <c:idx val="5"/>
          <c:order val="5"/>
          <c:tx>
            <c:strRef>
              <c:f>Credit_2013Q3!$J$13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Credit_2013Q3!$J$13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{0A9E2911-6AAD-4D43-AAF4-39DA34555029}</c15:txfldGUID>
                      <c15:f>Credit_2013Q3!$J$13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EB72-44C8-A23A-807C9CBFC2BA}"/>
                </c:ext>
              </c:extLst>
            </c:dLbl>
            <c:dLbl>
              <c:idx val="1"/>
              <c:layout/>
              <c:tx>
                <c:strRef>
                  <c:f>Credit_2013Q3!$M$13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{C064C198-2265-4C06-969D-87829C2E20F8}</c15:txfldGUID>
                      <c15:f>Credit_2013Q3!$M$13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EB72-44C8-A23A-807C9CBFC2BA}"/>
                </c:ext>
              </c:extLst>
            </c:dLbl>
            <c:dLbl>
              <c:idx val="2"/>
              <c:layout/>
              <c:tx>
                <c:strRef>
                  <c:f>Credit_2013Q3!$P$13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{B4E3C6B7-B940-4881-A210-13239E8AB72C}</c15:txfldGUID>
                      <c15:f>Credit_2013Q3!$P$13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EB72-44C8-A23A-807C9CBFC2BA}"/>
                </c:ext>
              </c:extLst>
            </c:dLbl>
            <c:dLbl>
              <c:idx val="3"/>
              <c:layout/>
              <c:tx>
                <c:strRef>
                  <c:f>Credit_2013Q3!$S$13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{3FA853CA-1F99-495A-BC73-084C5746C1AD}</c15:txfldGUID>
                      <c15:f>Credit_2013Q3!$S$13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EB72-44C8-A23A-807C9CBFC2BA}"/>
                </c:ext>
              </c:extLst>
            </c:dLbl>
            <c:dLbl>
              <c:idx val="4"/>
              <c:layout/>
              <c:tx>
                <c:strRef>
                  <c:f>Credit_2013Q3!$V$13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{419806B8-9B5A-4BE3-B311-A5EFA8D97310}</c15:txfldGUID>
                      <c15:f>Credit_2013Q3!$V$13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(Credit_2013Q3!$Z$13,Credit_2013Q3!$L$13,Credit_2013Q3!$O$13,Credit_2013Q3!$R$13,Credit_2013Q3!$U$13)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B72-44C8-A23A-807C9CBFC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6511104"/>
        <c:axId val="266512640"/>
      </c:barChart>
      <c:catAx>
        <c:axId val="266511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6512640"/>
        <c:crosses val="max"/>
        <c:auto val="1"/>
        <c:lblAlgn val="ctr"/>
        <c:lblOffset val="100"/>
        <c:noMultiLvlLbl val="0"/>
      </c:catAx>
      <c:valAx>
        <c:axId val="266512640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651110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86A-42D3-A5A3-5E44CB287E5C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86A-42D3-A5A3-5E44CB287E5C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86A-42D3-A5A3-5E44CB287E5C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86A-42D3-A5A3-5E44CB287E5C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86A-42D3-A5A3-5E44CB287E5C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86A-42D3-A5A3-5E44CB287E5C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86A-42D3-A5A3-5E44CB287E5C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86A-42D3-A5A3-5E44CB287E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Credit_2013Q2!$J$8:$J$13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Credit_2013Q2!$M$8:$M$13</c:f>
              <c:numCache>
                <c:formatCode>0%</c:formatCode>
                <c:ptCount val="6"/>
                <c:pt idx="0">
                  <c:v>3.6363636363636362E-2</c:v>
                </c:pt>
                <c:pt idx="1">
                  <c:v>0.2</c:v>
                </c:pt>
                <c:pt idx="2">
                  <c:v>0.2</c:v>
                </c:pt>
                <c:pt idx="3">
                  <c:v>0.36363636363636365</c:v>
                </c:pt>
                <c:pt idx="4">
                  <c:v>0.12727272727272726</c:v>
                </c:pt>
                <c:pt idx="5">
                  <c:v>7.2727272727272724E-2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86A-42D3-A5A3-5E44CB287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Credit_2013Q2!$J$8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Credit_2013Q2!$J$8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{FA1257CA-0896-4090-861F-4851F7154A45}</c15:txfldGUID>
                      <c15:f>Credit_2013Q2!$J$8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15E2-4C1D-8704-5C2168A140BB}"/>
                </c:ext>
              </c:extLst>
            </c:dLbl>
            <c:dLbl>
              <c:idx val="1"/>
              <c:layout/>
              <c:tx>
                <c:strRef>
                  <c:f>Credit_2013Q2!$M$8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{A366326D-AEE8-41BA-86E0-094E0F80778A}</c15:txfldGUID>
                      <c15:f>Credit_2013Q2!$M$8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15E2-4C1D-8704-5C2168A140BB}"/>
                </c:ext>
              </c:extLst>
            </c:dLbl>
            <c:dLbl>
              <c:idx val="2"/>
              <c:layout/>
              <c:tx>
                <c:strRef>
                  <c:f>Credit_2013Q2!$P$8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{74FA6D14-D050-4C8A-ABF9-C5FC09CCDEB3}</c15:txfldGUID>
                      <c15:f>Credit_2013Q2!$P$8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15E2-4C1D-8704-5C2168A140BB}"/>
                </c:ext>
              </c:extLst>
            </c:dLbl>
            <c:dLbl>
              <c:idx val="3"/>
              <c:layout/>
              <c:tx>
                <c:strRef>
                  <c:f>Credit_2013Q2!$S$8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{D4541F57-5983-4B5D-B64F-2ECBBDFEEDD6}</c15:txfldGUID>
                      <c15:f>Credit_2013Q2!$S$8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15E2-4C1D-8704-5C2168A140BB}"/>
                </c:ext>
              </c:extLst>
            </c:dLbl>
            <c:dLbl>
              <c:idx val="4"/>
              <c:layout/>
              <c:tx>
                <c:strRef>
                  <c:f>Credit_2013Q2!$V$8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{83632956-713D-47BE-97D4-CB36C5368BF8}</c15:txfldGUID>
                      <c15:f>Credit_2013Q2!$V$8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(Credit_2013Q2!$Z$8,Credit_2013Q2!$L$8,Credit_2013Q2!$O$8,Credit_2013Q2!$R$8,Credit_2013Q2!$U$8)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E2-4C1D-8704-5C2168A140BB}"/>
            </c:ext>
          </c:extLst>
        </c:ser>
        <c:ser>
          <c:idx val="1"/>
          <c:order val="1"/>
          <c:tx>
            <c:strRef>
              <c:f>Credit_2013Q2!$J$9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Credit_2013Q2!$J$9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{2E6B3EB9-AA90-4DD2-AE61-44B32675549E}</c15:txfldGUID>
                      <c15:f>Credit_2013Q2!$J$9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15E2-4C1D-8704-5C2168A140BB}"/>
                </c:ext>
              </c:extLst>
            </c:dLbl>
            <c:dLbl>
              <c:idx val="1"/>
              <c:layout/>
              <c:tx>
                <c:strRef>
                  <c:f>Credit_2013Q2!$M$9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{A5C9EE5C-64A7-46C0-8010-43F1945A6A21}</c15:txfldGUID>
                      <c15:f>Credit_2013Q2!$M$9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15E2-4C1D-8704-5C2168A140BB}"/>
                </c:ext>
              </c:extLst>
            </c:dLbl>
            <c:dLbl>
              <c:idx val="2"/>
              <c:layout/>
              <c:tx>
                <c:strRef>
                  <c:f>Credit_2013Q2!$P$9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{F4525759-679E-4C5E-804F-2B34684CD5A1}</c15:txfldGUID>
                      <c15:f>Credit_2013Q2!$P$9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15E2-4C1D-8704-5C2168A140BB}"/>
                </c:ext>
              </c:extLst>
            </c:dLbl>
            <c:dLbl>
              <c:idx val="3"/>
              <c:layout/>
              <c:tx>
                <c:strRef>
                  <c:f>Credit_2013Q2!$S$9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{B99A6E83-729C-4A63-BEF7-5B7AADBE9C3A}</c15:txfldGUID>
                      <c15:f>Credit_2013Q2!$S$9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5E2-4C1D-8704-5C2168A140BB}"/>
                </c:ext>
              </c:extLst>
            </c:dLbl>
            <c:dLbl>
              <c:idx val="4"/>
              <c:layout/>
              <c:tx>
                <c:strRef>
                  <c:f>Credit_2013Q2!$V$9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{D0F841E3-D51B-4E66-B8BE-10618F7719C2}</c15:txfldGUID>
                      <c15:f>Credit_2013Q2!$V$9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(Credit_2013Q2!$Z$9,Credit_2013Q2!$L$9,Credit_2013Q2!$O$9,Credit_2013Q2!$R$9,Credit_2013Q2!$U$9)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6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5E2-4C1D-8704-5C2168A140BB}"/>
            </c:ext>
          </c:extLst>
        </c:ser>
        <c:ser>
          <c:idx val="2"/>
          <c:order val="2"/>
          <c:tx>
            <c:strRef>
              <c:f>Credit_2013Q2!$J$10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Credit_2013Q2!$J$10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{25A358E5-9614-431B-980F-83F14FFF5020}</c15:txfldGUID>
                      <c15:f>Credit_2013Q2!$J$10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5E2-4C1D-8704-5C2168A140BB}"/>
                </c:ext>
              </c:extLst>
            </c:dLbl>
            <c:dLbl>
              <c:idx val="1"/>
              <c:layout/>
              <c:tx>
                <c:strRef>
                  <c:f>Credit_2013Q2!$M$10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{EF7B0A8E-F885-40FC-9F36-C5BB3CDFB1A1}</c15:txfldGUID>
                      <c15:f>Credit_2013Q2!$M$10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5E2-4C1D-8704-5C2168A140BB}"/>
                </c:ext>
              </c:extLst>
            </c:dLbl>
            <c:dLbl>
              <c:idx val="2"/>
              <c:layout/>
              <c:tx>
                <c:strRef>
                  <c:f>Credit_2013Q2!$P$10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{84DC32E3-1F6A-456F-BA52-511A4FC8BA1E}</c15:txfldGUID>
                      <c15:f>Credit_2013Q2!$P$10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5E2-4C1D-8704-5C2168A140BB}"/>
                </c:ext>
              </c:extLst>
            </c:dLbl>
            <c:dLbl>
              <c:idx val="3"/>
              <c:layout/>
              <c:tx>
                <c:strRef>
                  <c:f>Credit_2013Q2!$S$10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{8A54738E-D93B-44E9-9CBC-BFF9354A34F6}</c15:txfldGUID>
                      <c15:f>Credit_2013Q2!$S$10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15E2-4C1D-8704-5C2168A140BB}"/>
                </c:ext>
              </c:extLst>
            </c:dLbl>
            <c:dLbl>
              <c:idx val="4"/>
              <c:layout/>
              <c:tx>
                <c:strRef>
                  <c:f>Credit_2013Q2!$V$10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{0E1CA013-FE05-450A-8561-2075523983DA}</c15:txfldGUID>
                      <c15:f>Credit_2013Q2!$V$10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(Credit_2013Q2!$Z$10,Credit_2013Q2!$L$10,Credit_2013Q2!$O$10,Credit_2013Q2!$R$10,Credit_2013Q2!$U$10)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5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5E2-4C1D-8704-5C2168A140BB}"/>
            </c:ext>
          </c:extLst>
        </c:ser>
        <c:ser>
          <c:idx val="3"/>
          <c:order val="3"/>
          <c:tx>
            <c:strRef>
              <c:f>Credit_2013Q2!$J$11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Credit_2013Q2!$J$11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{35B77128-536D-42E1-B612-43B302D6F09B}</c15:txfldGUID>
                      <c15:f>Credit_2013Q2!$J$11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15E2-4C1D-8704-5C2168A140BB}"/>
                </c:ext>
              </c:extLst>
            </c:dLbl>
            <c:dLbl>
              <c:idx val="1"/>
              <c:layout/>
              <c:tx>
                <c:strRef>
                  <c:f>Credit_2013Q2!$M$11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{9EA9975B-7365-4D43-81FF-C97062DF71AC}</c15:txfldGUID>
                      <c15:f>Credit_2013Q2!$M$11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15E2-4C1D-8704-5C2168A140BB}"/>
                </c:ext>
              </c:extLst>
            </c:dLbl>
            <c:dLbl>
              <c:idx val="2"/>
              <c:layout/>
              <c:tx>
                <c:strRef>
                  <c:f>Credit_2013Q2!$P$11</c:f>
                  <c:strCache>
                    <c:ptCount val="1"/>
                    <c:pt idx="0">
                      <c:v>47%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{16919C01-7F12-434A-BD3B-0BF2F35B84C9}</c15:txfldGUID>
                      <c15:f>Credit_2013Q2!$P$11</c15:f>
                      <c15:dlblFieldTableCache>
                        <c:ptCount val="1"/>
                        <c:pt idx="0">
                          <c:v>47%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15E2-4C1D-8704-5C2168A140BB}"/>
                </c:ext>
              </c:extLst>
            </c:dLbl>
            <c:dLbl>
              <c:idx val="3"/>
              <c:layout/>
              <c:tx>
                <c:strRef>
                  <c:f>Credit_2013Q2!$S$11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{CA0A4E60-205C-4F49-B3CA-DD9756F73879}</c15:txfldGUID>
                      <c15:f>Credit_2013Q2!$S$11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15E2-4C1D-8704-5C2168A140BB}"/>
                </c:ext>
              </c:extLst>
            </c:dLbl>
            <c:dLbl>
              <c:idx val="4"/>
              <c:layout/>
              <c:tx>
                <c:strRef>
                  <c:f>Credit_2013Q2!$V$11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{DACA190B-CEA1-4CBC-AD35-F1E1F4A43F32}</c15:txfldGUID>
                      <c15:f>Credit_2013Q2!$V$11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(Credit_2013Q2!$Z$11,Credit_2013Q2!$L$11,Credit_2013Q2!$O$11,Credit_2013Q2!$R$11,Credit_2013Q2!$U$11)</c:f>
              <c:numCache>
                <c:formatCode>General</c:formatCode>
                <c:ptCount val="5"/>
                <c:pt idx="0">
                  <c:v>1</c:v>
                </c:pt>
                <c:pt idx="1">
                  <c:v>20</c:v>
                </c:pt>
                <c:pt idx="2">
                  <c:v>17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5E2-4C1D-8704-5C2168A140BB}"/>
            </c:ext>
          </c:extLst>
        </c:ser>
        <c:ser>
          <c:idx val="4"/>
          <c:order val="4"/>
          <c:tx>
            <c:strRef>
              <c:f>Credit_2013Q2!$J$12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layout/>
              <c:tx>
                <c:strRef>
                  <c:f>Credit_2013Q2!$J$12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{5BECC6F5-76BD-4B44-A9A7-E4FCA459E5D7}</c15:txfldGUID>
                      <c15:f>Credit_2013Q2!$J$12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15E2-4C1D-8704-5C2168A140BB}"/>
                </c:ext>
              </c:extLst>
            </c:dLbl>
            <c:dLbl>
              <c:idx val="1"/>
              <c:layout/>
              <c:tx>
                <c:strRef>
                  <c:f>Credit_2013Q2!$M$12</c:f>
                  <c:strCache>
                    <c:ptCount val="1"/>
                    <c:pt idx="0">
                      <c:v>13%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{AD897F6D-D583-4CB5-866C-589760A748CD}</c15:txfldGUID>
                      <c15:f>Credit_2013Q2!$M$12</c15:f>
                      <c15:dlblFieldTableCache>
                        <c:ptCount val="1"/>
                        <c:pt idx="0">
                          <c:v>13%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15E2-4C1D-8704-5C2168A140BB}"/>
                </c:ext>
              </c:extLst>
            </c:dLbl>
            <c:dLbl>
              <c:idx val="2"/>
              <c:layout/>
              <c:tx>
                <c:strRef>
                  <c:f>Credit_2013Q2!$P$12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{5471832F-303F-42DD-AE06-A3DB01F0B49E}</c15:txfldGUID>
                      <c15:f>Credit_2013Q2!$P$12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15E2-4C1D-8704-5C2168A140BB}"/>
                </c:ext>
              </c:extLst>
            </c:dLbl>
            <c:dLbl>
              <c:idx val="3"/>
              <c:layout/>
              <c:tx>
                <c:strRef>
                  <c:f>Credit_2013Q2!$S$12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{D6F7FC37-8C39-48B0-8CF2-EB42DD0BDB85}</c15:txfldGUID>
                      <c15:f>Credit_2013Q2!$S$12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15E2-4C1D-8704-5C2168A140BB}"/>
                </c:ext>
              </c:extLst>
            </c:dLbl>
            <c:dLbl>
              <c:idx val="4"/>
              <c:layout/>
              <c:tx>
                <c:strRef>
                  <c:f>Credit_2013Q2!$V$12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{FBF12B04-36D7-4E78-B808-4F391A069647}</c15:txfldGUID>
                      <c15:f>Credit_2013Q2!$V$12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(Credit_2013Q2!$Z$12,Credit_2013Q2!$L$12,Credit_2013Q2!$O$12,Credit_2013Q2!$R$12,Credit_2013Q2!$U$12)</c:f>
              <c:numCache>
                <c:formatCode>General</c:formatCode>
                <c:ptCount val="5"/>
                <c:pt idx="0">
                  <c:v>1</c:v>
                </c:pt>
                <c:pt idx="1">
                  <c:v>7</c:v>
                </c:pt>
                <c:pt idx="2">
                  <c:v>4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5E2-4C1D-8704-5C2168A140BB}"/>
            </c:ext>
          </c:extLst>
        </c:ser>
        <c:ser>
          <c:idx val="5"/>
          <c:order val="5"/>
          <c:tx>
            <c:strRef>
              <c:f>Credit_2013Q2!$J$13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Credit_2013Q2!$J$13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{315F1459-6A64-4A94-A32B-9B16410942AA}</c15:txfldGUID>
                      <c15:f>Credit_2013Q2!$J$13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15E2-4C1D-8704-5C2168A140BB}"/>
                </c:ext>
              </c:extLst>
            </c:dLbl>
            <c:dLbl>
              <c:idx val="1"/>
              <c:layout/>
              <c:tx>
                <c:strRef>
                  <c:f>Credit_2013Q2!$M$13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{40C3A58D-865C-4E79-B013-0204ED83B0A3}</c15:txfldGUID>
                      <c15:f>Credit_2013Q2!$M$13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15E2-4C1D-8704-5C2168A140BB}"/>
                </c:ext>
              </c:extLst>
            </c:dLbl>
            <c:dLbl>
              <c:idx val="2"/>
              <c:layout/>
              <c:tx>
                <c:strRef>
                  <c:f>Credit_2013Q2!$P$13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{418CD1A2-EDCA-433F-996B-89667E023975}</c15:txfldGUID>
                      <c15:f>Credit_2013Q2!$P$13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15E2-4C1D-8704-5C2168A140BB}"/>
                </c:ext>
              </c:extLst>
            </c:dLbl>
            <c:dLbl>
              <c:idx val="3"/>
              <c:layout/>
              <c:tx>
                <c:strRef>
                  <c:f>Credit_2013Q2!$S$13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{FF8AE55D-B192-4C2F-AF83-FBC9444AC1CC}</c15:txfldGUID>
                      <c15:f>Credit_2013Q2!$S$13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15E2-4C1D-8704-5C2168A140BB}"/>
                </c:ext>
              </c:extLst>
            </c:dLbl>
            <c:dLbl>
              <c:idx val="4"/>
              <c:layout/>
              <c:tx>
                <c:strRef>
                  <c:f>Credit_2013Q2!$V$13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{C9C8C685-22C9-4907-A87F-8C69F2DE5270}</c15:txfldGUID>
                      <c15:f>Credit_2013Q2!$V$13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(Credit_2013Q2!$Z$13,Credit_2013Q2!$L$13,Credit_2013Q2!$O$13,Credit_2013Q2!$R$13,Credit_2013Q2!$U$13)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5E2-4C1D-8704-5C2168A14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6888320"/>
        <c:axId val="266889856"/>
      </c:barChart>
      <c:catAx>
        <c:axId val="266888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6889856"/>
        <c:crosses val="max"/>
        <c:auto val="1"/>
        <c:lblAlgn val="ctr"/>
        <c:lblOffset val="100"/>
        <c:noMultiLvlLbl val="0"/>
      </c:catAx>
      <c:valAx>
        <c:axId val="26688985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688832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ADF-40BC-83BE-854572492A9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ADF-40BC-83BE-854572492A9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ADF-40BC-83BE-854572492A9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ADF-40BC-83BE-854572492A9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ADF-40BC-83BE-854572492A9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ADF-40BC-83BE-854572492A9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ADF-40BC-83BE-854572492A9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ADF-40BC-83BE-854572492A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Credit_2013Q1!$J$8:$J$13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Credit_2013Q1!$M$8:$M$13</c:f>
              <c:numCache>
                <c:formatCode>0%</c:formatCode>
                <c:ptCount val="6"/>
                <c:pt idx="0">
                  <c:v>5.3571428571428568E-2</c:v>
                </c:pt>
                <c:pt idx="1">
                  <c:v>0.16071428571428573</c:v>
                </c:pt>
                <c:pt idx="2">
                  <c:v>0.21428571428571427</c:v>
                </c:pt>
                <c:pt idx="3">
                  <c:v>0.3392857142857143</c:v>
                </c:pt>
                <c:pt idx="4">
                  <c:v>0.16071428571428573</c:v>
                </c:pt>
                <c:pt idx="5">
                  <c:v>7.1428571428571425E-2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DF-40BC-83BE-854572492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Credit_2013Q1!$J$8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Credit_2013Q1!$J$8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{22A44890-2F37-4738-812E-976477BFE62D}</c15:txfldGUID>
                      <c15:f>Credit_2013Q1!$J$8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FBA4-4988-B0C7-CCE7CBC60814}"/>
                </c:ext>
              </c:extLst>
            </c:dLbl>
            <c:dLbl>
              <c:idx val="1"/>
              <c:layout/>
              <c:tx>
                <c:strRef>
                  <c:f>Credit_2013Q1!$M$8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{7FE5A0F3-50CD-4859-91E3-B0AE92841CA5}</c15:txfldGUID>
                      <c15:f>Credit_2013Q1!$M$8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FBA4-4988-B0C7-CCE7CBC60814}"/>
                </c:ext>
              </c:extLst>
            </c:dLbl>
            <c:dLbl>
              <c:idx val="2"/>
              <c:layout/>
              <c:tx>
                <c:strRef>
                  <c:f>Credit_2013Q1!$P$8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{9D51951D-0333-4FA9-9E51-3CD5A80AFB31}</c15:txfldGUID>
                      <c15:f>Credit_2013Q1!$P$8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FBA4-4988-B0C7-CCE7CBC60814}"/>
                </c:ext>
              </c:extLst>
            </c:dLbl>
            <c:dLbl>
              <c:idx val="3"/>
              <c:layout/>
              <c:tx>
                <c:strRef>
                  <c:f>Credit_2013Q1!$S$8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{3D239819-396A-4083-9284-227586B7CDF6}</c15:txfldGUID>
                      <c15:f>Credit_2013Q1!$S$8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FBA4-4988-B0C7-CCE7CBC60814}"/>
                </c:ext>
              </c:extLst>
            </c:dLbl>
            <c:dLbl>
              <c:idx val="4"/>
              <c:layout/>
              <c:tx>
                <c:strRef>
                  <c:f>Credit_2013Q1!$V$8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{D342F571-6870-4937-8B06-12F8A4FE8B04}</c15:txfldGUID>
                      <c15:f>Credit_2013Q1!$V$8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(Credit_2013Q1!$Z$8,Credit_2013Q1!$L$8,Credit_2013Q1!$O$8,Credit_2013Q1!$R$8,Credit_2013Q1!$U$8)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BA4-4988-B0C7-CCE7CBC60814}"/>
            </c:ext>
          </c:extLst>
        </c:ser>
        <c:ser>
          <c:idx val="1"/>
          <c:order val="1"/>
          <c:tx>
            <c:strRef>
              <c:f>Credit_2013Q1!$J$9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Credit_2013Q1!$J$9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{88D178C5-0550-4DA1-8CAC-F133ADF6C221}</c15:txfldGUID>
                      <c15:f>Credit_2013Q1!$J$9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FBA4-4988-B0C7-CCE7CBC60814}"/>
                </c:ext>
              </c:extLst>
            </c:dLbl>
            <c:dLbl>
              <c:idx val="1"/>
              <c:layout/>
              <c:tx>
                <c:strRef>
                  <c:f>Credit_2013Q1!$M$9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{1FF7C521-0618-44EF-ADAA-022DD8693DB7}</c15:txfldGUID>
                      <c15:f>Credit_2013Q1!$M$9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FBA4-4988-B0C7-CCE7CBC60814}"/>
                </c:ext>
              </c:extLst>
            </c:dLbl>
            <c:dLbl>
              <c:idx val="2"/>
              <c:layout/>
              <c:tx>
                <c:strRef>
                  <c:f>Credit_2013Q1!$P$9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{2C5F3CFE-ABDE-40DF-932C-671E0C5AC12D}</c15:txfldGUID>
                      <c15:f>Credit_2013Q1!$P$9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FBA4-4988-B0C7-CCE7CBC60814}"/>
                </c:ext>
              </c:extLst>
            </c:dLbl>
            <c:dLbl>
              <c:idx val="3"/>
              <c:layout/>
              <c:tx>
                <c:strRef>
                  <c:f>Credit_2013Q1!$S$9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{D56BCAAE-366E-44D6-8119-294CD9A6B9A5}</c15:txfldGUID>
                      <c15:f>Credit_2013Q1!$S$9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FBA4-4988-B0C7-CCE7CBC60814}"/>
                </c:ext>
              </c:extLst>
            </c:dLbl>
            <c:dLbl>
              <c:idx val="4"/>
              <c:layout/>
              <c:tx>
                <c:strRef>
                  <c:f>Credit_2013Q1!$V$9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{778C2F3B-022B-453C-9727-905C91FB3950}</c15:txfldGUID>
                      <c15:f>Credit_2013Q1!$V$9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(Credit_2013Q1!$Z$9,Credit_2013Q1!$L$9,Credit_2013Q1!$O$9,Credit_2013Q1!$R$9,Credit_2013Q1!$U$9)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7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BA4-4988-B0C7-CCE7CBC60814}"/>
            </c:ext>
          </c:extLst>
        </c:ser>
        <c:ser>
          <c:idx val="2"/>
          <c:order val="2"/>
          <c:tx>
            <c:strRef>
              <c:f>Credit_2013Q1!$J$10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Credit_2013Q1!$J$10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{385D88EB-2E22-4A26-BE04-A382065318FD}</c15:txfldGUID>
                      <c15:f>Credit_2013Q1!$J$10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FBA4-4988-B0C7-CCE7CBC60814}"/>
                </c:ext>
              </c:extLst>
            </c:dLbl>
            <c:dLbl>
              <c:idx val="1"/>
              <c:layout/>
              <c:tx>
                <c:strRef>
                  <c:f>Credit_2013Q1!$M$10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{22A9CEC1-74DD-45BE-9CB0-894732694DF6}</c15:txfldGUID>
                      <c15:f>Credit_2013Q1!$M$10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FBA4-4988-B0C7-CCE7CBC60814}"/>
                </c:ext>
              </c:extLst>
            </c:dLbl>
            <c:dLbl>
              <c:idx val="2"/>
              <c:layout/>
              <c:tx>
                <c:strRef>
                  <c:f>Credit_2013Q1!$P$10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{2B4378DD-AF38-4823-B349-44E348A88A6A}</c15:txfldGUID>
                      <c15:f>Credit_2013Q1!$P$10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FBA4-4988-B0C7-CCE7CBC60814}"/>
                </c:ext>
              </c:extLst>
            </c:dLbl>
            <c:dLbl>
              <c:idx val="3"/>
              <c:layout/>
              <c:tx>
                <c:strRef>
                  <c:f>Credit_2013Q1!$S$10</c:f>
                  <c:strCache>
                    <c:ptCount val="1"/>
                    <c:pt idx="0">
                      <c:v>41%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{5A4816A5-D130-4251-8E7C-115F7AB82302}</c15:txfldGUID>
                      <c15:f>Credit_2013Q1!$S$10</c15:f>
                      <c15:dlblFieldTableCache>
                        <c:ptCount val="1"/>
                        <c:pt idx="0">
                          <c:v>41%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FBA4-4988-B0C7-CCE7CBC60814}"/>
                </c:ext>
              </c:extLst>
            </c:dLbl>
            <c:dLbl>
              <c:idx val="4"/>
              <c:layout/>
              <c:tx>
                <c:strRef>
                  <c:f>Credit_2013Q1!$V$10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{6BF236DA-93FF-4A81-9E8C-1E8E925EBD13}</c15:txfldGUID>
                      <c15:f>Credit_2013Q1!$V$10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(Credit_2013Q1!$Z$10,Credit_2013Q1!$L$10,Credit_2013Q1!$O$10,Credit_2013Q1!$R$10,Credit_2013Q1!$U$10)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4</c:v>
                </c:pt>
                <c:pt idx="3">
                  <c:v>7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BA4-4988-B0C7-CCE7CBC60814}"/>
            </c:ext>
          </c:extLst>
        </c:ser>
        <c:ser>
          <c:idx val="3"/>
          <c:order val="3"/>
          <c:tx>
            <c:strRef>
              <c:f>Credit_2013Q1!$J$11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Credit_2013Q1!$J$11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{910E17BA-1F30-4B87-BFF0-905E2D40E261}</c15:txfldGUID>
                      <c15:f>Credit_2013Q1!$J$11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FBA4-4988-B0C7-CCE7CBC60814}"/>
                </c:ext>
              </c:extLst>
            </c:dLbl>
            <c:dLbl>
              <c:idx val="1"/>
              <c:layout/>
              <c:tx>
                <c:strRef>
                  <c:f>Credit_2013Q1!$M$11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{E190C041-9226-40F9-AFB1-70D2F4CBB589}</c15:txfldGUID>
                      <c15:f>Credit_2013Q1!$M$11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FBA4-4988-B0C7-CCE7CBC60814}"/>
                </c:ext>
              </c:extLst>
            </c:dLbl>
            <c:dLbl>
              <c:idx val="2"/>
              <c:layout/>
              <c:tx>
                <c:strRef>
                  <c:f>Credit_2013Q1!$P$11</c:f>
                  <c:strCache>
                    <c:ptCount val="1"/>
                    <c:pt idx="0">
                      <c:v>44%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{21B847CB-2AAF-4860-8931-61AFEF129BE7}</c15:txfldGUID>
                      <c15:f>Credit_2013Q1!$P$11</c15:f>
                      <c15:dlblFieldTableCache>
                        <c:ptCount val="1"/>
                        <c:pt idx="0">
                          <c:v>44%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FBA4-4988-B0C7-CCE7CBC60814}"/>
                </c:ext>
              </c:extLst>
            </c:dLbl>
            <c:dLbl>
              <c:idx val="3"/>
              <c:layout/>
              <c:tx>
                <c:strRef>
                  <c:f>Credit_2013Q1!$S$11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{3E42E688-5FDD-4E6B-B02D-34B134AA1228}</c15:txfldGUID>
                      <c15:f>Credit_2013Q1!$S$11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FBA4-4988-B0C7-CCE7CBC60814}"/>
                </c:ext>
              </c:extLst>
            </c:dLbl>
            <c:dLbl>
              <c:idx val="4"/>
              <c:layout/>
              <c:tx>
                <c:strRef>
                  <c:f>Credit_2013Q1!$V$11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{14091756-9FA1-42E9-9016-0F213AA3651B}</c15:txfldGUID>
                      <c15:f>Credit_2013Q1!$V$11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(Credit_2013Q1!$Z$11,Credit_2013Q1!$L$11,Credit_2013Q1!$O$11,Credit_2013Q1!$R$11,Credit_2013Q1!$U$11)</c:f>
              <c:numCache>
                <c:formatCode>General</c:formatCode>
                <c:ptCount val="5"/>
                <c:pt idx="0">
                  <c:v>1</c:v>
                </c:pt>
                <c:pt idx="1">
                  <c:v>19</c:v>
                </c:pt>
                <c:pt idx="2">
                  <c:v>16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BA4-4988-B0C7-CCE7CBC60814}"/>
            </c:ext>
          </c:extLst>
        </c:ser>
        <c:ser>
          <c:idx val="4"/>
          <c:order val="4"/>
          <c:tx>
            <c:strRef>
              <c:f>Credit_2013Q1!$J$12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layout/>
              <c:tx>
                <c:strRef>
                  <c:f>Credit_2013Q1!$J$12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{2BE5DFC3-FAD9-4289-9BB3-59AA99CE74F7}</c15:txfldGUID>
                      <c15:f>Credit_2013Q1!$J$12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FBA4-4988-B0C7-CCE7CBC60814}"/>
                </c:ext>
              </c:extLst>
            </c:dLbl>
            <c:dLbl>
              <c:idx val="1"/>
              <c:layout/>
              <c:tx>
                <c:strRef>
                  <c:f>Credit_2013Q1!$M$12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{07C67A67-CE40-4960-A81E-3BED6E86737B}</c15:txfldGUID>
                      <c15:f>Credit_2013Q1!$M$12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FBA4-4988-B0C7-CCE7CBC60814}"/>
                </c:ext>
              </c:extLst>
            </c:dLbl>
            <c:dLbl>
              <c:idx val="2"/>
              <c:layout/>
              <c:tx>
                <c:strRef>
                  <c:f>Credit_2013Q1!$P$12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{C96C4C02-6663-43DA-934C-69BF2E8BAC8F}</c15:txfldGUID>
                      <c15:f>Credit_2013Q1!$P$12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FBA4-4988-B0C7-CCE7CBC60814}"/>
                </c:ext>
              </c:extLst>
            </c:dLbl>
            <c:dLbl>
              <c:idx val="3"/>
              <c:layout/>
              <c:tx>
                <c:strRef>
                  <c:f>Credit_2013Q1!$S$12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{7E71965D-C428-435C-B910-BD34F1B91994}</c15:txfldGUID>
                      <c15:f>Credit_2013Q1!$S$12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FBA4-4988-B0C7-CCE7CBC60814}"/>
                </c:ext>
              </c:extLst>
            </c:dLbl>
            <c:dLbl>
              <c:idx val="4"/>
              <c:layout/>
              <c:tx>
                <c:strRef>
                  <c:f>Credit_2013Q1!$V$12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{3F4696F7-CBDE-4DF3-A864-5EA644942980}</c15:txfldGUID>
                      <c15:f>Credit_2013Q1!$V$12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(Credit_2013Q1!$Z$12,Credit_2013Q1!$L$12,Credit_2013Q1!$O$12,Credit_2013Q1!$R$12,Credit_2013Q1!$U$12)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4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BA4-4988-B0C7-CCE7CBC60814}"/>
            </c:ext>
          </c:extLst>
        </c:ser>
        <c:ser>
          <c:idx val="5"/>
          <c:order val="5"/>
          <c:tx>
            <c:strRef>
              <c:f>Credit_2013Q1!$J$13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Credit_2013Q1!$J$13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{6F965475-A340-40D7-91D4-2EA8B84D0E54}</c15:txfldGUID>
                      <c15:f>Credit_2013Q1!$J$13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FBA4-4988-B0C7-CCE7CBC60814}"/>
                </c:ext>
              </c:extLst>
            </c:dLbl>
            <c:dLbl>
              <c:idx val="1"/>
              <c:layout/>
              <c:tx>
                <c:strRef>
                  <c:f>Credit_2013Q1!$M$13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{397D12D5-2B24-43AC-A9F9-007F9FD1D821}</c15:txfldGUID>
                      <c15:f>Credit_2013Q1!$M$13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FBA4-4988-B0C7-CCE7CBC60814}"/>
                </c:ext>
              </c:extLst>
            </c:dLbl>
            <c:dLbl>
              <c:idx val="2"/>
              <c:layout/>
              <c:tx>
                <c:strRef>
                  <c:f>Credit_2013Q1!$P$13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{76EDBE89-147E-4D86-9A7E-9EBCC142FAB3}</c15:txfldGUID>
                      <c15:f>Credit_2013Q1!$P$13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FBA4-4988-B0C7-CCE7CBC60814}"/>
                </c:ext>
              </c:extLst>
            </c:dLbl>
            <c:dLbl>
              <c:idx val="3"/>
              <c:layout/>
              <c:tx>
                <c:strRef>
                  <c:f>Credit_2013Q1!$S$13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{DD3FAFD5-A569-42A4-A8ED-AFB02C1B80E3}</c15:txfldGUID>
                      <c15:f>Credit_2013Q1!$S$13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FBA4-4988-B0C7-CCE7CBC60814}"/>
                </c:ext>
              </c:extLst>
            </c:dLbl>
            <c:dLbl>
              <c:idx val="4"/>
              <c:layout/>
              <c:tx>
                <c:strRef>
                  <c:f>Credit_2013Q1!$V$13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{CECD651C-9543-4110-BFFB-2F5042622DB1}</c15:txfldGUID>
                      <c15:f>Credit_2013Q1!$V$13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(Credit_2013Q1!$Z$13,Credit_2013Q1!$L$13,Credit_2013Q1!$O$13,Credit_2013Q1!$R$13,Credit_2013Q1!$U$13)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FBA4-4988-B0C7-CCE7CBC60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4835456"/>
        <c:axId val="264836992"/>
      </c:barChart>
      <c:catAx>
        <c:axId val="264835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4836992"/>
        <c:crosses val="max"/>
        <c:auto val="1"/>
        <c:lblAlgn val="ctr"/>
        <c:lblOffset val="100"/>
        <c:noMultiLvlLbl val="0"/>
      </c:catAx>
      <c:valAx>
        <c:axId val="264836992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483545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257-4F4F-AE2C-D7492E3FD10B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F257-4F4F-AE2C-D7492E3FD10B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F257-4F4F-AE2C-D7492E3FD10B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F257-4F4F-AE2C-D7492E3FD10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F257-4F4F-AE2C-D7492E3FD10B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F257-4F4F-AE2C-D7492E3FD10B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257-4F4F-AE2C-D7492E3FD10B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F257-4F4F-AE2C-D7492E3FD1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Credit_2012Q4!$J$8:$J$13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Credit_2012Q4!$M$8:$M$13</c:f>
              <c:numCache>
                <c:formatCode>0%</c:formatCode>
                <c:ptCount val="6"/>
                <c:pt idx="0">
                  <c:v>5.3571428571428568E-2</c:v>
                </c:pt>
                <c:pt idx="1">
                  <c:v>0.14285714285714285</c:v>
                </c:pt>
                <c:pt idx="2">
                  <c:v>0.23214285714285715</c:v>
                </c:pt>
                <c:pt idx="3">
                  <c:v>0.2857142857142857</c:v>
                </c:pt>
                <c:pt idx="4">
                  <c:v>0.19642857142857142</c:v>
                </c:pt>
                <c:pt idx="5">
                  <c:v>8.9285714285714288E-2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257-4F4F-AE2C-D7492E3FD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Credit_2012Q4!$J$8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Credit_2012Q4!$J$8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{EB92C08C-E89A-48D7-8499-C0CD0A9EEABC}</c15:txfldGUID>
                      <c15:f>Credit_2012Q4!$J$8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44B7-4BD6-ACA5-1C75FA900712}"/>
                </c:ext>
              </c:extLst>
            </c:dLbl>
            <c:dLbl>
              <c:idx val="1"/>
              <c:layout/>
              <c:tx>
                <c:strRef>
                  <c:f>Credit_2012Q4!$M$8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{BAE9CA6F-0453-4B59-BB0E-FF27797B136D}</c15:txfldGUID>
                      <c15:f>Credit_2012Q4!$M$8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44B7-4BD6-ACA5-1C75FA900712}"/>
                </c:ext>
              </c:extLst>
            </c:dLbl>
            <c:dLbl>
              <c:idx val="2"/>
              <c:layout/>
              <c:tx>
                <c:strRef>
                  <c:f>Credit_2012Q4!$P$8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{F16CB394-FD68-460B-9036-92397F841A8A}</c15:txfldGUID>
                      <c15:f>Credit_2012Q4!$P$8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44B7-4BD6-ACA5-1C75FA900712}"/>
                </c:ext>
              </c:extLst>
            </c:dLbl>
            <c:dLbl>
              <c:idx val="3"/>
              <c:layout/>
              <c:tx>
                <c:strRef>
                  <c:f>Credit_2012Q4!$S$8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{F571BCCE-C6AD-4DF8-9A74-7A76CFAF08CF}</c15:txfldGUID>
                      <c15:f>Credit_2012Q4!$S$8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44B7-4BD6-ACA5-1C75FA900712}"/>
                </c:ext>
              </c:extLst>
            </c:dLbl>
            <c:dLbl>
              <c:idx val="4"/>
              <c:layout/>
              <c:tx>
                <c:strRef>
                  <c:f>Credit_2012Q4!$V$8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{EEC9A205-95C7-4D6F-B04C-F986E982C543}</c15:txfldGUID>
                      <c15:f>Credit_2012Q4!$V$8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(Credit_2012Q4!$Z$8,Credit_2012Q4!$L$8,Credit_2012Q4!$O$8,Credit_2012Q4!$R$8,Credit_2012Q4!$U$8)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4B7-4BD6-ACA5-1C75FA900712}"/>
            </c:ext>
          </c:extLst>
        </c:ser>
        <c:ser>
          <c:idx val="1"/>
          <c:order val="1"/>
          <c:tx>
            <c:strRef>
              <c:f>Credit_2012Q4!$J$9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Credit_2012Q4!$J$9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{161DF09C-3790-4D80-9415-5817A5271691}</c15:txfldGUID>
                      <c15:f>Credit_2012Q4!$J$9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44B7-4BD6-ACA5-1C75FA900712}"/>
                </c:ext>
              </c:extLst>
            </c:dLbl>
            <c:dLbl>
              <c:idx val="1"/>
              <c:layout/>
              <c:tx>
                <c:strRef>
                  <c:f>Credit_2012Q4!$M$9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{F22E12C0-EC35-4043-A677-52949DE9F682}</c15:txfldGUID>
                      <c15:f>Credit_2012Q4!$M$9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44B7-4BD6-ACA5-1C75FA900712}"/>
                </c:ext>
              </c:extLst>
            </c:dLbl>
            <c:dLbl>
              <c:idx val="2"/>
              <c:layout/>
              <c:tx>
                <c:strRef>
                  <c:f>Credit_2012Q4!$P$9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{5DD2ADF9-487F-4968-9CF7-2E1ACFD0CD69}</c15:txfldGUID>
                      <c15:f>Credit_2012Q4!$P$9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44B7-4BD6-ACA5-1C75FA900712}"/>
                </c:ext>
              </c:extLst>
            </c:dLbl>
            <c:dLbl>
              <c:idx val="3"/>
              <c:layout/>
              <c:tx>
                <c:strRef>
                  <c:f>Credit_2012Q4!$S$9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{16E77A8F-8CF6-437C-B274-DF65473326AC}</c15:txfldGUID>
                      <c15:f>Credit_2012Q4!$S$9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44B7-4BD6-ACA5-1C75FA900712}"/>
                </c:ext>
              </c:extLst>
            </c:dLbl>
            <c:dLbl>
              <c:idx val="4"/>
              <c:layout/>
              <c:tx>
                <c:strRef>
                  <c:f>Credit_2012Q4!$V$9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{4A8FEDD8-24DA-456C-BA25-BE989BB91011}</c15:txfldGUID>
                      <c15:f>Credit_2012Q4!$V$9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(Credit_2012Q4!$Z$9,Credit_2012Q4!$L$9,Credit_2012Q4!$O$9,Credit_2012Q4!$R$9,Credit_2012Q4!$U$9)</c:f>
              <c:numCache>
                <c:formatCode>General</c:formatCode>
                <c:ptCount val="5"/>
                <c:pt idx="0">
                  <c:v>1</c:v>
                </c:pt>
                <c:pt idx="1">
                  <c:v>8</c:v>
                </c:pt>
                <c:pt idx="2">
                  <c:v>6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4B7-4BD6-ACA5-1C75FA900712}"/>
            </c:ext>
          </c:extLst>
        </c:ser>
        <c:ser>
          <c:idx val="2"/>
          <c:order val="2"/>
          <c:tx>
            <c:strRef>
              <c:f>Credit_2012Q4!$J$10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Credit_2012Q4!$J$10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{95C78DE9-9081-4FCE-BB0E-B8B5A0D45A2E}</c15:txfldGUID>
                      <c15:f>Credit_2012Q4!$J$10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44B7-4BD6-ACA5-1C75FA900712}"/>
                </c:ext>
              </c:extLst>
            </c:dLbl>
            <c:dLbl>
              <c:idx val="1"/>
              <c:layout/>
              <c:tx>
                <c:strRef>
                  <c:f>Credit_2012Q4!$M$10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{D02DE82D-B0DA-44D2-A149-81733E262A1F}</c15:txfldGUID>
                      <c15:f>Credit_2012Q4!$M$10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44B7-4BD6-ACA5-1C75FA900712}"/>
                </c:ext>
              </c:extLst>
            </c:dLbl>
            <c:dLbl>
              <c:idx val="2"/>
              <c:layout/>
              <c:tx>
                <c:strRef>
                  <c:f>Credit_2012Q4!$P$10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{D89313B2-6F0D-46B6-BE2F-F530872C9CD7}</c15:txfldGUID>
                      <c15:f>Credit_2012Q4!$P$10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44B7-4BD6-ACA5-1C75FA900712}"/>
                </c:ext>
              </c:extLst>
            </c:dLbl>
            <c:dLbl>
              <c:idx val="3"/>
              <c:layout/>
              <c:tx>
                <c:strRef>
                  <c:f>Credit_2012Q4!$S$10</c:f>
                  <c:strCache>
                    <c:ptCount val="1"/>
                    <c:pt idx="0">
                      <c:v>41%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{F7ACB811-CC81-495B-B505-26D475822EC2}</c15:txfldGUID>
                      <c15:f>Credit_2012Q4!$S$10</c15:f>
                      <c15:dlblFieldTableCache>
                        <c:ptCount val="1"/>
                        <c:pt idx="0">
                          <c:v>41%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44B7-4BD6-ACA5-1C75FA900712}"/>
                </c:ext>
              </c:extLst>
            </c:dLbl>
            <c:dLbl>
              <c:idx val="4"/>
              <c:layout/>
              <c:tx>
                <c:strRef>
                  <c:f>Credit_2012Q4!$V$10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{CB7308B0-4736-49DF-8296-D12D0D0E8BFC}</c15:txfldGUID>
                      <c15:f>Credit_2012Q4!$V$10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(Credit_2012Q4!$Z$10,Credit_2012Q4!$L$10,Credit_2012Q4!$O$10,Credit_2012Q4!$R$10,Credit_2012Q4!$U$10)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5</c:v>
                </c:pt>
                <c:pt idx="3">
                  <c:v>7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4B7-4BD6-ACA5-1C75FA900712}"/>
            </c:ext>
          </c:extLst>
        </c:ser>
        <c:ser>
          <c:idx val="3"/>
          <c:order val="3"/>
          <c:tx>
            <c:strRef>
              <c:f>Credit_2012Q4!$J$11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Credit_2012Q4!$J$11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{DDF7524E-D34A-405F-9CB8-334B371388ED}</c15:txfldGUID>
                      <c15:f>Credit_2012Q4!$J$11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44B7-4BD6-ACA5-1C75FA900712}"/>
                </c:ext>
              </c:extLst>
            </c:dLbl>
            <c:dLbl>
              <c:idx val="1"/>
              <c:layout/>
              <c:tx>
                <c:strRef>
                  <c:f>Credit_2012Q4!$M$11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{734EB523-EB7F-4C82-A198-08858E300FAD}</c15:txfldGUID>
                      <c15:f>Credit_2012Q4!$M$11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44B7-4BD6-ACA5-1C75FA900712}"/>
                </c:ext>
              </c:extLst>
            </c:dLbl>
            <c:dLbl>
              <c:idx val="2"/>
              <c:layout/>
              <c:tx>
                <c:strRef>
                  <c:f>Credit_2012Q4!$P$11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{4270A4B7-4E61-433C-9B22-D9EDB39562DC}</c15:txfldGUID>
                      <c15:f>Credit_2012Q4!$P$11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44B7-4BD6-ACA5-1C75FA900712}"/>
                </c:ext>
              </c:extLst>
            </c:dLbl>
            <c:dLbl>
              <c:idx val="3"/>
              <c:layout/>
              <c:tx>
                <c:strRef>
                  <c:f>Credit_2012Q4!$S$11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{F83CCA8A-931A-4D78-811E-D7839A184794}</c15:txfldGUID>
                      <c15:f>Credit_2012Q4!$S$11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44B7-4BD6-ACA5-1C75FA900712}"/>
                </c:ext>
              </c:extLst>
            </c:dLbl>
            <c:dLbl>
              <c:idx val="4"/>
              <c:layout/>
              <c:tx>
                <c:strRef>
                  <c:f>Credit_2012Q4!$V$11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{8E62E8C7-C951-4EC3-8247-2C6BC5B656BB}</c15:txfldGUID>
                      <c15:f>Credit_2012Q4!$V$11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(Credit_2012Q4!$Z$11,Credit_2012Q4!$L$11,Credit_2012Q4!$O$11,Credit_2012Q4!$R$11,Credit_2012Q4!$U$11)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13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4B7-4BD6-ACA5-1C75FA900712}"/>
            </c:ext>
          </c:extLst>
        </c:ser>
        <c:ser>
          <c:idx val="4"/>
          <c:order val="4"/>
          <c:tx>
            <c:strRef>
              <c:f>Credit_2012Q4!$J$12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layout/>
              <c:tx>
                <c:strRef>
                  <c:f>Credit_2012Q4!$J$12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{028A2CFB-3EBF-44F4-84FA-715F41C04272}</c15:txfldGUID>
                      <c15:f>Credit_2012Q4!$J$12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44B7-4BD6-ACA5-1C75FA900712}"/>
                </c:ext>
              </c:extLst>
            </c:dLbl>
            <c:dLbl>
              <c:idx val="1"/>
              <c:layout/>
              <c:tx>
                <c:strRef>
                  <c:f>Credit_2012Q4!$M$12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{E45670A1-1151-4197-A846-1AE499E66F47}</c15:txfldGUID>
                      <c15:f>Credit_2012Q4!$M$12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44B7-4BD6-ACA5-1C75FA900712}"/>
                </c:ext>
              </c:extLst>
            </c:dLbl>
            <c:dLbl>
              <c:idx val="2"/>
              <c:layout/>
              <c:tx>
                <c:strRef>
                  <c:f>Credit_2012Q4!$P$12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{3F98E29F-7D25-47DD-901E-9529B9C94252}</c15:txfldGUID>
                      <c15:f>Credit_2012Q4!$P$12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44B7-4BD6-ACA5-1C75FA900712}"/>
                </c:ext>
              </c:extLst>
            </c:dLbl>
            <c:dLbl>
              <c:idx val="3"/>
              <c:layout/>
              <c:tx>
                <c:strRef>
                  <c:f>Credit_2012Q4!$S$12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{E451A72A-995D-4DAA-9C4B-D520E33015D6}</c15:txfldGUID>
                      <c15:f>Credit_2012Q4!$S$12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44B7-4BD6-ACA5-1C75FA900712}"/>
                </c:ext>
              </c:extLst>
            </c:dLbl>
            <c:dLbl>
              <c:idx val="4"/>
              <c:layout/>
              <c:tx>
                <c:strRef>
                  <c:f>Credit_2012Q4!$V$12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{B1E2E530-1085-4B0D-B6DF-F13D319E952D}</c15:txfldGUID>
                      <c15:f>Credit_2012Q4!$V$12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(Credit_2012Q4!$Z$12,Credit_2012Q4!$L$12,Credit_2012Q4!$O$12,Credit_2012Q4!$R$12,Credit_2012Q4!$U$12)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6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4B7-4BD6-ACA5-1C75FA900712}"/>
            </c:ext>
          </c:extLst>
        </c:ser>
        <c:ser>
          <c:idx val="5"/>
          <c:order val="5"/>
          <c:tx>
            <c:strRef>
              <c:f>Credit_2012Q4!$J$13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Credit_2012Q4!$J$13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{3CE2836F-B1DC-4A8F-B9DB-CD05C2E60591}</c15:txfldGUID>
                      <c15:f>Credit_2012Q4!$J$13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44B7-4BD6-ACA5-1C75FA900712}"/>
                </c:ext>
              </c:extLst>
            </c:dLbl>
            <c:dLbl>
              <c:idx val="1"/>
              <c:layout/>
              <c:tx>
                <c:strRef>
                  <c:f>Credit_2012Q4!$M$13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{09B39819-0E40-45E9-B5F5-D2FD7ECEE411}</c15:txfldGUID>
                      <c15:f>Credit_2012Q4!$M$13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44B7-4BD6-ACA5-1C75FA900712}"/>
                </c:ext>
              </c:extLst>
            </c:dLbl>
            <c:dLbl>
              <c:idx val="2"/>
              <c:layout/>
              <c:tx>
                <c:strRef>
                  <c:f>Credit_2012Q4!$P$13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{E5345621-47C5-4EC2-ADB2-29DCC029B436}</c15:txfldGUID>
                      <c15:f>Credit_2012Q4!$P$13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44B7-4BD6-ACA5-1C75FA900712}"/>
                </c:ext>
              </c:extLst>
            </c:dLbl>
            <c:dLbl>
              <c:idx val="3"/>
              <c:layout/>
              <c:tx>
                <c:strRef>
                  <c:f>Credit_2012Q4!$S$13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{98B05F1A-158B-437C-9188-DDC852ECAE57}</c15:txfldGUID>
                      <c15:f>Credit_2012Q4!$S$13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44B7-4BD6-ACA5-1C75FA900712}"/>
                </c:ext>
              </c:extLst>
            </c:dLbl>
            <c:dLbl>
              <c:idx val="4"/>
              <c:layout/>
              <c:tx>
                <c:strRef>
                  <c:f>Credit_2012Q4!$V$13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{7B578D6C-0F44-456D-9C3E-08D29AD6FE86}</c15:txfldGUID>
                      <c15:f>Credit_2012Q4!$V$13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(Credit_2012Q4!$Z$13,Credit_2012Q4!$L$13,Credit_2012Q4!$O$13,Credit_2012Q4!$R$13,Credit_2012Q4!$U$13)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44B7-4BD6-ACA5-1C75FA900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7643136"/>
        <c:axId val="267153408"/>
      </c:barChart>
      <c:catAx>
        <c:axId val="267643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7153408"/>
        <c:crosses val="max"/>
        <c:auto val="1"/>
        <c:lblAlgn val="ctr"/>
        <c:lblOffset val="100"/>
        <c:noMultiLvlLbl val="0"/>
      </c:catAx>
      <c:valAx>
        <c:axId val="26715340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76431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330-43C6-A275-65D7D5490350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330-43C6-A275-65D7D5490350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330-43C6-A275-65D7D5490350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330-43C6-A275-65D7D5490350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330-43C6-A275-65D7D5490350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330-43C6-A275-65D7D5490350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330-43C6-A275-65D7D5490350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330-43C6-A275-65D7D54903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Credit_2021Q3!$J$8:$J$13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Credit_2021Q3!$M$8:$M$13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0.25</c:v>
                </c:pt>
                <c:pt idx="2">
                  <c:v>0.38636363636363635</c:v>
                </c:pt>
                <c:pt idx="3">
                  <c:v>0.18181818181818182</c:v>
                </c:pt>
                <c:pt idx="4">
                  <c:v>6.8181818181818177E-2</c:v>
                </c:pt>
                <c:pt idx="5">
                  <c:v>6.8181818181818177E-2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330-43C6-A275-65D7D5490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E68F-4FD2-90AF-353F67ACD747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68F-4FD2-90AF-353F67ACD747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E68F-4FD2-90AF-353F67ACD747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E68F-4FD2-90AF-353F67ACD74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E68F-4FD2-90AF-353F67ACD747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E68F-4FD2-90AF-353F67ACD747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68F-4FD2-90AF-353F67ACD747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68F-4FD2-90AF-353F67ACD7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Credit_2012Q3!$J$8:$J$13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Credit_2012Q3!$M$8:$M$13</c:f>
              <c:numCache>
                <c:formatCode>0%</c:formatCode>
                <c:ptCount val="6"/>
                <c:pt idx="0">
                  <c:v>5.3571428571428568E-2</c:v>
                </c:pt>
                <c:pt idx="1">
                  <c:v>0.14285714285714285</c:v>
                </c:pt>
                <c:pt idx="2">
                  <c:v>0.23214285714285715</c:v>
                </c:pt>
                <c:pt idx="3">
                  <c:v>0.2857142857142857</c:v>
                </c:pt>
                <c:pt idx="4">
                  <c:v>0.21428571428571427</c:v>
                </c:pt>
                <c:pt idx="5">
                  <c:v>7.1428571428571425E-2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68F-4FD2-90AF-353F67ACD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Credit_2012Q3!$J$8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Credit_2012Q3!$J$8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{9192C24A-A0D0-4FBE-B0C4-27926CCF90A0}</c15:txfldGUID>
                      <c15:f>Credit_2012Q3!$J$8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1CD5-4A88-9512-E8C48B982D59}"/>
                </c:ext>
              </c:extLst>
            </c:dLbl>
            <c:dLbl>
              <c:idx val="1"/>
              <c:layout/>
              <c:tx>
                <c:strRef>
                  <c:f>Credit_2012Q3!$M$8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{69C459DA-1A5D-44DC-AA4C-F6151E0AD1D7}</c15:txfldGUID>
                      <c15:f>Credit_2012Q3!$M$8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1CD5-4A88-9512-E8C48B982D59}"/>
                </c:ext>
              </c:extLst>
            </c:dLbl>
            <c:dLbl>
              <c:idx val="2"/>
              <c:layout/>
              <c:tx>
                <c:strRef>
                  <c:f>Credit_2012Q3!$P$8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{1D447E34-40AF-4804-AB45-D1AD9753A48D}</c15:txfldGUID>
                      <c15:f>Credit_2012Q3!$P$8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1CD5-4A88-9512-E8C48B982D59}"/>
                </c:ext>
              </c:extLst>
            </c:dLbl>
            <c:dLbl>
              <c:idx val="3"/>
              <c:layout/>
              <c:tx>
                <c:strRef>
                  <c:f>Credit_2012Q3!$S$8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{14A7C474-24DA-4468-8276-C46CF4184541}</c15:txfldGUID>
                      <c15:f>Credit_2012Q3!$S$8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1CD5-4A88-9512-E8C48B982D59}"/>
                </c:ext>
              </c:extLst>
            </c:dLbl>
            <c:dLbl>
              <c:idx val="4"/>
              <c:layout/>
              <c:tx>
                <c:strRef>
                  <c:f>Credit_2012Q3!$V$8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{6A323959-691B-409E-82E1-C8B1460B371D}</c15:txfldGUID>
                      <c15:f>Credit_2012Q3!$V$8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(Credit_2012Q3!$Z$8,Credit_2012Q3!$L$8,Credit_2012Q3!$O$8,Credit_2012Q3!$R$8,Credit_2012Q3!$U$8)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CD5-4A88-9512-E8C48B982D59}"/>
            </c:ext>
          </c:extLst>
        </c:ser>
        <c:ser>
          <c:idx val="1"/>
          <c:order val="1"/>
          <c:tx>
            <c:strRef>
              <c:f>Credit_2012Q3!$J$9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Credit_2012Q3!$J$9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{B59EE277-A4BC-462D-82C0-8BB052A6CD3B}</c15:txfldGUID>
                      <c15:f>Credit_2012Q3!$J$9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1CD5-4A88-9512-E8C48B982D59}"/>
                </c:ext>
              </c:extLst>
            </c:dLbl>
            <c:dLbl>
              <c:idx val="1"/>
              <c:layout/>
              <c:tx>
                <c:strRef>
                  <c:f>Credit_2012Q3!$M$9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{812C7A11-AB44-4872-BA96-07D25D283A1C}</c15:txfldGUID>
                      <c15:f>Credit_2012Q3!$M$9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1CD5-4A88-9512-E8C48B982D59}"/>
                </c:ext>
              </c:extLst>
            </c:dLbl>
            <c:dLbl>
              <c:idx val="2"/>
              <c:layout/>
              <c:tx>
                <c:strRef>
                  <c:f>Credit_2012Q3!$P$9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{8987D190-6CEA-477E-A183-C518526BD6ED}</c15:txfldGUID>
                      <c15:f>Credit_2012Q3!$P$9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1CD5-4A88-9512-E8C48B982D59}"/>
                </c:ext>
              </c:extLst>
            </c:dLbl>
            <c:dLbl>
              <c:idx val="3"/>
              <c:layout/>
              <c:tx>
                <c:strRef>
                  <c:f>Credit_2012Q3!$S$9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{4EF58971-462A-4976-97C6-074989A435E8}</c15:txfldGUID>
                      <c15:f>Credit_2012Q3!$S$9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CD5-4A88-9512-E8C48B982D59}"/>
                </c:ext>
              </c:extLst>
            </c:dLbl>
            <c:dLbl>
              <c:idx val="4"/>
              <c:layout/>
              <c:tx>
                <c:strRef>
                  <c:f>Credit_2012Q3!$V$9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{7FD6352C-1A6C-49C8-A062-63736609A4F2}</c15:txfldGUID>
                      <c15:f>Credit_2012Q3!$V$9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(Credit_2012Q3!$Z$9,Credit_2012Q3!$L$9,Credit_2012Q3!$O$9,Credit_2012Q3!$R$9,Credit_2012Q3!$U$9)</c:f>
              <c:numCache>
                <c:formatCode>General</c:formatCode>
                <c:ptCount val="5"/>
                <c:pt idx="0">
                  <c:v>1</c:v>
                </c:pt>
                <c:pt idx="1">
                  <c:v>8</c:v>
                </c:pt>
                <c:pt idx="2">
                  <c:v>6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CD5-4A88-9512-E8C48B982D59}"/>
            </c:ext>
          </c:extLst>
        </c:ser>
        <c:ser>
          <c:idx val="2"/>
          <c:order val="2"/>
          <c:tx>
            <c:strRef>
              <c:f>Credit_2012Q3!$J$10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Credit_2012Q3!$J$10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{D5C24E82-B9B0-4CA2-BE08-D791C9F1B0A2}</c15:txfldGUID>
                      <c15:f>Credit_2012Q3!$J$10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CD5-4A88-9512-E8C48B982D59}"/>
                </c:ext>
              </c:extLst>
            </c:dLbl>
            <c:dLbl>
              <c:idx val="1"/>
              <c:layout/>
              <c:tx>
                <c:strRef>
                  <c:f>Credit_2012Q3!$M$10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{6821362F-71F4-45F4-9421-3E16D951D12D}</c15:txfldGUID>
                      <c15:f>Credit_2012Q3!$M$10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CD5-4A88-9512-E8C48B982D59}"/>
                </c:ext>
              </c:extLst>
            </c:dLbl>
            <c:dLbl>
              <c:idx val="2"/>
              <c:layout/>
              <c:tx>
                <c:strRef>
                  <c:f>Credit_2012Q3!$P$10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{244A824C-EFC0-4F12-92D2-C0785A30C7E0}</c15:txfldGUID>
                      <c15:f>Credit_2012Q3!$P$10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CD5-4A88-9512-E8C48B982D59}"/>
                </c:ext>
              </c:extLst>
            </c:dLbl>
            <c:dLbl>
              <c:idx val="3"/>
              <c:layout/>
              <c:tx>
                <c:strRef>
                  <c:f>Credit_2012Q3!$S$10</c:f>
                  <c:strCache>
                    <c:ptCount val="1"/>
                    <c:pt idx="0">
                      <c:v>41%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{FB559879-5B8E-49DA-B0A4-180E16486CC5}</c15:txfldGUID>
                      <c15:f>Credit_2012Q3!$S$10</c15:f>
                      <c15:dlblFieldTableCache>
                        <c:ptCount val="1"/>
                        <c:pt idx="0">
                          <c:v>41%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1CD5-4A88-9512-E8C48B982D59}"/>
                </c:ext>
              </c:extLst>
            </c:dLbl>
            <c:dLbl>
              <c:idx val="4"/>
              <c:layout/>
              <c:tx>
                <c:strRef>
                  <c:f>Credit_2012Q3!$V$10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{FCEE422C-4DC1-424C-B33F-CE865C5D7CBA}</c15:txfldGUID>
                      <c15:f>Credit_2012Q3!$V$10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(Credit_2012Q3!$Z$10,Credit_2012Q3!$L$10,Credit_2012Q3!$O$10,Credit_2012Q3!$R$10,Credit_2012Q3!$U$10)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5</c:v>
                </c:pt>
                <c:pt idx="3">
                  <c:v>7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CD5-4A88-9512-E8C48B982D59}"/>
            </c:ext>
          </c:extLst>
        </c:ser>
        <c:ser>
          <c:idx val="3"/>
          <c:order val="3"/>
          <c:tx>
            <c:strRef>
              <c:f>Credit_2012Q3!$J$11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Credit_2012Q3!$J$11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{2F491B5B-EED4-435E-A1C8-6F17A931775D}</c15:txfldGUID>
                      <c15:f>Credit_2012Q3!$J$11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1CD5-4A88-9512-E8C48B982D59}"/>
                </c:ext>
              </c:extLst>
            </c:dLbl>
            <c:dLbl>
              <c:idx val="1"/>
              <c:layout/>
              <c:tx>
                <c:strRef>
                  <c:f>Credit_2012Q3!$M$11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{AD56EABD-553B-4B57-89EE-F49FCE512856}</c15:txfldGUID>
                      <c15:f>Credit_2012Q3!$M$11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1CD5-4A88-9512-E8C48B982D59}"/>
                </c:ext>
              </c:extLst>
            </c:dLbl>
            <c:dLbl>
              <c:idx val="2"/>
              <c:layout/>
              <c:tx>
                <c:strRef>
                  <c:f>Credit_2012Q3!$P$11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{473C8D88-C48B-4990-ABBF-66B8C5C7546E}</c15:txfldGUID>
                      <c15:f>Credit_2012Q3!$P$11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1CD5-4A88-9512-E8C48B982D59}"/>
                </c:ext>
              </c:extLst>
            </c:dLbl>
            <c:dLbl>
              <c:idx val="3"/>
              <c:layout/>
              <c:tx>
                <c:strRef>
                  <c:f>Credit_2012Q3!$S$11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{694CCB7D-B1DF-4B4B-8D6D-C0A3BC15530E}</c15:txfldGUID>
                      <c15:f>Credit_2012Q3!$S$11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1CD5-4A88-9512-E8C48B982D59}"/>
                </c:ext>
              </c:extLst>
            </c:dLbl>
            <c:dLbl>
              <c:idx val="4"/>
              <c:layout/>
              <c:tx>
                <c:strRef>
                  <c:f>Credit_2012Q3!$V$11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{875647ED-AD81-495E-A66A-C5CD03FEFB29}</c15:txfldGUID>
                      <c15:f>Credit_2012Q3!$V$11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(Credit_2012Q3!$Z$11,Credit_2012Q3!$L$11,Credit_2012Q3!$O$11,Credit_2012Q3!$R$11,Credit_2012Q3!$U$11)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13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CD5-4A88-9512-E8C48B982D59}"/>
            </c:ext>
          </c:extLst>
        </c:ser>
        <c:ser>
          <c:idx val="4"/>
          <c:order val="4"/>
          <c:tx>
            <c:strRef>
              <c:f>Credit_2012Q3!$J$12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layout/>
              <c:tx>
                <c:strRef>
                  <c:f>Credit_2012Q3!$J$12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{5EE5BDE7-ED5D-48A1-BE47-B53CF1A509A8}</c15:txfldGUID>
                      <c15:f>Credit_2012Q3!$J$12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1CD5-4A88-9512-E8C48B982D59}"/>
                </c:ext>
              </c:extLst>
            </c:dLbl>
            <c:dLbl>
              <c:idx val="1"/>
              <c:layout/>
              <c:tx>
                <c:strRef>
                  <c:f>Credit_2012Q3!$M$12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{29E2C838-9B87-4B42-9F14-EBA58DB5D14D}</c15:txfldGUID>
                      <c15:f>Credit_2012Q3!$M$12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1CD5-4A88-9512-E8C48B982D59}"/>
                </c:ext>
              </c:extLst>
            </c:dLbl>
            <c:dLbl>
              <c:idx val="2"/>
              <c:layout/>
              <c:tx>
                <c:strRef>
                  <c:f>Credit_2012Q3!$P$12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{3C028599-8C10-448D-B9FE-D9E950A7C717}</c15:txfldGUID>
                      <c15:f>Credit_2012Q3!$P$12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1CD5-4A88-9512-E8C48B982D59}"/>
                </c:ext>
              </c:extLst>
            </c:dLbl>
            <c:dLbl>
              <c:idx val="3"/>
              <c:layout/>
              <c:tx>
                <c:strRef>
                  <c:f>Credit_2012Q3!$S$12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{B78DC8BA-B783-4970-8E7E-AFF93D957C2D}</c15:txfldGUID>
                      <c15:f>Credit_2012Q3!$S$12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1CD5-4A88-9512-E8C48B982D59}"/>
                </c:ext>
              </c:extLst>
            </c:dLbl>
            <c:dLbl>
              <c:idx val="4"/>
              <c:layout/>
              <c:tx>
                <c:strRef>
                  <c:f>Credit_2012Q3!$V$12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{44A3C031-B8E0-4789-B948-1C3921D26469}</c15:txfldGUID>
                      <c15:f>Credit_2012Q3!$V$12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(Credit_2012Q3!$Z$12,Credit_2012Q3!$L$12,Credit_2012Q3!$O$12,Credit_2012Q3!$R$12,Credit_2012Q3!$U$12)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CD5-4A88-9512-E8C48B982D59}"/>
            </c:ext>
          </c:extLst>
        </c:ser>
        <c:ser>
          <c:idx val="5"/>
          <c:order val="5"/>
          <c:tx>
            <c:strRef>
              <c:f>Credit_2012Q3!$J$13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Credit_2012Q3!$J$13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{D89E3442-82CD-4F1D-BFCA-07F4250C2917}</c15:txfldGUID>
                      <c15:f>Credit_2012Q3!$J$13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1CD5-4A88-9512-E8C48B982D59}"/>
                </c:ext>
              </c:extLst>
            </c:dLbl>
            <c:dLbl>
              <c:idx val="1"/>
              <c:layout/>
              <c:tx>
                <c:strRef>
                  <c:f>Credit_2012Q3!$M$13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{D077A702-67D1-48C2-AB34-5CE0F7AFB837}</c15:txfldGUID>
                      <c15:f>Credit_2012Q3!$M$13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1CD5-4A88-9512-E8C48B982D59}"/>
                </c:ext>
              </c:extLst>
            </c:dLbl>
            <c:dLbl>
              <c:idx val="2"/>
              <c:layout/>
              <c:tx>
                <c:strRef>
                  <c:f>Credit_2012Q3!$P$13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{EE6F35A6-8A5E-4C34-8FDC-29850B8CE9B9}</c15:txfldGUID>
                      <c15:f>Credit_2012Q3!$P$13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1CD5-4A88-9512-E8C48B982D59}"/>
                </c:ext>
              </c:extLst>
            </c:dLbl>
            <c:dLbl>
              <c:idx val="3"/>
              <c:layout/>
              <c:tx>
                <c:strRef>
                  <c:f>Credit_2012Q3!$S$13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{D02453BE-9AB7-4F33-909A-1BA7FED5A043}</c15:txfldGUID>
                      <c15:f>Credit_2012Q3!$S$13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1CD5-4A88-9512-E8C48B982D59}"/>
                </c:ext>
              </c:extLst>
            </c:dLbl>
            <c:dLbl>
              <c:idx val="4"/>
              <c:layout/>
              <c:tx>
                <c:strRef>
                  <c:f>Credit_2012Q3!$V$13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{1DC4506D-B2B0-4263-B36A-00F0A8CAB13B}</c15:txfldGUID>
                      <c15:f>Credit_2012Q3!$V$13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(Credit_2012Q3!$Z$13,Credit_2012Q3!$L$13,Credit_2012Q3!$O$13,Credit_2012Q3!$R$13,Credit_2012Q3!$U$13)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CD5-4A88-9512-E8C48B982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8288000"/>
        <c:axId val="268289536"/>
      </c:barChart>
      <c:catAx>
        <c:axId val="268288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8289536"/>
        <c:crosses val="max"/>
        <c:auto val="1"/>
        <c:lblAlgn val="ctr"/>
        <c:lblOffset val="100"/>
        <c:noMultiLvlLbl val="0"/>
      </c:catAx>
      <c:valAx>
        <c:axId val="26828953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828800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2A91-4226-BC43-EC67CBB2060B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2A91-4226-BC43-EC67CBB2060B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2A91-4226-BC43-EC67CBB2060B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2A91-4226-BC43-EC67CBB2060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2A91-4226-BC43-EC67CBB2060B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2A91-4226-BC43-EC67CBB2060B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A91-4226-BC43-EC67CBB2060B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2A91-4226-BC43-EC67CBB206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Credit_2012Q2!$J$8:$J$13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Credit_2012Q2!$M$8:$M$13</c:f>
              <c:numCache>
                <c:formatCode>0%</c:formatCode>
                <c:ptCount val="6"/>
                <c:pt idx="0">
                  <c:v>5.2631578947368418E-2</c:v>
                </c:pt>
                <c:pt idx="1">
                  <c:v>0.15789473684210525</c:v>
                </c:pt>
                <c:pt idx="2">
                  <c:v>0.22807017543859648</c:v>
                </c:pt>
                <c:pt idx="3">
                  <c:v>0.2807017543859649</c:v>
                </c:pt>
                <c:pt idx="4">
                  <c:v>0.21052631578947367</c:v>
                </c:pt>
                <c:pt idx="5">
                  <c:v>7.0175438596491224E-2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A91-4226-BC43-EC67CBB20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Credit_2012Q2!$J$8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Credit_2012Q2!$J$8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{FA62DFED-BD03-43BB-890C-3D0F4AEEAED4}</c15:txfldGUID>
                      <c15:f>Credit_2012Q2!$J$8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6E2A-489D-B7F2-2950AA9A178D}"/>
                </c:ext>
              </c:extLst>
            </c:dLbl>
            <c:dLbl>
              <c:idx val="1"/>
              <c:layout/>
              <c:tx>
                <c:strRef>
                  <c:f>Credit_2012Q2!$M$8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{CE50ADD8-AAC1-4491-8A68-17CE5DA2C4A1}</c15:txfldGUID>
                      <c15:f>Credit_2012Q2!$M$8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6E2A-489D-B7F2-2950AA9A178D}"/>
                </c:ext>
              </c:extLst>
            </c:dLbl>
            <c:dLbl>
              <c:idx val="2"/>
              <c:layout/>
              <c:tx>
                <c:strRef>
                  <c:f>Credit_2012Q2!$P$8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{2547BD16-0A45-45DF-A8E4-5C850C56F000}</c15:txfldGUID>
                      <c15:f>Credit_2012Q2!$P$8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6E2A-489D-B7F2-2950AA9A178D}"/>
                </c:ext>
              </c:extLst>
            </c:dLbl>
            <c:dLbl>
              <c:idx val="3"/>
              <c:layout/>
              <c:tx>
                <c:strRef>
                  <c:f>Credit_2012Q2!$S$8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{972BDE86-7D1F-42BB-8A84-83C59260DCD4}</c15:txfldGUID>
                      <c15:f>Credit_2012Q2!$S$8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6E2A-489D-B7F2-2950AA9A178D}"/>
                </c:ext>
              </c:extLst>
            </c:dLbl>
            <c:dLbl>
              <c:idx val="4"/>
              <c:layout/>
              <c:tx>
                <c:strRef>
                  <c:f>Credit_2012Q2!$V$8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{416273D0-F078-44D7-A43B-A49143437C9A}</c15:txfldGUID>
                      <c15:f>Credit_2012Q2!$V$8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(Credit_2012Q2!$Z$8,Credit_2012Q2!$L$8,Credit_2012Q2!$O$8,Credit_2012Q2!$R$8,Credit_2012Q2!$U$8)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E2A-489D-B7F2-2950AA9A178D}"/>
            </c:ext>
          </c:extLst>
        </c:ser>
        <c:ser>
          <c:idx val="1"/>
          <c:order val="1"/>
          <c:tx>
            <c:strRef>
              <c:f>Credit_2012Q2!$J$9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Credit_2012Q2!$J$9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{B87F829E-DDD6-4824-88A3-1D55BD65EF72}</c15:txfldGUID>
                      <c15:f>Credit_2012Q2!$J$9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6E2A-489D-B7F2-2950AA9A178D}"/>
                </c:ext>
              </c:extLst>
            </c:dLbl>
            <c:dLbl>
              <c:idx val="1"/>
              <c:layout/>
              <c:tx>
                <c:strRef>
                  <c:f>Credit_2012Q2!$M$9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{ABFAE55B-214E-41BF-95DF-6BF7B18781CC}</c15:txfldGUID>
                      <c15:f>Credit_2012Q2!$M$9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6E2A-489D-B7F2-2950AA9A178D}"/>
                </c:ext>
              </c:extLst>
            </c:dLbl>
            <c:dLbl>
              <c:idx val="2"/>
              <c:layout/>
              <c:tx>
                <c:strRef>
                  <c:f>Credit_2012Q2!$P$9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{93EBDABD-AE80-4610-958E-2163E1FAB3CB}</c15:txfldGUID>
                      <c15:f>Credit_2012Q2!$P$9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6E2A-489D-B7F2-2950AA9A178D}"/>
                </c:ext>
              </c:extLst>
            </c:dLbl>
            <c:dLbl>
              <c:idx val="3"/>
              <c:layout/>
              <c:tx>
                <c:strRef>
                  <c:f>Credit_2012Q2!$S$9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{A5B77252-557C-4ADB-9797-2B6793B726F8}</c15:txfldGUID>
                      <c15:f>Credit_2012Q2!$S$9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6E2A-489D-B7F2-2950AA9A178D}"/>
                </c:ext>
              </c:extLst>
            </c:dLbl>
            <c:dLbl>
              <c:idx val="4"/>
              <c:layout/>
              <c:tx>
                <c:strRef>
                  <c:f>Credit_2012Q2!$V$9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{BAD91221-1AF7-4E74-92F9-23E37983B3E4}</c15:txfldGUID>
                      <c15:f>Credit_2012Q2!$V$9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(Credit_2012Q2!$Z$9,Credit_2012Q2!$L$9,Credit_2012Q2!$O$9,Credit_2012Q2!$R$9,Credit_2012Q2!$U$9)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E2A-489D-B7F2-2950AA9A178D}"/>
            </c:ext>
          </c:extLst>
        </c:ser>
        <c:ser>
          <c:idx val="2"/>
          <c:order val="2"/>
          <c:tx>
            <c:strRef>
              <c:f>Credit_2012Q2!$J$10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Credit_2012Q2!$J$10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{8C14C5C6-F9AF-4F51-B3E4-A2AEB3EFC43D}</c15:txfldGUID>
                      <c15:f>Credit_2012Q2!$J$10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6E2A-489D-B7F2-2950AA9A178D}"/>
                </c:ext>
              </c:extLst>
            </c:dLbl>
            <c:dLbl>
              <c:idx val="1"/>
              <c:layout/>
              <c:tx>
                <c:strRef>
                  <c:f>Credit_2012Q2!$M$10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{9F7006C5-D3B8-47FC-B291-3173A616EBDA}</c15:txfldGUID>
                      <c15:f>Credit_2012Q2!$M$10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6E2A-489D-B7F2-2950AA9A178D}"/>
                </c:ext>
              </c:extLst>
            </c:dLbl>
            <c:dLbl>
              <c:idx val="2"/>
              <c:layout/>
              <c:tx>
                <c:strRef>
                  <c:f>Credit_2012Q2!$P$10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{E516BA38-3506-47C8-898E-AFB35458F990}</c15:txfldGUID>
                      <c15:f>Credit_2012Q2!$P$10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6E2A-489D-B7F2-2950AA9A178D}"/>
                </c:ext>
              </c:extLst>
            </c:dLbl>
            <c:dLbl>
              <c:idx val="3"/>
              <c:layout/>
              <c:tx>
                <c:strRef>
                  <c:f>Credit_2012Q2!$S$10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{6F4456FF-D275-4DC1-84E6-313B1068EF0A}</c15:txfldGUID>
                      <c15:f>Credit_2012Q2!$S$10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6E2A-489D-B7F2-2950AA9A178D}"/>
                </c:ext>
              </c:extLst>
            </c:dLbl>
            <c:dLbl>
              <c:idx val="4"/>
              <c:layout/>
              <c:tx>
                <c:strRef>
                  <c:f>Credit_2012Q2!$V$10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{8C805B7F-E15A-4D0A-A28E-BA18A4FF961F}</c15:txfldGUID>
                      <c15:f>Credit_2012Q2!$V$10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(Credit_2012Q2!$Z$10,Credit_2012Q2!$L$10,Credit_2012Q2!$O$10,Credit_2012Q2!$R$10,Credit_2012Q2!$U$10)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6</c:v>
                </c:pt>
                <c:pt idx="3">
                  <c:v>6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E2A-489D-B7F2-2950AA9A178D}"/>
            </c:ext>
          </c:extLst>
        </c:ser>
        <c:ser>
          <c:idx val="3"/>
          <c:order val="3"/>
          <c:tx>
            <c:strRef>
              <c:f>Credit_2012Q2!$J$11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Credit_2012Q2!$J$11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{D08398C2-4BA3-42A3-819E-68306439C648}</c15:txfldGUID>
                      <c15:f>Credit_2012Q2!$J$11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6E2A-489D-B7F2-2950AA9A178D}"/>
                </c:ext>
              </c:extLst>
            </c:dLbl>
            <c:dLbl>
              <c:idx val="1"/>
              <c:layout/>
              <c:tx>
                <c:strRef>
                  <c:f>Credit_2012Q2!$M$11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{A0D86FE4-C19D-4910-AEBD-797BF32E1A67}</c15:txfldGUID>
                      <c15:f>Credit_2012Q2!$M$11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6E2A-489D-B7F2-2950AA9A178D}"/>
                </c:ext>
              </c:extLst>
            </c:dLbl>
            <c:dLbl>
              <c:idx val="2"/>
              <c:layout/>
              <c:tx>
                <c:strRef>
                  <c:f>Credit_2012Q2!$P$11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{248CD89F-0BD6-4A5F-ABD5-32918D5ABFC0}</c15:txfldGUID>
                      <c15:f>Credit_2012Q2!$P$11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6E2A-489D-B7F2-2950AA9A178D}"/>
                </c:ext>
              </c:extLst>
            </c:dLbl>
            <c:dLbl>
              <c:idx val="3"/>
              <c:layout/>
              <c:tx>
                <c:strRef>
                  <c:f>Credit_2012Q2!$S$11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{0965C940-91AE-4947-8814-CA984F02955D}</c15:txfldGUID>
                      <c15:f>Credit_2012Q2!$S$11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6E2A-489D-B7F2-2950AA9A178D}"/>
                </c:ext>
              </c:extLst>
            </c:dLbl>
            <c:dLbl>
              <c:idx val="4"/>
              <c:layout/>
              <c:tx>
                <c:strRef>
                  <c:f>Credit_2012Q2!$V$11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{DC287FCA-A472-489F-9B2C-85E2B72E9785}</c15:txfldGUID>
                      <c15:f>Credit_2012Q2!$V$11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(Credit_2012Q2!$Z$11,Credit_2012Q2!$L$11,Credit_2012Q2!$O$11,Credit_2012Q2!$R$11,Credit_2012Q2!$U$11)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13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E2A-489D-B7F2-2950AA9A178D}"/>
            </c:ext>
          </c:extLst>
        </c:ser>
        <c:ser>
          <c:idx val="4"/>
          <c:order val="4"/>
          <c:tx>
            <c:strRef>
              <c:f>Credit_2012Q2!$J$12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layout/>
              <c:tx>
                <c:strRef>
                  <c:f>Credit_2012Q2!$J$12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{7C7055E9-1A5E-4044-BC87-EBA8B4C4487C}</c15:txfldGUID>
                      <c15:f>Credit_2012Q2!$J$12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6E2A-489D-B7F2-2950AA9A178D}"/>
                </c:ext>
              </c:extLst>
            </c:dLbl>
            <c:dLbl>
              <c:idx val="1"/>
              <c:layout/>
              <c:tx>
                <c:strRef>
                  <c:f>Credit_2012Q2!$M$12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{51611FBA-A796-437D-BEC4-575FFCB9221A}</c15:txfldGUID>
                      <c15:f>Credit_2012Q2!$M$12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6E2A-489D-B7F2-2950AA9A178D}"/>
                </c:ext>
              </c:extLst>
            </c:dLbl>
            <c:dLbl>
              <c:idx val="2"/>
              <c:layout/>
              <c:tx>
                <c:strRef>
                  <c:f>Credit_2012Q2!$P$12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{8F07DD8C-1A6C-4FC9-992E-AD00925CEB45}</c15:txfldGUID>
                      <c15:f>Credit_2012Q2!$P$12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6E2A-489D-B7F2-2950AA9A178D}"/>
                </c:ext>
              </c:extLst>
            </c:dLbl>
            <c:dLbl>
              <c:idx val="3"/>
              <c:layout/>
              <c:tx>
                <c:strRef>
                  <c:f>Credit_2012Q2!$S$12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{229859C8-F5C5-4825-AB17-09D5D6A573EC}</c15:txfldGUID>
                      <c15:f>Credit_2012Q2!$S$12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6E2A-489D-B7F2-2950AA9A178D}"/>
                </c:ext>
              </c:extLst>
            </c:dLbl>
            <c:dLbl>
              <c:idx val="4"/>
              <c:layout/>
              <c:tx>
                <c:strRef>
                  <c:f>Credit_2012Q2!$V$12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{25263F66-3BC0-4A6C-B473-7D33D8F6F10E}</c15:txfldGUID>
                      <c15:f>Credit_2012Q2!$V$12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(Credit_2012Q2!$Z$12,Credit_2012Q2!$L$12,Credit_2012Q2!$O$12,Credit_2012Q2!$R$12,Credit_2012Q2!$U$12)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E2A-489D-B7F2-2950AA9A178D}"/>
            </c:ext>
          </c:extLst>
        </c:ser>
        <c:ser>
          <c:idx val="5"/>
          <c:order val="5"/>
          <c:tx>
            <c:strRef>
              <c:f>Credit_2012Q2!$J$13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Credit_2012Q2!$J$13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{FA8878E1-CFA9-46ED-9254-2E7A33F84649}</c15:txfldGUID>
                      <c15:f>Credit_2012Q2!$J$13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6E2A-489D-B7F2-2950AA9A178D}"/>
                </c:ext>
              </c:extLst>
            </c:dLbl>
            <c:dLbl>
              <c:idx val="1"/>
              <c:layout/>
              <c:tx>
                <c:strRef>
                  <c:f>Credit_2012Q2!$M$13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{54A886A2-62BD-4438-A40E-1A2C62BCEC53}</c15:txfldGUID>
                      <c15:f>Credit_2012Q2!$M$13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6E2A-489D-B7F2-2950AA9A178D}"/>
                </c:ext>
              </c:extLst>
            </c:dLbl>
            <c:dLbl>
              <c:idx val="2"/>
              <c:layout/>
              <c:tx>
                <c:strRef>
                  <c:f>Credit_2012Q2!$P$13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{4B435C54-F8A3-4F0F-B1AD-5C69D4892864}</c15:txfldGUID>
                      <c15:f>Credit_2012Q2!$P$13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6E2A-489D-B7F2-2950AA9A178D}"/>
                </c:ext>
              </c:extLst>
            </c:dLbl>
            <c:dLbl>
              <c:idx val="3"/>
              <c:layout/>
              <c:tx>
                <c:strRef>
                  <c:f>Credit_2012Q2!$S$13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{347EA7C5-4988-4673-8AB7-7EA8D0168B6C}</c15:txfldGUID>
                      <c15:f>Credit_2012Q2!$S$13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6E2A-489D-B7F2-2950AA9A178D}"/>
                </c:ext>
              </c:extLst>
            </c:dLbl>
            <c:dLbl>
              <c:idx val="4"/>
              <c:layout/>
              <c:tx>
                <c:strRef>
                  <c:f>Credit_2012Q2!$V$13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{81E9D376-DF64-4A15-B35F-1772DF092FA5}</c15:txfldGUID>
                      <c15:f>Credit_2012Q2!$V$13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(Credit_2012Q2!$Z$13,Credit_2012Q2!$L$13,Credit_2012Q2!$O$13,Credit_2012Q2!$R$13,Credit_2012Q2!$U$13)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E2A-489D-B7F2-2950AA9A1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8420608"/>
        <c:axId val="268422144"/>
      </c:barChart>
      <c:catAx>
        <c:axId val="268420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8422144"/>
        <c:crosses val="max"/>
        <c:auto val="1"/>
        <c:lblAlgn val="ctr"/>
        <c:lblOffset val="100"/>
        <c:noMultiLvlLbl val="0"/>
      </c:catAx>
      <c:valAx>
        <c:axId val="26842214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842060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3042-473C-A110-6CBD07DA8430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042-473C-A110-6CBD07DA8430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3042-473C-A110-6CBD07DA8430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3042-473C-A110-6CBD07DA8430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3042-473C-A110-6CBD07DA8430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3042-473C-A110-6CBD07DA8430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042-473C-A110-6CBD07DA8430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042-473C-A110-6CBD07DA84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Credit_2012Q1!$J$8:$J$13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Credit_2012Q1!$M$8:$M$13</c:f>
              <c:numCache>
                <c:formatCode>0%</c:formatCode>
                <c:ptCount val="6"/>
                <c:pt idx="0">
                  <c:v>6.8965517241379309E-2</c:v>
                </c:pt>
                <c:pt idx="1">
                  <c:v>0.15517241379310345</c:v>
                </c:pt>
                <c:pt idx="2">
                  <c:v>0.22413793103448276</c:v>
                </c:pt>
                <c:pt idx="3">
                  <c:v>0.27586206896551724</c:v>
                </c:pt>
                <c:pt idx="4">
                  <c:v>0.18965517241379309</c:v>
                </c:pt>
                <c:pt idx="5">
                  <c:v>8.6206896551724144E-2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042-473C-A110-6CBD07DA8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Credit_2012Q1!$J$8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Credit_2012Q1!$J$8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{20239D27-F4DA-4709-8CA7-D15337FD4E77}</c15:txfldGUID>
                      <c15:f>Credit_2012Q1!$J$8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37D1-411B-A5AE-6DAA369708C7}"/>
                </c:ext>
              </c:extLst>
            </c:dLbl>
            <c:dLbl>
              <c:idx val="1"/>
              <c:layout/>
              <c:tx>
                <c:strRef>
                  <c:f>Credit_2012Q1!$M$8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{230B21E5-96CF-4F7C-BB8D-0D683191CA20}</c15:txfldGUID>
                      <c15:f>Credit_2012Q1!$M$8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37D1-411B-A5AE-6DAA369708C7}"/>
                </c:ext>
              </c:extLst>
            </c:dLbl>
            <c:dLbl>
              <c:idx val="2"/>
              <c:layout/>
              <c:tx>
                <c:strRef>
                  <c:f>Credit_2012Q1!$P$8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{99D7D089-27A6-4652-B4EC-8C9F6E1048A1}</c15:txfldGUID>
                      <c15:f>Credit_2012Q1!$P$8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37D1-411B-A5AE-6DAA369708C7}"/>
                </c:ext>
              </c:extLst>
            </c:dLbl>
            <c:dLbl>
              <c:idx val="3"/>
              <c:layout/>
              <c:tx>
                <c:strRef>
                  <c:f>Credit_2012Q1!$S$8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{06CBB45F-DDB0-4C22-8C45-C5B6CB048DFB}</c15:txfldGUID>
                      <c15:f>Credit_2012Q1!$S$8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37D1-411B-A5AE-6DAA369708C7}"/>
                </c:ext>
              </c:extLst>
            </c:dLbl>
            <c:dLbl>
              <c:idx val="4"/>
              <c:layout/>
              <c:tx>
                <c:strRef>
                  <c:f>Credit_2012Q1!$V$8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{851E2C3B-2986-4835-9240-9DB223B2F016}</c15:txfldGUID>
                      <c15:f>Credit_2012Q1!$V$8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(Credit_2012Q1!$Z$8,Credit_2012Q1!$L$8,Credit_2012Q1!$O$8,Credit_2012Q1!$R$8,Credit_2012Q1!$U$8)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D1-411B-A5AE-6DAA369708C7}"/>
            </c:ext>
          </c:extLst>
        </c:ser>
        <c:ser>
          <c:idx val="1"/>
          <c:order val="1"/>
          <c:tx>
            <c:strRef>
              <c:f>Credit_2012Q1!$J$9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Credit_2012Q1!$J$9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{D9E445CC-95CD-4344-9256-0D9B6467CAF6}</c15:txfldGUID>
                      <c15:f>Credit_2012Q1!$J$9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37D1-411B-A5AE-6DAA369708C7}"/>
                </c:ext>
              </c:extLst>
            </c:dLbl>
            <c:dLbl>
              <c:idx val="1"/>
              <c:layout/>
              <c:tx>
                <c:strRef>
                  <c:f>Credit_2012Q1!$M$9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{4316A7C3-4647-48A6-A3DA-089DC0C8DA28}</c15:txfldGUID>
                      <c15:f>Credit_2012Q1!$M$9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37D1-411B-A5AE-6DAA369708C7}"/>
                </c:ext>
              </c:extLst>
            </c:dLbl>
            <c:dLbl>
              <c:idx val="2"/>
              <c:layout/>
              <c:tx>
                <c:strRef>
                  <c:f>Credit_2012Q1!$P$9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{BF291F16-79AA-4C8E-844E-88A3EE60D29D}</c15:txfldGUID>
                      <c15:f>Credit_2012Q1!$P$9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37D1-411B-A5AE-6DAA369708C7}"/>
                </c:ext>
              </c:extLst>
            </c:dLbl>
            <c:dLbl>
              <c:idx val="3"/>
              <c:layout/>
              <c:tx>
                <c:strRef>
                  <c:f>Credit_2012Q1!$S$9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{D11283CD-063E-4AC2-BAA6-FD96E03AAB68}</c15:txfldGUID>
                      <c15:f>Credit_2012Q1!$S$9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37D1-411B-A5AE-6DAA369708C7}"/>
                </c:ext>
              </c:extLst>
            </c:dLbl>
            <c:dLbl>
              <c:idx val="4"/>
              <c:layout/>
              <c:tx>
                <c:strRef>
                  <c:f>Credit_2012Q1!$V$9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{B64B2984-BF1E-405B-B0FA-86030A86454C}</c15:txfldGUID>
                      <c15:f>Credit_2012Q1!$V$9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(Credit_2012Q1!$Z$9,Credit_2012Q1!$L$9,Credit_2012Q1!$O$9,Credit_2012Q1!$R$9,Credit_2012Q1!$U$9)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7D1-411B-A5AE-6DAA369708C7}"/>
            </c:ext>
          </c:extLst>
        </c:ser>
        <c:ser>
          <c:idx val="2"/>
          <c:order val="2"/>
          <c:tx>
            <c:strRef>
              <c:f>Credit_2012Q1!$J$10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Credit_2012Q1!$J$10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{42A3ED7F-D074-455A-A3CE-29C375BFB658}</c15:txfldGUID>
                      <c15:f>Credit_2012Q1!$J$10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37D1-411B-A5AE-6DAA369708C7}"/>
                </c:ext>
              </c:extLst>
            </c:dLbl>
            <c:dLbl>
              <c:idx val="1"/>
              <c:layout/>
              <c:tx>
                <c:strRef>
                  <c:f>Credit_2012Q1!$M$10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{5CD900F5-FAF0-4C4B-977C-B357D02FD299}</c15:txfldGUID>
                      <c15:f>Credit_2012Q1!$M$10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37D1-411B-A5AE-6DAA369708C7}"/>
                </c:ext>
              </c:extLst>
            </c:dLbl>
            <c:dLbl>
              <c:idx val="2"/>
              <c:layout/>
              <c:tx>
                <c:strRef>
                  <c:f>Credit_2012Q1!$P$10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{9B4BD44A-EFA9-43B0-9994-DFB854334854}</c15:txfldGUID>
                      <c15:f>Credit_2012Q1!$P$10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37D1-411B-A5AE-6DAA369708C7}"/>
                </c:ext>
              </c:extLst>
            </c:dLbl>
            <c:dLbl>
              <c:idx val="3"/>
              <c:layout/>
              <c:tx>
                <c:strRef>
                  <c:f>Credit_2012Q1!$S$10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{CFFA27E8-CA5A-4CFE-9EE2-A3FBF5E600B0}</c15:txfldGUID>
                      <c15:f>Credit_2012Q1!$S$10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37D1-411B-A5AE-6DAA369708C7}"/>
                </c:ext>
              </c:extLst>
            </c:dLbl>
            <c:dLbl>
              <c:idx val="4"/>
              <c:layout/>
              <c:tx>
                <c:strRef>
                  <c:f>Credit_2012Q1!$V$10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{30898D31-709B-495D-9F6C-1EE651425B44}</c15:txfldGUID>
                      <c15:f>Credit_2012Q1!$V$10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(Credit_2012Q1!$Z$10,Credit_2012Q1!$L$10,Credit_2012Q1!$O$10,Credit_2012Q1!$R$10,Credit_2012Q1!$U$10)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6</c:v>
                </c:pt>
                <c:pt idx="3">
                  <c:v>6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7D1-411B-A5AE-6DAA369708C7}"/>
            </c:ext>
          </c:extLst>
        </c:ser>
        <c:ser>
          <c:idx val="3"/>
          <c:order val="3"/>
          <c:tx>
            <c:strRef>
              <c:f>Credit_2012Q1!$J$11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Credit_2012Q1!$J$11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{03592FE2-382B-43EF-86F7-18F3FD5AC27A}</c15:txfldGUID>
                      <c15:f>Credit_2012Q1!$J$11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37D1-411B-A5AE-6DAA369708C7}"/>
                </c:ext>
              </c:extLst>
            </c:dLbl>
            <c:dLbl>
              <c:idx val="1"/>
              <c:layout/>
              <c:tx>
                <c:strRef>
                  <c:f>Credit_2012Q1!$M$11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{7F004075-D09D-4FE8-AFC3-C678BC65D113}</c15:txfldGUID>
                      <c15:f>Credit_2012Q1!$M$11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37D1-411B-A5AE-6DAA369708C7}"/>
                </c:ext>
              </c:extLst>
            </c:dLbl>
            <c:dLbl>
              <c:idx val="2"/>
              <c:layout/>
              <c:tx>
                <c:strRef>
                  <c:f>Credit_2012Q1!$P$11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{91A6B989-AB79-4D62-B15F-C2F52315DCE1}</c15:txfldGUID>
                      <c15:f>Credit_2012Q1!$P$11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37D1-411B-A5AE-6DAA369708C7}"/>
                </c:ext>
              </c:extLst>
            </c:dLbl>
            <c:dLbl>
              <c:idx val="3"/>
              <c:layout/>
              <c:tx>
                <c:strRef>
                  <c:f>Credit_2012Q1!$S$11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{5FC15555-6139-4180-B797-92FF30A41A39}</c15:txfldGUID>
                      <c15:f>Credit_2012Q1!$S$11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37D1-411B-A5AE-6DAA369708C7}"/>
                </c:ext>
              </c:extLst>
            </c:dLbl>
            <c:dLbl>
              <c:idx val="4"/>
              <c:layout/>
              <c:tx>
                <c:strRef>
                  <c:f>Credit_2012Q1!$V$11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{6DFBBBAC-D91E-4FC5-953C-DB3E4BBABBE7}</c15:txfldGUID>
                      <c15:f>Credit_2012Q1!$V$11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(Credit_2012Q1!$Z$11,Credit_2012Q1!$L$11,Credit_2012Q1!$O$11,Credit_2012Q1!$R$11,Credit_2012Q1!$U$11)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13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7D1-411B-A5AE-6DAA369708C7}"/>
            </c:ext>
          </c:extLst>
        </c:ser>
        <c:ser>
          <c:idx val="4"/>
          <c:order val="4"/>
          <c:tx>
            <c:strRef>
              <c:f>Credit_2012Q1!$J$12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layout/>
              <c:tx>
                <c:strRef>
                  <c:f>Credit_2012Q1!$J$12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{6AFF0E55-B1EC-400A-B40D-485179EDAFF5}</c15:txfldGUID>
                      <c15:f>Credit_2012Q1!$J$12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37D1-411B-A5AE-6DAA369708C7}"/>
                </c:ext>
              </c:extLst>
            </c:dLbl>
            <c:dLbl>
              <c:idx val="1"/>
              <c:layout/>
              <c:tx>
                <c:strRef>
                  <c:f>Credit_2012Q1!$M$12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{AAE4EE03-76BE-4BA9-B305-6D4E58613130}</c15:txfldGUID>
                      <c15:f>Credit_2012Q1!$M$12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37D1-411B-A5AE-6DAA369708C7}"/>
                </c:ext>
              </c:extLst>
            </c:dLbl>
            <c:dLbl>
              <c:idx val="2"/>
              <c:layout/>
              <c:tx>
                <c:strRef>
                  <c:f>Credit_2012Q1!$P$12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{F5742300-F3F4-447C-8E6E-7B649E0664E1}</c15:txfldGUID>
                      <c15:f>Credit_2012Q1!$P$12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37D1-411B-A5AE-6DAA369708C7}"/>
                </c:ext>
              </c:extLst>
            </c:dLbl>
            <c:dLbl>
              <c:idx val="3"/>
              <c:layout/>
              <c:tx>
                <c:strRef>
                  <c:f>Credit_2012Q1!$S$12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{F04F7584-AEA2-4355-8108-78DEC2CF8C53}</c15:txfldGUID>
                      <c15:f>Credit_2012Q1!$S$12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37D1-411B-A5AE-6DAA369708C7}"/>
                </c:ext>
              </c:extLst>
            </c:dLbl>
            <c:dLbl>
              <c:idx val="4"/>
              <c:layout/>
              <c:tx>
                <c:strRef>
                  <c:f>Credit_2012Q1!$V$12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{A860CD9C-1630-4CD1-9424-3EE3439707BF}</c15:txfldGUID>
                      <c15:f>Credit_2012Q1!$V$12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(Credit_2012Q1!$Z$12,Credit_2012Q1!$L$12,Credit_2012Q1!$O$12,Credit_2012Q1!$R$12,Credit_2012Q1!$U$12)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5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7D1-411B-A5AE-6DAA369708C7}"/>
            </c:ext>
          </c:extLst>
        </c:ser>
        <c:ser>
          <c:idx val="5"/>
          <c:order val="5"/>
          <c:tx>
            <c:strRef>
              <c:f>Credit_2012Q1!$J$13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Credit_2012Q1!$J$13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{457C10A1-A0B5-4841-92D6-2F334CD991E4}</c15:txfldGUID>
                      <c15:f>Credit_2012Q1!$J$13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37D1-411B-A5AE-6DAA369708C7}"/>
                </c:ext>
              </c:extLst>
            </c:dLbl>
            <c:dLbl>
              <c:idx val="1"/>
              <c:layout/>
              <c:tx>
                <c:strRef>
                  <c:f>Credit_2012Q1!$M$13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{C4AF0BAA-752B-4665-8A17-BABCF57702CB}</c15:txfldGUID>
                      <c15:f>Credit_2012Q1!$M$13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37D1-411B-A5AE-6DAA369708C7}"/>
                </c:ext>
              </c:extLst>
            </c:dLbl>
            <c:dLbl>
              <c:idx val="2"/>
              <c:layout/>
              <c:tx>
                <c:strRef>
                  <c:f>Credit_2012Q1!$P$13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{4450DFDB-61EC-4DB7-B2B5-6D3854AE7C60}</c15:txfldGUID>
                      <c15:f>Credit_2012Q1!$P$13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37D1-411B-A5AE-6DAA369708C7}"/>
                </c:ext>
              </c:extLst>
            </c:dLbl>
            <c:dLbl>
              <c:idx val="3"/>
              <c:layout/>
              <c:tx>
                <c:strRef>
                  <c:f>Credit_2012Q1!$S$13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{45883CC6-C7A9-4381-A34D-9126CCE64028}</c15:txfldGUID>
                      <c15:f>Credit_2012Q1!$S$13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37D1-411B-A5AE-6DAA369708C7}"/>
                </c:ext>
              </c:extLst>
            </c:dLbl>
            <c:dLbl>
              <c:idx val="4"/>
              <c:layout/>
              <c:tx>
                <c:strRef>
                  <c:f>Credit_2012Q1!$V$13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{A34429B8-BA2F-4251-929F-EE01D0A6D51A}</c15:txfldGUID>
                      <c15:f>Credit_2012Q1!$V$13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(Credit_2012Q1!$Z$13,Credit_2012Q1!$L$13,Credit_2012Q1!$O$13,Credit_2012Q1!$R$13,Credit_2012Q1!$U$13)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7D1-411B-A5AE-6DAA3697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90540544"/>
        <c:axId val="290583296"/>
      </c:barChart>
      <c:catAx>
        <c:axId val="290540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90583296"/>
        <c:crosses val="max"/>
        <c:auto val="1"/>
        <c:lblAlgn val="ctr"/>
        <c:lblOffset val="100"/>
        <c:noMultiLvlLbl val="0"/>
      </c:catAx>
      <c:valAx>
        <c:axId val="29058329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9054054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1F4-4022-9DAF-C7A8B3223E95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1F4-4022-9DAF-C7A8B3223E95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1F4-4022-9DAF-C7A8B3223E95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61F4-4022-9DAF-C7A8B3223E95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61F4-4022-9DAF-C7A8B3223E95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61F4-4022-9DAF-C7A8B3223E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Credit_2011Q4!$G$8:$G$13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Credit_2011Q4!$I$8:$I$13</c:f>
              <c:numCache>
                <c:formatCode>0%</c:formatCode>
                <c:ptCount val="6"/>
                <c:pt idx="0">
                  <c:v>6.7796610169491525E-2</c:v>
                </c:pt>
                <c:pt idx="1">
                  <c:v>0.13559322033898305</c:v>
                </c:pt>
                <c:pt idx="2">
                  <c:v>0.23728813559322035</c:v>
                </c:pt>
                <c:pt idx="3">
                  <c:v>0.2711864406779661</c:v>
                </c:pt>
                <c:pt idx="4">
                  <c:v>0.20338983050847459</c:v>
                </c:pt>
                <c:pt idx="5">
                  <c:v>8.4745762711864403E-2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1F4-4022-9DAF-C7A8B3223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BD4-4FE4-88FB-185CDFD71CBF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BD4-4FE4-88FB-185CDFD71CBF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BD4-4FE4-88FB-185CDFD71CBF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7BD4-4FE4-88FB-185CDFD71CBF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7BD4-4FE4-88FB-185CDFD71CBF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7BD4-4FE4-88FB-185CDFD71CB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Credit_2011Q3!$G$8:$G$13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Credit_2011Q3!$I$8:$I$13</c:f>
              <c:numCache>
                <c:formatCode>0%</c:formatCode>
                <c:ptCount val="6"/>
                <c:pt idx="0">
                  <c:v>6.7796610169491525E-2</c:v>
                </c:pt>
                <c:pt idx="1">
                  <c:v>0.15254237288135594</c:v>
                </c:pt>
                <c:pt idx="2">
                  <c:v>0.25423728813559321</c:v>
                </c:pt>
                <c:pt idx="3">
                  <c:v>0.25423728813559321</c:v>
                </c:pt>
                <c:pt idx="4">
                  <c:v>0.1864406779661017</c:v>
                </c:pt>
                <c:pt idx="5">
                  <c:v>8.4745762711864403E-2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BD4-4FE4-88FB-185CDFD71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225-46EF-8035-8B2AEA6E21C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225-46EF-8035-8B2AEA6E21C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225-46EF-8035-8B2AEA6E21C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7225-46EF-8035-8B2AEA6E21C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7225-46EF-8035-8B2AEA6E21C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7225-46EF-8035-8B2AEA6E21C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Credit_2011Q2!$G$8:$G$13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Credit_2011Q2!$I$8:$I$13</c:f>
              <c:numCache>
                <c:formatCode>0%</c:formatCode>
                <c:ptCount val="6"/>
                <c:pt idx="0">
                  <c:v>6.7796610169491525E-2</c:v>
                </c:pt>
                <c:pt idx="1">
                  <c:v>0.15254237288135594</c:v>
                </c:pt>
                <c:pt idx="2">
                  <c:v>0.25423728813559321</c:v>
                </c:pt>
                <c:pt idx="3">
                  <c:v>0.25423728813559321</c:v>
                </c:pt>
                <c:pt idx="4">
                  <c:v>0.1864406779661017</c:v>
                </c:pt>
                <c:pt idx="5">
                  <c:v>8.4745762711864403E-2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225-46EF-8035-8B2AEA6E2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CA2-4583-A31B-B7CF9276A619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CA2-4583-A31B-B7CF9276A619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CA2-4583-A31B-B7CF9276A619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CA2-4583-A31B-B7CF9276A619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CA2-4583-A31B-B7CF9276A619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CA2-4583-A31B-B7CF9276A6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Credit_2011Q1!$G$8:$G$13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Credit_2011Q1!$I$8:$I$13</c:f>
              <c:numCache>
                <c:formatCode>0%</c:formatCode>
                <c:ptCount val="6"/>
                <c:pt idx="0">
                  <c:v>6.7796610169491525E-2</c:v>
                </c:pt>
                <c:pt idx="1">
                  <c:v>0.13559322033898305</c:v>
                </c:pt>
                <c:pt idx="2">
                  <c:v>0.23728813559322035</c:v>
                </c:pt>
                <c:pt idx="3">
                  <c:v>0.2711864406779661</c:v>
                </c:pt>
                <c:pt idx="4">
                  <c:v>0.20338983050847459</c:v>
                </c:pt>
                <c:pt idx="5">
                  <c:v>8.4745762711864403E-2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A2-4583-A31B-B7CF9276A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Credit_2021Q3!$J$8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Credit_2021Q3!$J$8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{9AFE83CF-EEDF-4B11-9D80-AFA4734B5C13}</c15:txfldGUID>
                      <c15:f>Credit_2021Q3!$J$8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18B0-400D-8A95-3930526E0D7F}"/>
                </c:ext>
              </c:extLst>
            </c:dLbl>
            <c:dLbl>
              <c:idx val="1"/>
              <c:layout/>
              <c:tx>
                <c:strRef>
                  <c:f>Credit_2021Q3!$M$8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{D93CDFDF-D22A-425E-9047-7E7590C86033}</c15:txfldGUID>
                      <c15:f>Credit_2021Q3!$M$8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18B0-400D-8A95-3930526E0D7F}"/>
                </c:ext>
              </c:extLst>
            </c:dLbl>
            <c:dLbl>
              <c:idx val="2"/>
              <c:layout/>
              <c:tx>
                <c:strRef>
                  <c:f>Credit_2021Q3!$P$8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{D24115AA-3E0E-4F3B-B63B-0027A657E206}</c15:txfldGUID>
                      <c15:f>Credit_2021Q3!$P$8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18B0-400D-8A95-3930526E0D7F}"/>
                </c:ext>
              </c:extLst>
            </c:dLbl>
            <c:dLbl>
              <c:idx val="3"/>
              <c:layout/>
              <c:tx>
                <c:strRef>
                  <c:f>Credit_2021Q3!$S$8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{BFA1655E-D030-4562-A271-D1ABC0699303}</c15:txfldGUID>
                      <c15:f>Credit_2021Q3!$S$8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18B0-400D-8A95-3930526E0D7F}"/>
                </c:ext>
              </c:extLst>
            </c:dLbl>
            <c:dLbl>
              <c:idx val="4"/>
              <c:tx>
                <c:strRef>
                  <c:f>Credit_2021Q3!$V$8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{CE5EC724-A9E6-445C-A6AE-3BD7F1DE6100}</c15:txfldGUID>
                      <c15:f>Credit_2021Q3!$V$8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18B0-400D-8A95-3930526E0D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(Credit_2021Q3!$J$5,Credit_2021Q3!$L$5,Credit_2021Q3!$O$5,Credit_2021Q3!$R$5,Credit_2021Q3!$U$5)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(Credit_2021Q3!$Z$8,Credit_2021Q3!$L$8,Credit_2021Q3!$O$8,Credit_2021Q3!$R$8,Credit_2021Q3!$U$8)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B0-400D-8A95-3930526E0D7F}"/>
            </c:ext>
          </c:extLst>
        </c:ser>
        <c:ser>
          <c:idx val="1"/>
          <c:order val="1"/>
          <c:tx>
            <c:strRef>
              <c:f>Credit_2021Q3!$J$9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Credit_2021Q3!$J$9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{FF7B6454-3188-47E0-9A5D-5855DD7EFFD6}</c15:txfldGUID>
                      <c15:f>Credit_2021Q3!$J$9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18B0-400D-8A95-3930526E0D7F}"/>
                </c:ext>
              </c:extLst>
            </c:dLbl>
            <c:dLbl>
              <c:idx val="1"/>
              <c:layout/>
              <c:tx>
                <c:strRef>
                  <c:f>Credit_2021Q3!$M$9</c:f>
                  <c:strCache>
                    <c:ptCount val="1"/>
                    <c:pt idx="0">
                      <c:v>25%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{BFBEDF97-F97F-4091-B0FC-F7DA8C3CAFB2}</c15:txfldGUID>
                      <c15:f>Credit_2021Q3!$M$9</c15:f>
                      <c15:dlblFieldTableCache>
                        <c:ptCount val="1"/>
                        <c:pt idx="0">
                          <c:v>25%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18B0-400D-8A95-3930526E0D7F}"/>
                </c:ext>
              </c:extLst>
            </c:dLbl>
            <c:dLbl>
              <c:idx val="2"/>
              <c:layout/>
              <c:tx>
                <c:strRef>
                  <c:f>Credit_2021Q3!$P$9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{2B4C202D-118D-426F-A70F-E50A2D78FE81}</c15:txfldGUID>
                      <c15:f>Credit_2021Q3!$P$9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18B0-400D-8A95-3930526E0D7F}"/>
                </c:ext>
              </c:extLst>
            </c:dLbl>
            <c:dLbl>
              <c:idx val="3"/>
              <c:layout/>
              <c:tx>
                <c:strRef>
                  <c:f>Credit_2021Q3!$S$9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{945C651B-4100-4AF7-B848-469E6B042D12}</c15:txfldGUID>
                      <c15:f>Credit_2021Q3!$S$9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8B0-400D-8A95-3930526E0D7F}"/>
                </c:ext>
              </c:extLst>
            </c:dLbl>
            <c:dLbl>
              <c:idx val="4"/>
              <c:tx>
                <c:strRef>
                  <c:f>Credit_2021Q3!$V$9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{85DAAB5A-20A1-4A2F-A00B-EB615FCF3A52}</c15:txfldGUID>
                      <c15:f>Credit_2021Q3!$V$9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8B0-400D-8A95-3930526E0D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(Credit_2021Q3!$J$5,Credit_2021Q3!$L$5,Credit_2021Q3!$O$5,Credit_2021Q3!$R$5,Credit_2021Q3!$U$5)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(Credit_2021Q3!$Z$9,Credit_2021Q3!$L$9,Credit_2021Q3!$O$9,Credit_2021Q3!$R$9,Credit_2021Q3!$U$9)</c:f>
              <c:numCache>
                <c:formatCode>General</c:formatCode>
                <c:ptCount val="4"/>
                <c:pt idx="0">
                  <c:v>1</c:v>
                </c:pt>
                <c:pt idx="1">
                  <c:v>11</c:v>
                </c:pt>
                <c:pt idx="2">
                  <c:v>10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8B0-400D-8A95-3930526E0D7F}"/>
            </c:ext>
          </c:extLst>
        </c:ser>
        <c:ser>
          <c:idx val="2"/>
          <c:order val="2"/>
          <c:tx>
            <c:strRef>
              <c:f>Credit_2021Q3!$J$10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Credit_2021Q3!$J$10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{05E1F2B2-D0EA-4D60-BFAA-2E1CEAAB8545}</c15:txfldGUID>
                      <c15:f>Credit_2021Q3!$J$10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8B0-400D-8A95-3930526E0D7F}"/>
                </c:ext>
              </c:extLst>
            </c:dLbl>
            <c:dLbl>
              <c:idx val="1"/>
              <c:layout/>
              <c:tx>
                <c:strRef>
                  <c:f>Credit_2021Q3!$M$10</c:f>
                  <c:strCache>
                    <c:ptCount val="1"/>
                    <c:pt idx="0">
                      <c:v>39%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{856E4E94-70A8-4442-BD24-F14DC08F72D2}</c15:txfldGUID>
                      <c15:f>Credit_2021Q3!$M$10</c15:f>
                      <c15:dlblFieldTableCache>
                        <c:ptCount val="1"/>
                        <c:pt idx="0">
                          <c:v>39%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8B0-400D-8A95-3930526E0D7F}"/>
                </c:ext>
              </c:extLst>
            </c:dLbl>
            <c:dLbl>
              <c:idx val="2"/>
              <c:layout/>
              <c:tx>
                <c:strRef>
                  <c:f>Credit_2021Q3!$P$10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{5B6EF850-2748-434C-BC08-FF3FD54168F9}</c15:txfldGUID>
                      <c15:f>Credit_2021Q3!$P$10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8B0-400D-8A95-3930526E0D7F}"/>
                </c:ext>
              </c:extLst>
            </c:dLbl>
            <c:dLbl>
              <c:idx val="3"/>
              <c:layout/>
              <c:tx>
                <c:strRef>
                  <c:f>Credit_2021Q3!$S$10</c:f>
                  <c:strCache>
                    <c:ptCount val="1"/>
                    <c:pt idx="0">
                      <c:v>56%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{4AA4F008-52ED-4158-9FDB-839E6742540C}</c15:txfldGUID>
                      <c15:f>Credit_2021Q3!$S$10</c15:f>
                      <c15:dlblFieldTableCache>
                        <c:ptCount val="1"/>
                        <c:pt idx="0">
                          <c:v>56%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18B0-400D-8A95-3930526E0D7F}"/>
                </c:ext>
              </c:extLst>
            </c:dLbl>
            <c:dLbl>
              <c:idx val="4"/>
              <c:tx>
                <c:strRef>
                  <c:f>Credit_2021Q3!$V$10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{DBA928AD-BDF9-4A1F-ABC8-108AC51DAAF9}</c15:txfldGUID>
                      <c15:f>Credit_2021Q3!$V$10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18B0-400D-8A95-3930526E0D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(Credit_2021Q3!$J$5,Credit_2021Q3!$L$5,Credit_2021Q3!$O$5,Credit_2021Q3!$R$5,Credit_2021Q3!$U$5)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(Credit_2021Q3!$Z$10,Credit_2021Q3!$L$10,Credit_2021Q3!$O$10,Credit_2021Q3!$R$10,Credit_2021Q3!$U$10)</c:f>
              <c:numCache>
                <c:formatCode>General</c:formatCode>
                <c:ptCount val="4"/>
                <c:pt idx="0">
                  <c:v>1</c:v>
                </c:pt>
                <c:pt idx="1">
                  <c:v>17</c:v>
                </c:pt>
                <c:pt idx="2">
                  <c:v>12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8B0-400D-8A95-3930526E0D7F}"/>
            </c:ext>
          </c:extLst>
        </c:ser>
        <c:ser>
          <c:idx val="3"/>
          <c:order val="3"/>
          <c:tx>
            <c:strRef>
              <c:f>Credit_2021Q3!$J$11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Credit_2021Q3!$J$11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{F608BE2D-4031-4E5B-ACA3-8E1F0C690AA3}</c15:txfldGUID>
                      <c15:f>Credit_2021Q3!$J$11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18B0-400D-8A95-3930526E0D7F}"/>
                </c:ext>
              </c:extLst>
            </c:dLbl>
            <c:dLbl>
              <c:idx val="1"/>
              <c:layout/>
              <c:tx>
                <c:strRef>
                  <c:f>Credit_2021Q3!$M$11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{50D4C69E-18B2-4C55-8163-9E136BB9CD58}</c15:txfldGUID>
                      <c15:f>Credit_2021Q3!$M$11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18B0-400D-8A95-3930526E0D7F}"/>
                </c:ext>
              </c:extLst>
            </c:dLbl>
            <c:dLbl>
              <c:idx val="2"/>
              <c:layout/>
              <c:tx>
                <c:strRef>
                  <c:f>Credit_2021Q3!$P$11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{1EA9CB94-0B28-4DE4-9C7A-9A7626FEFE9E}</c15:txfldGUID>
                      <c15:f>Credit_2021Q3!$P$11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18B0-400D-8A95-3930526E0D7F}"/>
                </c:ext>
              </c:extLst>
            </c:dLbl>
            <c:dLbl>
              <c:idx val="3"/>
              <c:layout/>
              <c:tx>
                <c:strRef>
                  <c:f>Credit_2021Q3!$S$11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{73F1FEDE-6232-4A3E-9DA2-4C4E3716FC59}</c15:txfldGUID>
                      <c15:f>Credit_2021Q3!$S$11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18B0-400D-8A95-3930526E0D7F}"/>
                </c:ext>
              </c:extLst>
            </c:dLbl>
            <c:dLbl>
              <c:idx val="4"/>
              <c:tx>
                <c:strRef>
                  <c:f>Credit_2021Q3!$V$11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{785B5E67-6C34-460C-A1A7-A5AE8AD634ED}</c15:txfldGUID>
                      <c15:f>Credit_2021Q3!$V$11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18B0-400D-8A95-3930526E0D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(Credit_2021Q3!$J$5,Credit_2021Q3!$L$5,Credit_2021Q3!$O$5,Credit_2021Q3!$R$5,Credit_2021Q3!$U$5)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(Credit_2021Q3!$Z$11,Credit_2021Q3!$L$11,Credit_2021Q3!$O$11,Credit_2021Q3!$R$11,Credit_2021Q3!$U$11)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8B0-400D-8A95-3930526E0D7F}"/>
            </c:ext>
          </c:extLst>
        </c:ser>
        <c:ser>
          <c:idx val="4"/>
          <c:order val="4"/>
          <c:tx>
            <c:strRef>
              <c:f>Credit_2021Q3!$J$12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layout/>
              <c:tx>
                <c:strRef>
                  <c:f>Credit_2021Q3!$J$12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{5A46C0DB-2F38-493B-8D15-5E13C0F0907A}</c15:txfldGUID>
                      <c15:f>Credit_2021Q3!$J$12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18B0-400D-8A95-3930526E0D7F}"/>
                </c:ext>
              </c:extLst>
            </c:dLbl>
            <c:dLbl>
              <c:idx val="1"/>
              <c:layout/>
              <c:tx>
                <c:strRef>
                  <c:f>Credit_2021Q3!$M$12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{29AA3140-4B13-412E-8000-45FCB4EB715C}</c15:txfldGUID>
                      <c15:f>Credit_2021Q3!$M$12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18B0-400D-8A95-3930526E0D7F}"/>
                </c:ext>
              </c:extLst>
            </c:dLbl>
            <c:dLbl>
              <c:idx val="2"/>
              <c:layout/>
              <c:tx>
                <c:strRef>
                  <c:f>Credit_2021Q3!$P$12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{7A119045-1CCD-4F60-BD42-6AF0E7AC8BA6}</c15:txfldGUID>
                      <c15:f>Credit_2021Q3!$P$12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18B0-400D-8A95-3930526E0D7F}"/>
                </c:ext>
              </c:extLst>
            </c:dLbl>
            <c:dLbl>
              <c:idx val="3"/>
              <c:layout/>
              <c:tx>
                <c:strRef>
                  <c:f>Credit_2021Q3!$S$12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{AF768460-B423-4D07-8CF9-358B74D21AA4}</c15:txfldGUID>
                      <c15:f>Credit_2021Q3!$S$12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18B0-400D-8A95-3930526E0D7F}"/>
                </c:ext>
              </c:extLst>
            </c:dLbl>
            <c:dLbl>
              <c:idx val="4"/>
              <c:tx>
                <c:strRef>
                  <c:f>Credit_2021Q3!$V$12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{11F9C8B5-93FA-4F22-BE35-78500B93FF57}</c15:txfldGUID>
                      <c15:f>Credit_2021Q3!$V$12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18B0-400D-8A95-3930526E0D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(Credit_2021Q3!$J$5,Credit_2021Q3!$L$5,Credit_2021Q3!$O$5,Credit_2021Q3!$R$5,Credit_2021Q3!$U$5)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(Credit_2021Q3!$Z$12,Credit_2021Q3!$L$12,Credit_2021Q3!$O$12,Credit_2021Q3!$R$12,Credit_2021Q3!$U$12)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8B0-400D-8A95-3930526E0D7F}"/>
            </c:ext>
          </c:extLst>
        </c:ser>
        <c:ser>
          <c:idx val="5"/>
          <c:order val="5"/>
          <c:tx>
            <c:strRef>
              <c:f>Credit_2021Q3!$J$13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layout/>
              <c:tx>
                <c:strRef>
                  <c:f>Credit_2021Q3!$J$13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{C7525339-A564-493A-BC02-9C23C962C0DE}</c15:txfldGUID>
                      <c15:f>Credit_2021Q3!$J$13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18B0-400D-8A95-3930526E0D7F}"/>
                </c:ext>
              </c:extLst>
            </c:dLbl>
            <c:dLbl>
              <c:idx val="1"/>
              <c:layout/>
              <c:tx>
                <c:strRef>
                  <c:f>Credit_2021Q3!$M$13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{9A0BF934-7398-4DC9-9D82-5C17C7143C5B}</c15:txfldGUID>
                      <c15:f>Credit_2021Q3!$M$13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18B0-400D-8A95-3930526E0D7F}"/>
                </c:ext>
              </c:extLst>
            </c:dLbl>
            <c:dLbl>
              <c:idx val="2"/>
              <c:layout/>
              <c:tx>
                <c:strRef>
                  <c:f>Credit_2021Q3!$P$13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{715E4F5E-64CC-44A5-9BF4-646304EC6E2E}</c15:txfldGUID>
                      <c15:f>Credit_2021Q3!$P$13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18B0-400D-8A95-3930526E0D7F}"/>
                </c:ext>
              </c:extLst>
            </c:dLbl>
            <c:dLbl>
              <c:idx val="3"/>
              <c:layout/>
              <c:tx>
                <c:strRef>
                  <c:f>Credit_2021Q3!$S$13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{9B94341E-7C5B-43CA-A721-C5E0827E737A}</c15:txfldGUID>
                      <c15:f>Credit_2021Q3!$S$13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18B0-400D-8A95-3930526E0D7F}"/>
                </c:ext>
              </c:extLst>
            </c:dLbl>
            <c:dLbl>
              <c:idx val="4"/>
              <c:tx>
                <c:strRef>
                  <c:f>Credit_2021Q3!$V$13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{DCE4ECC1-8E70-48BA-A559-AB7F27EECF69}</c15:txfldGUID>
                      <c15:f>Credit_2021Q3!$V$13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18B0-400D-8A95-3930526E0D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(Credit_2021Q3!$J$5,Credit_2021Q3!$L$5,Credit_2021Q3!$O$5,Credit_2021Q3!$R$5,Credit_2021Q3!$U$5)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(Credit_2021Q3!$Z$13,Credit_2021Q3!$L$13,Credit_2021Q3!$O$13,Credit_2021Q3!$R$13,Credit_2021Q3!$U$13)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8B0-400D-8A95-3930526E0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AAE5-436B-A299-25B0D49BA8F7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AAE5-436B-A299-25B0D49BA8F7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AAE5-436B-A299-25B0D49BA8F7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AAE5-436B-A299-25B0D49BA8F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AAE5-436B-A299-25B0D49BA8F7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AAE5-436B-A299-25B0D49BA8F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Credit_2010Q4!$G$8:$G$13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Credit_2010Q4!$I$8:$I$13</c:f>
              <c:numCache>
                <c:formatCode>0%</c:formatCode>
                <c:ptCount val="6"/>
                <c:pt idx="0">
                  <c:v>6.0606060606060608E-2</c:v>
                </c:pt>
                <c:pt idx="1">
                  <c:v>0.15151515151515152</c:v>
                </c:pt>
                <c:pt idx="2">
                  <c:v>0.24242424242424243</c:v>
                </c:pt>
                <c:pt idx="3">
                  <c:v>0.24242424242424243</c:v>
                </c:pt>
                <c:pt idx="4">
                  <c:v>0.22727272727272727</c:v>
                </c:pt>
                <c:pt idx="5">
                  <c:v>7.575757575757576E-2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AE5-436B-A299-25B0D49BA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856-4FC0-830B-47374C15CF62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856-4FC0-830B-47374C15CF62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856-4FC0-830B-47374C15CF62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856-4FC0-830B-47374C15CF62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856-4FC0-830B-47374C15CF62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856-4FC0-830B-47374C15CF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Credit_2009Q4!$G$8:$G$13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Credit_2009Q4!$I$8:$I$13</c:f>
              <c:numCache>
                <c:formatCode>0%</c:formatCode>
                <c:ptCount val="6"/>
                <c:pt idx="0">
                  <c:v>7.575757575757576E-2</c:v>
                </c:pt>
                <c:pt idx="1">
                  <c:v>0.12121212121212122</c:v>
                </c:pt>
                <c:pt idx="2">
                  <c:v>0.22727272727272727</c:v>
                </c:pt>
                <c:pt idx="3">
                  <c:v>0.2878787878787879</c:v>
                </c:pt>
                <c:pt idx="4">
                  <c:v>0.21212121212121213</c:v>
                </c:pt>
                <c:pt idx="5">
                  <c:v>7.575757575757576E-2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856-4FC0-830B-47374C15C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BA3C-4B56-AB75-47BB80F3FF34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BA3C-4B56-AB75-47BB80F3FF34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BA3C-4B56-AB75-47BB80F3FF34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BA3C-4B56-AB75-47BB80F3FF34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BA3C-4B56-AB75-47BB80F3FF34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BA3C-4B56-AB75-47BB80F3FF3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Credit_2008Q4!$E$8:$E$13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Credit_2008Q4!$G$8:$G$13</c:f>
              <c:numCache>
                <c:formatCode>0%</c:formatCode>
                <c:ptCount val="6"/>
                <c:pt idx="0">
                  <c:v>6.1538461538461542E-2</c:v>
                </c:pt>
                <c:pt idx="1">
                  <c:v>0.13846153846153847</c:v>
                </c:pt>
                <c:pt idx="2">
                  <c:v>0.2</c:v>
                </c:pt>
                <c:pt idx="3">
                  <c:v>0.29230769230769232</c:v>
                </c:pt>
                <c:pt idx="4">
                  <c:v>0.2153846153846154</c:v>
                </c:pt>
                <c:pt idx="5">
                  <c:v>9.2307692307692313E-2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A3C-4B56-AB75-47BB80F3F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69A-4D52-82E0-CD4E84DBE91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69A-4D52-82E0-CD4E84DBE91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69A-4D52-82E0-CD4E84DBE91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69A-4D52-82E0-CD4E84DBE91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69A-4D52-82E0-CD4E84DBE91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69A-4D52-82E0-CD4E84DBE91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Credit_2007Q4!$E$8:$E$13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Credit_2007Q4!$G$8:$G$13</c:f>
              <c:numCache>
                <c:formatCode>0%</c:formatCode>
                <c:ptCount val="6"/>
                <c:pt idx="0">
                  <c:v>9.0909090909090912E-2</c:v>
                </c:pt>
                <c:pt idx="1">
                  <c:v>0.10606060606060606</c:v>
                </c:pt>
                <c:pt idx="2">
                  <c:v>0.25757575757575757</c:v>
                </c:pt>
                <c:pt idx="3">
                  <c:v>0.22727272727272727</c:v>
                </c:pt>
                <c:pt idx="4">
                  <c:v>0.19696969696969696</c:v>
                </c:pt>
                <c:pt idx="5">
                  <c:v>0.12121212121212122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69A-4D52-82E0-CD4E84DBE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443786982248606"/>
          <c:y val="0.25842791150190031"/>
          <c:w val="0.49112426035503087"/>
          <c:h val="0.62172512042486305"/>
        </c:manualLayout>
      </c:layout>
      <c:pieChart>
        <c:varyColors val="0"/>
        <c:ser>
          <c:idx val="0"/>
          <c:order val="0"/>
          <c:spPr>
            <a:solidFill>
              <a:srgbClr val="CCCCFF"/>
            </a:solidFill>
            <a:ln w="38100">
              <a:solidFill>
                <a:srgbClr val="FFFFFF"/>
              </a:solidFill>
              <a:prstDash val="solid"/>
            </a:ln>
          </c:spPr>
          <c:dLbls>
            <c:dLbl>
              <c:idx val="0"/>
              <c:layout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D92-49D5-AC8E-276CDC37955D}"/>
                </c:ext>
              </c:extLst>
            </c:dLbl>
            <c:dLbl>
              <c:idx val="1"/>
              <c:layout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D92-49D5-AC8E-276CDC37955D}"/>
                </c:ext>
              </c:extLst>
            </c:dLbl>
            <c:dLbl>
              <c:idx val="2"/>
              <c:layout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D92-49D5-AC8E-276CDC37955D}"/>
                </c:ext>
              </c:extLst>
            </c:dLbl>
            <c:dLbl>
              <c:idx val="3"/>
              <c:layout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D92-49D5-AC8E-276CDC37955D}"/>
                </c:ext>
              </c:extLst>
            </c:dLbl>
            <c:dLbl>
              <c:idx val="4"/>
              <c:layout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1D92-49D5-AC8E-276CDC37955D}"/>
                </c:ext>
              </c:extLst>
            </c:dLbl>
            <c:dLbl>
              <c:idx val="5"/>
              <c:layout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D92-49D5-AC8E-276CDC37955D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80"/>
                    </a:solidFill>
                    <a:latin typeface="Franklin Gothic Book"/>
                    <a:ea typeface="Franklin Gothic Book"/>
                    <a:cs typeface="Franklin Gothic Book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Credit_2006Q4!$E$8:$E$13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Credit_2006Q4!$G$8:$G$13</c:f>
              <c:numCache>
                <c:formatCode>0%</c:formatCode>
                <c:ptCount val="6"/>
                <c:pt idx="0">
                  <c:v>0.12121212121212122</c:v>
                </c:pt>
                <c:pt idx="1">
                  <c:v>4.5454545454545456E-2</c:v>
                </c:pt>
                <c:pt idx="2">
                  <c:v>0.21212121212121213</c:v>
                </c:pt>
                <c:pt idx="3">
                  <c:v>0.34848484848484851</c:v>
                </c:pt>
                <c:pt idx="4">
                  <c:v>9.0909090909090912E-2</c:v>
                </c:pt>
                <c:pt idx="5">
                  <c:v>0.18181818181818182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92-49D5-AC8E-276CDC37955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155" r="0.75000000000000155" t="1" header="0.5" footer="0.5"/>
    <c:pageSetup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708333333333341"/>
          <c:y val="0.18047337278106557"/>
          <c:w val="0.53541666666666499"/>
          <c:h val="0.7603550295858007"/>
        </c:manualLayout>
      </c:layout>
      <c:pieChart>
        <c:varyColors val="1"/>
        <c:ser>
          <c:idx val="0"/>
          <c:order val="0"/>
          <c:tx>
            <c:v>72 EEI Index Companies at 12/31/03</c:v>
          </c:tx>
          <c:spPr>
            <a:solidFill>
              <a:srgbClr val="CCCCFF"/>
            </a:solidFill>
            <a:ln w="25400">
              <a:solidFill>
                <a:srgbClr val="FFFFFF"/>
              </a:solidFill>
              <a:prstDash val="solid"/>
            </a:ln>
          </c:spPr>
          <c:dLbls>
            <c:dLbl>
              <c:idx val="0"/>
              <c:layout>
                <c:manualLayout>
                  <c:x val="-0.14580399065297314"/>
                  <c:y val="0.1297522868813003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9F7-4CFD-A97F-047BF96533B3}"/>
                </c:ext>
              </c:extLst>
            </c:dLbl>
            <c:dLbl>
              <c:idx val="1"/>
              <c:layout>
                <c:manualLayout>
                  <c:x val="-0.11772138386063848"/>
                  <c:y val="-9.790802776871820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9F7-4CFD-A97F-047BF96533B3}"/>
                </c:ext>
              </c:extLst>
            </c:dLbl>
            <c:dLbl>
              <c:idx val="2"/>
              <c:layout>
                <c:manualLayout>
                  <c:x val="7.513162690846481E-2"/>
                  <c:y val="-0.1700591715976335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9F7-4CFD-A97F-047BF96533B3}"/>
                </c:ext>
              </c:extLst>
            </c:dLbl>
            <c:dLbl>
              <c:idx val="3"/>
              <c:layout>
                <c:manualLayout>
                  <c:x val="0.17513560038086939"/>
                  <c:y val="7.6938607526129421E-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9F7-4CFD-A97F-047BF96533B3}"/>
                </c:ext>
              </c:extLst>
            </c:dLbl>
            <c:dLbl>
              <c:idx val="4"/>
              <c:layout>
                <c:manualLayout>
                  <c:x val="0.10726902120326678"/>
                  <c:y val="9.576728944384922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9F7-4CFD-A97F-047BF96533B3}"/>
                </c:ext>
              </c:extLst>
            </c:dLbl>
            <c:dLbl>
              <c:idx val="5"/>
              <c:layout>
                <c:manualLayout>
                  <c:x val="5.9357781900000128E-2"/>
                  <c:y val="0.1520054667722754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Below
BBB-
8%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59F7-4CFD-A97F-047BF96533B3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Credit_2001Q4!$E$10:$E$15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Credit_2001Q4!$G$10:$G$15</c:f>
              <c:numCache>
                <c:formatCode>0%</c:formatCode>
                <c:ptCount val="6"/>
                <c:pt idx="0">
                  <c:v>0.25</c:v>
                </c:pt>
                <c:pt idx="1">
                  <c:v>0.16666666666666666</c:v>
                </c:pt>
                <c:pt idx="2">
                  <c:v>0.2638888888888889</c:v>
                </c:pt>
                <c:pt idx="3">
                  <c:v>0.1388888888888889</c:v>
                </c:pt>
                <c:pt idx="4">
                  <c:v>9.7222222222222224E-2</c:v>
                </c:pt>
                <c:pt idx="5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9F7-4CFD-A97F-047BF96533B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55" r="0.7500000000000015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1.xml"/><Relationship Id="rId1" Type="http://schemas.openxmlformats.org/officeDocument/2006/relationships/chart" Target="../charts/chart60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3.xml"/><Relationship Id="rId1" Type="http://schemas.openxmlformats.org/officeDocument/2006/relationships/chart" Target="../charts/chart62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7.xml"/><Relationship Id="rId1" Type="http://schemas.openxmlformats.org/officeDocument/2006/relationships/chart" Target="../charts/chart66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9.xml"/><Relationship Id="rId1" Type="http://schemas.openxmlformats.org/officeDocument/2006/relationships/chart" Target="../charts/chart68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1.xml"/><Relationship Id="rId1" Type="http://schemas.openxmlformats.org/officeDocument/2006/relationships/chart" Target="../charts/chart70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3.xml"/><Relationship Id="rId1" Type="http://schemas.openxmlformats.org/officeDocument/2006/relationships/chart" Target="../charts/chart72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5.xml"/><Relationship Id="rId1" Type="http://schemas.openxmlformats.org/officeDocument/2006/relationships/chart" Target="../charts/chart74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7.xml"/><Relationship Id="rId1" Type="http://schemas.openxmlformats.org/officeDocument/2006/relationships/chart" Target="../charts/chart76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9.xml"/><Relationship Id="rId1" Type="http://schemas.openxmlformats.org/officeDocument/2006/relationships/chart" Target="../charts/chart78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1.xml"/><Relationship Id="rId1" Type="http://schemas.openxmlformats.org/officeDocument/2006/relationships/chart" Target="../charts/chart80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3.xml"/><Relationship Id="rId1" Type="http://schemas.openxmlformats.org/officeDocument/2006/relationships/chart" Target="../charts/chart82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5.xml"/><Relationship Id="rId1" Type="http://schemas.openxmlformats.org/officeDocument/2006/relationships/chart" Target="../charts/chart84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0</xdr:row>
      <xdr:rowOff>0</xdr:rowOff>
    </xdr:from>
    <xdr:to>
      <xdr:col>17</xdr:col>
      <xdr:colOff>123825</xdr:colOff>
      <xdr:row>0</xdr:row>
      <xdr:rowOff>0</xdr:rowOff>
    </xdr:to>
    <xdr:graphicFrame macro="">
      <xdr:nvGraphicFramePr>
        <xdr:cNvPr id="15565" name="Chart 1">
          <a:extLst>
            <a:ext uri="{FF2B5EF4-FFF2-40B4-BE49-F238E27FC236}">
              <a16:creationId xmlns:a16="http://schemas.microsoft.com/office/drawing/2014/main" id="{00000000-0008-0000-0000-0000CD3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</xdr:row>
      <xdr:rowOff>95250</xdr:rowOff>
    </xdr:from>
    <xdr:to>
      <xdr:col>17</xdr:col>
      <xdr:colOff>485775</xdr:colOff>
      <xdr:row>23</xdr:row>
      <xdr:rowOff>0</xdr:rowOff>
    </xdr:to>
    <xdr:graphicFrame macro="">
      <xdr:nvGraphicFramePr>
        <xdr:cNvPr id="15566" name="Chart 2">
          <a:extLst>
            <a:ext uri="{FF2B5EF4-FFF2-40B4-BE49-F238E27FC236}">
              <a16:creationId xmlns:a16="http://schemas.microsoft.com/office/drawing/2014/main" id="{00000000-0008-0000-0000-0000CE3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18</xdr:row>
      <xdr:rowOff>0</xdr:rowOff>
    </xdr:from>
    <xdr:to>
      <xdr:col>22</xdr:col>
      <xdr:colOff>76200</xdr:colOff>
      <xdr:row>38</xdr:row>
      <xdr:rowOff>104775</xdr:rowOff>
    </xdr:to>
    <xdr:graphicFrame macro="">
      <xdr:nvGraphicFramePr>
        <xdr:cNvPr id="18539" name="Chart 1">
          <a:extLst>
            <a:ext uri="{FF2B5EF4-FFF2-40B4-BE49-F238E27FC236}">
              <a16:creationId xmlns:a16="http://schemas.microsoft.com/office/drawing/2014/main" id="{00000000-0008-0000-0200-00006B4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11206</xdr:colOff>
      <xdr:row>14</xdr:row>
      <xdr:rowOff>33618</xdr:rowOff>
    </xdr:from>
    <xdr:to>
      <xdr:col>14</xdr:col>
      <xdr:colOff>468406</xdr:colOff>
      <xdr:row>34</xdr:row>
      <xdr:rowOff>44824</xdr:rowOff>
    </xdr:to>
    <xdr:graphicFrame macro="">
      <xdr:nvGraphicFramePr>
        <xdr:cNvPr id="593971" name="Chart 1">
          <a:extLst>
            <a:ext uri="{FF2B5EF4-FFF2-40B4-BE49-F238E27FC236}">
              <a16:creationId xmlns:a16="http://schemas.microsoft.com/office/drawing/2014/main" id="{00000000-0008-0000-2D00-00003310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11</xdr:row>
      <xdr:rowOff>0</xdr:rowOff>
    </xdr:from>
    <xdr:to>
      <xdr:col>14</xdr:col>
      <xdr:colOff>457200</xdr:colOff>
      <xdr:row>31</xdr:row>
      <xdr:rowOff>0</xdr:rowOff>
    </xdr:to>
    <xdr:graphicFrame macro="">
      <xdr:nvGraphicFramePr>
        <xdr:cNvPr id="543799" name="Chart 1">
          <a:extLst>
            <a:ext uri="{FF2B5EF4-FFF2-40B4-BE49-F238E27FC236}">
              <a16:creationId xmlns:a16="http://schemas.microsoft.com/office/drawing/2014/main" id="{00000000-0008-0000-2E00-0000374C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11</xdr:row>
      <xdr:rowOff>0</xdr:rowOff>
    </xdr:from>
    <xdr:to>
      <xdr:col>14</xdr:col>
      <xdr:colOff>457200</xdr:colOff>
      <xdr:row>31</xdr:row>
      <xdr:rowOff>0</xdr:rowOff>
    </xdr:to>
    <xdr:graphicFrame macro="">
      <xdr:nvGraphicFramePr>
        <xdr:cNvPr id="508986" name="Chart 1">
          <a:extLst>
            <a:ext uri="{FF2B5EF4-FFF2-40B4-BE49-F238E27FC236}">
              <a16:creationId xmlns:a16="http://schemas.microsoft.com/office/drawing/2014/main" id="{00000000-0008-0000-2F00-00003AC40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11</xdr:row>
      <xdr:rowOff>0</xdr:rowOff>
    </xdr:from>
    <xdr:to>
      <xdr:col>14</xdr:col>
      <xdr:colOff>457200</xdr:colOff>
      <xdr:row>31</xdr:row>
      <xdr:rowOff>0</xdr:rowOff>
    </xdr:to>
    <xdr:graphicFrame macro="">
      <xdr:nvGraphicFramePr>
        <xdr:cNvPr id="465983" name="Chart 1">
          <a:extLst>
            <a:ext uri="{FF2B5EF4-FFF2-40B4-BE49-F238E27FC236}">
              <a16:creationId xmlns:a16="http://schemas.microsoft.com/office/drawing/2014/main" id="{00000000-0008-0000-3000-00003F1C0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14</xdr:row>
      <xdr:rowOff>0</xdr:rowOff>
    </xdr:from>
    <xdr:to>
      <xdr:col>14</xdr:col>
      <xdr:colOff>457200</xdr:colOff>
      <xdr:row>34</xdr:row>
      <xdr:rowOff>0</xdr:rowOff>
    </xdr:to>
    <xdr:graphicFrame macro="">
      <xdr:nvGraphicFramePr>
        <xdr:cNvPr id="413765" name="Chart 1">
          <a:extLst>
            <a:ext uri="{FF2B5EF4-FFF2-40B4-BE49-F238E27FC236}">
              <a16:creationId xmlns:a16="http://schemas.microsoft.com/office/drawing/2014/main" id="{00000000-0008-0000-3100-00004550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11</xdr:row>
      <xdr:rowOff>0</xdr:rowOff>
    </xdr:from>
    <xdr:to>
      <xdr:col>14</xdr:col>
      <xdr:colOff>457200</xdr:colOff>
      <xdr:row>31</xdr:row>
      <xdr:rowOff>0</xdr:rowOff>
    </xdr:to>
    <xdr:graphicFrame macro="">
      <xdr:nvGraphicFramePr>
        <xdr:cNvPr id="30822" name="Chart 1">
          <a:extLst>
            <a:ext uri="{FF2B5EF4-FFF2-40B4-BE49-F238E27FC236}">
              <a16:creationId xmlns:a16="http://schemas.microsoft.com/office/drawing/2014/main" id="{00000000-0008-0000-3200-0000667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11</xdr:row>
      <xdr:rowOff>0</xdr:rowOff>
    </xdr:from>
    <xdr:to>
      <xdr:col>12</xdr:col>
      <xdr:colOff>457200</xdr:colOff>
      <xdr:row>31</xdr:row>
      <xdr:rowOff>0</xdr:rowOff>
    </xdr:to>
    <xdr:graphicFrame macro="">
      <xdr:nvGraphicFramePr>
        <xdr:cNvPr id="7271" name="Chart 4">
          <a:extLst>
            <a:ext uri="{FF2B5EF4-FFF2-40B4-BE49-F238E27FC236}">
              <a16:creationId xmlns:a16="http://schemas.microsoft.com/office/drawing/2014/main" id="{00000000-0008-0000-3300-0000671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11</xdr:row>
      <xdr:rowOff>0</xdr:rowOff>
    </xdr:from>
    <xdr:to>
      <xdr:col>12</xdr:col>
      <xdr:colOff>466725</xdr:colOff>
      <xdr:row>31</xdr:row>
      <xdr:rowOff>161925</xdr:rowOff>
    </xdr:to>
    <xdr:graphicFrame macro="">
      <xdr:nvGraphicFramePr>
        <xdr:cNvPr id="9319" name="Chart 2">
          <a:extLst>
            <a:ext uri="{FF2B5EF4-FFF2-40B4-BE49-F238E27FC236}">
              <a16:creationId xmlns:a16="http://schemas.microsoft.com/office/drawing/2014/main" id="{00000000-0008-0000-3400-000067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314325</xdr:colOff>
      <xdr:row>6</xdr:row>
      <xdr:rowOff>19050</xdr:rowOff>
    </xdr:from>
    <xdr:to>
      <xdr:col>12</xdr:col>
      <xdr:colOff>485775</xdr:colOff>
      <xdr:row>21</xdr:row>
      <xdr:rowOff>133350</xdr:rowOff>
    </xdr:to>
    <xdr:graphicFrame macro="">
      <xdr:nvGraphicFramePr>
        <xdr:cNvPr id="11367" name="Chart 2">
          <a:extLst>
            <a:ext uri="{FF2B5EF4-FFF2-40B4-BE49-F238E27FC236}">
              <a16:creationId xmlns:a16="http://schemas.microsoft.com/office/drawing/2014/main" id="{00000000-0008-0000-3500-000067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438150</xdr:colOff>
      <xdr:row>4</xdr:row>
      <xdr:rowOff>123825</xdr:rowOff>
    </xdr:from>
    <xdr:to>
      <xdr:col>15</xdr:col>
      <xdr:colOff>133350</xdr:colOff>
      <xdr:row>24</xdr:row>
      <xdr:rowOff>104775</xdr:rowOff>
    </xdr:to>
    <xdr:graphicFrame macro="">
      <xdr:nvGraphicFramePr>
        <xdr:cNvPr id="13415" name="Chart 1">
          <a:extLst>
            <a:ext uri="{FF2B5EF4-FFF2-40B4-BE49-F238E27FC236}">
              <a16:creationId xmlns:a16="http://schemas.microsoft.com/office/drawing/2014/main" id="{00000000-0008-0000-3600-0000673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.sharepoint.com/FIN/FINREVS/2013%20Quarterlies/2013%20Q1/Dividends/2013_Q1_Dividends_Data%20(values%20AEE%20correctio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.sharepoint.com/FIN/FINREVS/2006%20Quarterlies/1st%20Quarter/Shareholder%20Data/Shareholder%20Trends.Q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.sharepoint.com/FIN/FINREVS/2012%20Quarterlies/2012%20Q1/Dividends/2012_Q1_Dividends_Charts_Final%20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Annual_Actions"/>
      <sheetName val="Dividend 2012Q4"/>
      <sheetName val="Dividend 2012Q3"/>
      <sheetName val="Dividend 2012Q2"/>
      <sheetName val="Dividend 2012Q1"/>
      <sheetName val="VI. Dividend Summary"/>
      <sheetName val="Last"/>
      <sheetName val="Dividend_Rate_history"/>
      <sheetName val="Dividend_Rate"/>
      <sheetName val="Price"/>
      <sheetName val="Payout_Ratio"/>
      <sheetName val="Income"/>
      <sheetName val="Dividends_Paid"/>
      <sheetName val="Reg_Percent"/>
      <sheetName val="master_old"/>
      <sheetName val="master"/>
      <sheetName val="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holder Trends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. Sector Payout Ratio"/>
      <sheetName val="II. Sector Yield"/>
      <sheetName val="III. Div Patterns - Historical"/>
      <sheetName val="IV. Category - Div Payout Ratio"/>
      <sheetName val="V. Category - Div Yield"/>
      <sheetName val="VI. Dividend Summary"/>
      <sheetName val="VII. Free Cash Flow "/>
      <sheetName val="SPDR_2011_Q4"/>
      <sheetName val="SPDR_2012_Q1"/>
      <sheetName val="SPDR_2012_Q2"/>
      <sheetName val="SPDR_2012_Q3"/>
      <sheetName val="SPDR_2012_Q4"/>
      <sheetName val="Settings"/>
      <sheetName val="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3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4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1.bin"/><Relationship Id="rId4" Type="http://schemas.openxmlformats.org/officeDocument/2006/relationships/comments" Target="../comments5.xm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92D050"/>
    <pageSetUpPr fitToPage="1"/>
  </sheetPr>
  <dimension ref="A1:CK64"/>
  <sheetViews>
    <sheetView showGridLines="0" tabSelected="1" zoomScale="90" zoomScaleNormal="90" workbookViewId="0">
      <pane xSplit="1" topLeftCell="B1" activePane="topRight" state="frozen"/>
      <selection pane="topRight" activeCell="B1" sqref="B1"/>
    </sheetView>
  </sheetViews>
  <sheetFormatPr defaultRowHeight="13.2" outlineLevelRow="1" outlineLevelCol="1" x14ac:dyDescent="0.25"/>
  <cols>
    <col min="1" max="1" width="32.109375" customWidth="1" outlineLevel="1"/>
    <col min="2" max="49" width="8.33203125" customWidth="1"/>
  </cols>
  <sheetData>
    <row r="1" spans="2:2" ht="20.399999999999999" x14ac:dyDescent="0.35">
      <c r="B1" s="36" t="s">
        <v>0</v>
      </c>
    </row>
    <row r="24" spans="1:89" x14ac:dyDescent="0.25">
      <c r="B24" s="2" t="s">
        <v>1</v>
      </c>
    </row>
    <row r="25" spans="1:89" x14ac:dyDescent="0.25">
      <c r="B25" s="2" t="s">
        <v>2</v>
      </c>
    </row>
    <row r="26" spans="1:89" x14ac:dyDescent="0.25">
      <c r="B26" s="146" t="s">
        <v>3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89" x14ac:dyDescent="0.25"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</row>
    <row r="28" spans="1:89" s="11" customFormat="1" x14ac:dyDescent="0.25">
      <c r="B28" s="29" t="s">
        <v>4</v>
      </c>
      <c r="C28" s="29" t="s">
        <v>5</v>
      </c>
      <c r="D28" s="29" t="s">
        <v>6</v>
      </c>
      <c r="E28" s="29" t="s">
        <v>7</v>
      </c>
      <c r="F28" s="29" t="s">
        <v>8</v>
      </c>
      <c r="G28" s="29" t="s">
        <v>9</v>
      </c>
      <c r="H28" s="29" t="s">
        <v>10</v>
      </c>
      <c r="I28" s="29" t="s">
        <v>11</v>
      </c>
      <c r="J28" s="29" t="s">
        <v>12</v>
      </c>
      <c r="K28" s="29" t="s">
        <v>13</v>
      </c>
      <c r="L28" s="29" t="s">
        <v>14</v>
      </c>
      <c r="M28" s="29" t="s">
        <v>15</v>
      </c>
      <c r="N28" s="29" t="s">
        <v>16</v>
      </c>
      <c r="O28" s="29" t="s">
        <v>17</v>
      </c>
      <c r="P28" s="29" t="s">
        <v>18</v>
      </c>
      <c r="Q28" s="29" t="s">
        <v>19</v>
      </c>
      <c r="R28" s="29" t="s">
        <v>20</v>
      </c>
      <c r="S28" s="29" t="s">
        <v>21</v>
      </c>
      <c r="T28" s="29" t="s">
        <v>22</v>
      </c>
      <c r="U28" s="29" t="s">
        <v>23</v>
      </c>
      <c r="V28" s="29" t="s">
        <v>24</v>
      </c>
      <c r="W28" s="29" t="s">
        <v>25</v>
      </c>
      <c r="X28" s="29" t="s">
        <v>26</v>
      </c>
      <c r="Y28" s="29" t="s">
        <v>27</v>
      </c>
      <c r="Z28" s="29" t="s">
        <v>28</v>
      </c>
      <c r="AA28" s="29" t="s">
        <v>29</v>
      </c>
      <c r="AB28" s="29" t="s">
        <v>30</v>
      </c>
      <c r="AC28" s="29" t="s">
        <v>31</v>
      </c>
      <c r="AD28" s="29" t="s">
        <v>32</v>
      </c>
      <c r="AE28" s="29" t="s">
        <v>33</v>
      </c>
      <c r="AF28" s="29" t="s">
        <v>34</v>
      </c>
      <c r="AG28" s="29" t="s">
        <v>35</v>
      </c>
      <c r="AH28" s="29" t="s">
        <v>36</v>
      </c>
      <c r="AI28" s="29" t="s">
        <v>37</v>
      </c>
      <c r="AJ28" s="29" t="s">
        <v>38</v>
      </c>
      <c r="AK28" s="29" t="s">
        <v>39</v>
      </c>
      <c r="AL28" s="29" t="s">
        <v>40</v>
      </c>
      <c r="AM28" s="29" t="s">
        <v>41</v>
      </c>
      <c r="AN28" s="29" t="s">
        <v>42</v>
      </c>
      <c r="AO28" s="29" t="s">
        <v>43</v>
      </c>
      <c r="AP28" s="29" t="s">
        <v>44</v>
      </c>
      <c r="AQ28" s="29" t="s">
        <v>45</v>
      </c>
      <c r="AR28" s="29" t="s">
        <v>46</v>
      </c>
      <c r="AS28" s="29" t="s">
        <v>47</v>
      </c>
      <c r="AT28" s="29" t="s">
        <v>48</v>
      </c>
      <c r="AU28" s="29" t="s">
        <v>49</v>
      </c>
      <c r="AV28" s="29" t="s">
        <v>50</v>
      </c>
      <c r="AW28" s="29" t="s">
        <v>51</v>
      </c>
      <c r="AX28" s="29" t="s">
        <v>52</v>
      </c>
      <c r="AY28" s="29" t="s">
        <v>53</v>
      </c>
      <c r="AZ28" s="29" t="s">
        <v>54</v>
      </c>
      <c r="BA28" s="29" t="s">
        <v>55</v>
      </c>
      <c r="BB28" s="29" t="s">
        <v>56</v>
      </c>
      <c r="BC28" s="29" t="s">
        <v>57</v>
      </c>
      <c r="BD28" s="29" t="s">
        <v>58</v>
      </c>
      <c r="BE28" s="29" t="s">
        <v>59</v>
      </c>
      <c r="BF28" s="29" t="s">
        <v>60</v>
      </c>
      <c r="BG28" s="29" t="s">
        <v>61</v>
      </c>
      <c r="BH28" s="29" t="s">
        <v>62</v>
      </c>
      <c r="BI28" s="29" t="s">
        <v>63</v>
      </c>
      <c r="BJ28" s="29" t="s">
        <v>64</v>
      </c>
      <c r="BK28" s="29" t="s">
        <v>65</v>
      </c>
      <c r="BL28" s="29" t="s">
        <v>66</v>
      </c>
      <c r="BM28" s="29" t="s">
        <v>67</v>
      </c>
      <c r="BN28" s="29" t="s">
        <v>68</v>
      </c>
      <c r="BO28" s="29" t="s">
        <v>69</v>
      </c>
      <c r="BP28" s="29" t="s">
        <v>70</v>
      </c>
      <c r="BQ28" s="29" t="s">
        <v>71</v>
      </c>
      <c r="BR28" s="29" t="s">
        <v>72</v>
      </c>
      <c r="BS28" s="29" t="s">
        <v>73</v>
      </c>
      <c r="BT28" s="29" t="s">
        <v>74</v>
      </c>
      <c r="BU28" s="29" t="s">
        <v>75</v>
      </c>
      <c r="BV28" s="29" t="s">
        <v>76</v>
      </c>
      <c r="BW28" s="29" t="s">
        <v>77</v>
      </c>
      <c r="BX28" s="29" t="s">
        <v>78</v>
      </c>
      <c r="BY28" s="29" t="s">
        <v>79</v>
      </c>
      <c r="BZ28" s="29" t="s">
        <v>80</v>
      </c>
      <c r="CA28" s="29" t="s">
        <v>81</v>
      </c>
      <c r="CB28" s="29" t="s">
        <v>82</v>
      </c>
      <c r="CC28" s="29" t="s">
        <v>83</v>
      </c>
      <c r="CD28" s="29" t="s">
        <v>84</v>
      </c>
      <c r="CE28" s="29" t="s">
        <v>85</v>
      </c>
      <c r="CF28" s="29" t="s">
        <v>86</v>
      </c>
      <c r="CG28" s="29" t="s">
        <v>87</v>
      </c>
      <c r="CH28" s="29" t="s">
        <v>623</v>
      </c>
      <c r="CI28" s="29" t="s">
        <v>622</v>
      </c>
      <c r="CJ28" s="29" t="s">
        <v>621</v>
      </c>
      <c r="CK28" s="29" t="s">
        <v>620</v>
      </c>
    </row>
    <row r="29" spans="1:89" s="128" customFormat="1" x14ac:dyDescent="0.25">
      <c r="A29" s="125" t="s">
        <v>88</v>
      </c>
      <c r="B29" s="126">
        <v>3</v>
      </c>
      <c r="C29" s="126">
        <v>3</v>
      </c>
      <c r="D29" s="126">
        <v>1</v>
      </c>
      <c r="E29" s="126">
        <v>3</v>
      </c>
      <c r="F29" s="126">
        <v>1</v>
      </c>
      <c r="G29" s="126">
        <v>0</v>
      </c>
      <c r="H29" s="126">
        <v>1</v>
      </c>
      <c r="I29" s="126">
        <v>0</v>
      </c>
      <c r="J29" s="126">
        <v>1</v>
      </c>
      <c r="K29" s="126">
        <v>12</v>
      </c>
      <c r="L29" s="126">
        <v>5</v>
      </c>
      <c r="M29" s="126">
        <v>0</v>
      </c>
      <c r="N29" s="126">
        <v>3</v>
      </c>
      <c r="O29" s="126">
        <v>3</v>
      </c>
      <c r="P29" s="126">
        <v>3</v>
      </c>
      <c r="Q29" s="126">
        <v>7</v>
      </c>
      <c r="R29" s="126">
        <v>4</v>
      </c>
      <c r="S29" s="126">
        <v>1</v>
      </c>
      <c r="T29" s="126">
        <v>11</v>
      </c>
      <c r="U29" s="126">
        <v>2</v>
      </c>
      <c r="V29" s="126">
        <v>6</v>
      </c>
      <c r="W29" s="126">
        <v>5</v>
      </c>
      <c r="X29" s="126">
        <v>10</v>
      </c>
      <c r="Y29" s="126">
        <v>4</v>
      </c>
      <c r="Z29" s="126">
        <v>14</v>
      </c>
      <c r="AA29" s="126">
        <v>3</v>
      </c>
      <c r="AB29" s="126">
        <v>4</v>
      </c>
      <c r="AC29" s="126">
        <v>7</v>
      </c>
      <c r="AD29" s="127">
        <v>1</v>
      </c>
      <c r="AE29" s="126">
        <v>0</v>
      </c>
      <c r="AF29" s="126">
        <v>3</v>
      </c>
      <c r="AG29" s="126">
        <v>4</v>
      </c>
      <c r="AH29" s="126">
        <v>0</v>
      </c>
      <c r="AI29" s="126">
        <v>3</v>
      </c>
      <c r="AJ29" s="126">
        <v>1</v>
      </c>
      <c r="AK29" s="126">
        <v>2</v>
      </c>
      <c r="AL29" s="126">
        <v>1</v>
      </c>
      <c r="AM29" s="126">
        <v>4</v>
      </c>
      <c r="AN29" s="126">
        <v>2</v>
      </c>
      <c r="AO29" s="126">
        <v>0</v>
      </c>
      <c r="AP29" s="126">
        <v>3</v>
      </c>
      <c r="AQ29" s="126">
        <v>8</v>
      </c>
      <c r="AR29" s="126">
        <v>2</v>
      </c>
      <c r="AS29" s="126">
        <v>1</v>
      </c>
      <c r="AT29" s="126">
        <v>2</v>
      </c>
      <c r="AU29" s="126">
        <v>8</v>
      </c>
      <c r="AV29" s="126">
        <v>2</v>
      </c>
      <c r="AW29" s="126">
        <v>1</v>
      </c>
      <c r="AX29" s="126">
        <v>0</v>
      </c>
      <c r="AY29" s="126">
        <v>6</v>
      </c>
      <c r="AZ29" s="126">
        <v>0</v>
      </c>
      <c r="BA29" s="126">
        <v>4</v>
      </c>
      <c r="BB29" s="126">
        <v>4</v>
      </c>
      <c r="BC29" s="126">
        <v>4</v>
      </c>
      <c r="BD29" s="126">
        <v>1</v>
      </c>
      <c r="BE29" s="126">
        <v>3</v>
      </c>
      <c r="BF29" s="126">
        <v>0</v>
      </c>
      <c r="BG29" s="126">
        <v>4</v>
      </c>
      <c r="BH29" s="126">
        <v>0</v>
      </c>
      <c r="BI29" s="126">
        <v>2</v>
      </c>
      <c r="BJ29" s="126">
        <v>5</v>
      </c>
      <c r="BK29" s="126">
        <v>4</v>
      </c>
      <c r="BL29" s="126">
        <v>3</v>
      </c>
      <c r="BM29" s="126">
        <v>1</v>
      </c>
      <c r="BN29" s="126">
        <v>2</v>
      </c>
      <c r="BO29" s="126">
        <v>1</v>
      </c>
      <c r="BP29" s="126">
        <v>5</v>
      </c>
      <c r="BQ29" s="126">
        <v>3</v>
      </c>
      <c r="BR29" s="126">
        <v>1</v>
      </c>
      <c r="BS29" s="126">
        <v>2</v>
      </c>
      <c r="BT29" s="126">
        <v>1</v>
      </c>
      <c r="BU29" s="126">
        <v>8</v>
      </c>
      <c r="BV29" s="126">
        <v>3</v>
      </c>
      <c r="BW29" s="126">
        <v>7</v>
      </c>
      <c r="BX29" s="126">
        <v>3</v>
      </c>
      <c r="BY29" s="126">
        <v>13</v>
      </c>
      <c r="BZ29" s="126">
        <v>0</v>
      </c>
      <c r="CA29" s="126">
        <v>4</v>
      </c>
      <c r="CB29" s="126">
        <v>1</v>
      </c>
      <c r="CC29" s="126">
        <v>0</v>
      </c>
      <c r="CD29" s="126">
        <v>0</v>
      </c>
      <c r="CE29" s="126">
        <v>0</v>
      </c>
      <c r="CF29" s="126">
        <v>1</v>
      </c>
      <c r="CG29" s="126">
        <v>1</v>
      </c>
      <c r="CH29" s="374">
        <v>4</v>
      </c>
      <c r="CI29" s="126"/>
      <c r="CJ29" s="126"/>
      <c r="CK29" s="126"/>
    </row>
    <row r="30" spans="1:89" s="132" customFormat="1" x14ac:dyDescent="0.25">
      <c r="A30" s="129" t="s">
        <v>89</v>
      </c>
      <c r="B30" s="130">
        <v>-14</v>
      </c>
      <c r="C30" s="130">
        <v>-6</v>
      </c>
      <c r="D30" s="130">
        <v>-1</v>
      </c>
      <c r="E30" s="130">
        <v>-7</v>
      </c>
      <c r="F30" s="130">
        <v>-3</v>
      </c>
      <c r="G30" s="130">
        <v>-14</v>
      </c>
      <c r="H30" s="130">
        <v>-32</v>
      </c>
      <c r="I30" s="130">
        <v>-6</v>
      </c>
      <c r="J30" s="130">
        <v>-19</v>
      </c>
      <c r="K30" s="130">
        <v>-10</v>
      </c>
      <c r="L30" s="130">
        <v>-9</v>
      </c>
      <c r="M30" s="130">
        <v>-6</v>
      </c>
      <c r="N30" s="130">
        <v>-2</v>
      </c>
      <c r="O30" s="130">
        <v>-9</v>
      </c>
      <c r="P30" s="130">
        <v>-5</v>
      </c>
      <c r="Q30" s="130">
        <v>-2</v>
      </c>
      <c r="R30" s="130">
        <v>-2</v>
      </c>
      <c r="S30" s="130">
        <v>-1</v>
      </c>
      <c r="T30" s="130">
        <v>-1</v>
      </c>
      <c r="U30" s="130">
        <v>0</v>
      </c>
      <c r="V30" s="130">
        <v>-3</v>
      </c>
      <c r="W30" s="130">
        <v>-2</v>
      </c>
      <c r="X30" s="130">
        <v>-1</v>
      </c>
      <c r="Y30" s="130">
        <v>0</v>
      </c>
      <c r="Z30" s="130">
        <v>-4</v>
      </c>
      <c r="AA30" s="130">
        <v>-6</v>
      </c>
      <c r="AB30" s="130">
        <v>-1</v>
      </c>
      <c r="AC30" s="130">
        <v>-2</v>
      </c>
      <c r="AD30" s="131">
        <v>-8</v>
      </c>
      <c r="AE30" s="130">
        <v>0</v>
      </c>
      <c r="AF30" s="130">
        <v>-1</v>
      </c>
      <c r="AG30" s="130">
        <v>0</v>
      </c>
      <c r="AH30" s="130">
        <v>-3</v>
      </c>
      <c r="AI30" s="130">
        <v>-2</v>
      </c>
      <c r="AJ30" s="130">
        <v>-3</v>
      </c>
      <c r="AK30" s="130">
        <v>0</v>
      </c>
      <c r="AL30" s="130">
        <v>-2</v>
      </c>
      <c r="AM30" s="130">
        <v>-7</v>
      </c>
      <c r="AN30" s="130">
        <v>-5</v>
      </c>
      <c r="AO30" s="130">
        <v>-3</v>
      </c>
      <c r="AP30" s="130">
        <v>0</v>
      </c>
      <c r="AQ30" s="130">
        <v>-6</v>
      </c>
      <c r="AR30" s="130">
        <v>-1</v>
      </c>
      <c r="AS30" s="130">
        <v>-4</v>
      </c>
      <c r="AT30" s="130">
        <v>-3</v>
      </c>
      <c r="AU30" s="130">
        <v>-5</v>
      </c>
      <c r="AV30" s="130">
        <v>-1</v>
      </c>
      <c r="AW30" s="130">
        <v>-4</v>
      </c>
      <c r="AX30" s="130">
        <v>-4</v>
      </c>
      <c r="AY30" s="130">
        <v>0</v>
      </c>
      <c r="AZ30" s="130">
        <v>-8</v>
      </c>
      <c r="BA30" s="130">
        <v>-1</v>
      </c>
      <c r="BB30" s="130">
        <v>0</v>
      </c>
      <c r="BC30" s="130">
        <v>-2</v>
      </c>
      <c r="BD30" s="130">
        <v>0</v>
      </c>
      <c r="BE30" s="130">
        <v>0</v>
      </c>
      <c r="BF30" s="130">
        <v>0</v>
      </c>
      <c r="BG30" s="130">
        <v>-5</v>
      </c>
      <c r="BH30" s="130">
        <v>0</v>
      </c>
      <c r="BI30" s="130">
        <v>0</v>
      </c>
      <c r="BJ30" s="130">
        <v>-1</v>
      </c>
      <c r="BK30" s="130">
        <v>-2</v>
      </c>
      <c r="BL30" s="130">
        <v>0</v>
      </c>
      <c r="BM30" s="130">
        <v>0</v>
      </c>
      <c r="BN30" s="130">
        <v>0</v>
      </c>
      <c r="BO30" s="130">
        <v>0</v>
      </c>
      <c r="BP30" s="130">
        <v>-4</v>
      </c>
      <c r="BQ30" s="130">
        <v>0</v>
      </c>
      <c r="BR30" s="130">
        <v>-5</v>
      </c>
      <c r="BS30" s="130">
        <v>-3</v>
      </c>
      <c r="BT30" s="130">
        <v>-11</v>
      </c>
      <c r="BU30" s="130">
        <v>-2</v>
      </c>
      <c r="BV30" s="130">
        <v>-7</v>
      </c>
      <c r="BW30" s="130">
        <v>0</v>
      </c>
      <c r="BX30" s="130">
        <v>0</v>
      </c>
      <c r="BY30" s="130">
        <v>-3</v>
      </c>
      <c r="BZ30" s="130">
        <v>-1</v>
      </c>
      <c r="CA30" s="130">
        <v>-2</v>
      </c>
      <c r="CB30" s="130">
        <v>0</v>
      </c>
      <c r="CC30" s="130">
        <v>-16</v>
      </c>
      <c r="CD30" s="130">
        <v>0</v>
      </c>
      <c r="CE30" s="130">
        <v>-1</v>
      </c>
      <c r="CF30" s="130">
        <v>0</v>
      </c>
      <c r="CG30" s="130">
        <v>-3</v>
      </c>
      <c r="CH30" s="375">
        <v>-3</v>
      </c>
      <c r="CI30" s="130"/>
      <c r="CJ30" s="130"/>
      <c r="CK30" s="130"/>
    </row>
    <row r="31" spans="1:89" s="128" customFormat="1" x14ac:dyDescent="0.25">
      <c r="A31" s="125" t="s">
        <v>90</v>
      </c>
      <c r="B31" s="126">
        <v>14</v>
      </c>
      <c r="C31" s="126">
        <v>4</v>
      </c>
      <c r="D31" s="126">
        <v>0</v>
      </c>
      <c r="E31" s="126">
        <v>9</v>
      </c>
      <c r="F31" s="126">
        <v>3</v>
      </c>
      <c r="G31" s="126">
        <v>0</v>
      </c>
      <c r="H31" s="126">
        <v>2</v>
      </c>
      <c r="I31" s="126">
        <v>0</v>
      </c>
      <c r="J31" s="126">
        <v>0</v>
      </c>
      <c r="K31" s="126">
        <v>2</v>
      </c>
      <c r="L31" s="126">
        <v>1</v>
      </c>
      <c r="M31" s="126">
        <v>8</v>
      </c>
      <c r="N31" s="126">
        <v>3</v>
      </c>
      <c r="O31" s="126">
        <v>4</v>
      </c>
      <c r="P31" s="126">
        <v>9</v>
      </c>
      <c r="Q31" s="126">
        <v>4</v>
      </c>
      <c r="R31" s="126">
        <v>12</v>
      </c>
      <c r="S31" s="126">
        <v>11</v>
      </c>
      <c r="T31" s="126">
        <v>8</v>
      </c>
      <c r="U31" s="126">
        <v>0</v>
      </c>
      <c r="V31" s="126">
        <v>5</v>
      </c>
      <c r="W31" s="126">
        <v>12</v>
      </c>
      <c r="X31" s="126">
        <v>3</v>
      </c>
      <c r="Y31" s="126">
        <v>2</v>
      </c>
      <c r="Z31" s="126">
        <v>1</v>
      </c>
      <c r="AA31" s="126">
        <v>4</v>
      </c>
      <c r="AB31" s="126">
        <v>4</v>
      </c>
      <c r="AC31" s="126">
        <v>10</v>
      </c>
      <c r="AD31" s="127">
        <v>1</v>
      </c>
      <c r="AE31" s="126">
        <v>1</v>
      </c>
      <c r="AF31" s="126">
        <v>0</v>
      </c>
      <c r="AG31" s="126">
        <v>1</v>
      </c>
      <c r="AH31" s="126">
        <v>0</v>
      </c>
      <c r="AI31" s="126">
        <v>2</v>
      </c>
      <c r="AJ31" s="126">
        <v>3</v>
      </c>
      <c r="AK31" s="126">
        <v>0</v>
      </c>
      <c r="AL31" s="126">
        <v>0</v>
      </c>
      <c r="AM31" s="126">
        <v>2</v>
      </c>
      <c r="AN31" s="126">
        <v>4</v>
      </c>
      <c r="AO31" s="126">
        <v>1</v>
      </c>
      <c r="AP31" s="126">
        <v>3</v>
      </c>
      <c r="AQ31" s="126">
        <v>4</v>
      </c>
      <c r="AR31" s="126">
        <v>0</v>
      </c>
      <c r="AS31" s="126">
        <v>0</v>
      </c>
      <c r="AT31" s="126">
        <v>5</v>
      </c>
      <c r="AU31" s="126">
        <v>9</v>
      </c>
      <c r="AV31" s="126">
        <v>0</v>
      </c>
      <c r="AW31" s="126">
        <v>0</v>
      </c>
      <c r="AX31" s="126">
        <v>1</v>
      </c>
      <c r="AY31" s="126">
        <v>4</v>
      </c>
      <c r="AZ31" s="126">
        <v>8</v>
      </c>
      <c r="BA31" s="126">
        <v>0</v>
      </c>
      <c r="BB31" s="126">
        <v>78</v>
      </c>
      <c r="BC31" s="126">
        <v>2</v>
      </c>
      <c r="BD31" s="126">
        <v>5</v>
      </c>
      <c r="BE31" s="126">
        <v>0</v>
      </c>
      <c r="BF31" s="126">
        <v>2</v>
      </c>
      <c r="BG31" s="126">
        <v>4</v>
      </c>
      <c r="BH31" s="126">
        <v>1</v>
      </c>
      <c r="BI31" s="126">
        <v>2</v>
      </c>
      <c r="BJ31" s="126">
        <v>2</v>
      </c>
      <c r="BK31" s="126">
        <v>2</v>
      </c>
      <c r="BL31" s="126">
        <v>1</v>
      </c>
      <c r="BM31" s="126">
        <v>0</v>
      </c>
      <c r="BN31" s="126">
        <v>4</v>
      </c>
      <c r="BO31" s="126">
        <v>3</v>
      </c>
      <c r="BP31" s="126">
        <v>3</v>
      </c>
      <c r="BQ31" s="126">
        <v>0</v>
      </c>
      <c r="BR31" s="126">
        <v>0</v>
      </c>
      <c r="BS31" s="126">
        <v>2</v>
      </c>
      <c r="BT31" s="126">
        <v>0</v>
      </c>
      <c r="BU31" s="126">
        <v>1</v>
      </c>
      <c r="BV31" s="126">
        <v>2</v>
      </c>
      <c r="BW31" s="126">
        <v>2</v>
      </c>
      <c r="BX31" s="126">
        <v>5</v>
      </c>
      <c r="BY31" s="126">
        <v>0</v>
      </c>
      <c r="BZ31" s="126">
        <v>1</v>
      </c>
      <c r="CA31" s="126">
        <v>1</v>
      </c>
      <c r="CB31" s="126">
        <v>2</v>
      </c>
      <c r="CC31" s="126">
        <v>1</v>
      </c>
      <c r="CD31" s="126">
        <v>2</v>
      </c>
      <c r="CE31" s="126">
        <v>1</v>
      </c>
      <c r="CF31" s="126">
        <v>0</v>
      </c>
      <c r="CG31" s="126">
        <v>0</v>
      </c>
      <c r="CH31" s="126">
        <v>1</v>
      </c>
      <c r="CI31" s="126"/>
      <c r="CJ31" s="126"/>
      <c r="CK31" s="126"/>
    </row>
    <row r="32" spans="1:89" s="132" customFormat="1" x14ac:dyDescent="0.25">
      <c r="A32" s="129" t="s">
        <v>91</v>
      </c>
      <c r="B32" s="130">
        <v>-21</v>
      </c>
      <c r="C32" s="130">
        <v>-8</v>
      </c>
      <c r="D32" s="130">
        <v>0</v>
      </c>
      <c r="E32" s="130">
        <v>-12</v>
      </c>
      <c r="F32" s="130">
        <v>-7</v>
      </c>
      <c r="G32" s="130">
        <v>-20</v>
      </c>
      <c r="H32" s="130">
        <v>-27</v>
      </c>
      <c r="I32" s="130">
        <v>-59</v>
      </c>
      <c r="J32" s="130">
        <v>-25</v>
      </c>
      <c r="K32" s="130">
        <v>-21</v>
      </c>
      <c r="L32" s="130">
        <v>-11</v>
      </c>
      <c r="M32" s="130">
        <v>-11</v>
      </c>
      <c r="N32" s="130">
        <v>-11</v>
      </c>
      <c r="O32" s="130">
        <v>-6</v>
      </c>
      <c r="P32" s="130">
        <v>-3</v>
      </c>
      <c r="Q32" s="130">
        <v>-2</v>
      </c>
      <c r="R32" s="130">
        <v>-6</v>
      </c>
      <c r="S32" s="130">
        <v>0</v>
      </c>
      <c r="T32" s="130">
        <v>-3</v>
      </c>
      <c r="U32" s="130">
        <v>-6</v>
      </c>
      <c r="V32" s="130">
        <v>-2</v>
      </c>
      <c r="W32" s="130">
        <v>-4</v>
      </c>
      <c r="X32" s="130">
        <v>-11</v>
      </c>
      <c r="Y32" s="130">
        <v>0</v>
      </c>
      <c r="Z32" s="130">
        <v>-9</v>
      </c>
      <c r="AA32" s="130">
        <v>-1</v>
      </c>
      <c r="AB32" s="130">
        <v>0</v>
      </c>
      <c r="AC32" s="130">
        <v>-3</v>
      </c>
      <c r="AD32" s="131">
        <v>0</v>
      </c>
      <c r="AE32" s="130">
        <v>-2</v>
      </c>
      <c r="AF32" s="130">
        <v>-1</v>
      </c>
      <c r="AG32" s="130">
        <v>0</v>
      </c>
      <c r="AH32" s="130">
        <v>-2</v>
      </c>
      <c r="AI32" s="130">
        <v>-9</v>
      </c>
      <c r="AJ32" s="130">
        <v>-5</v>
      </c>
      <c r="AK32" s="130">
        <v>-2</v>
      </c>
      <c r="AL32" s="130">
        <v>-2</v>
      </c>
      <c r="AM32" s="130">
        <v>-5</v>
      </c>
      <c r="AN32" s="130">
        <v>-3</v>
      </c>
      <c r="AO32" s="130">
        <v>-3</v>
      </c>
      <c r="AP32" s="130">
        <v>0</v>
      </c>
      <c r="AQ32" s="130">
        <v>0</v>
      </c>
      <c r="AR32" s="130">
        <v>-3</v>
      </c>
      <c r="AS32" s="130">
        <v>-1</v>
      </c>
      <c r="AT32" s="130">
        <v>-2</v>
      </c>
      <c r="AU32" s="130">
        <v>-2</v>
      </c>
      <c r="AV32" s="130">
        <v>-1</v>
      </c>
      <c r="AW32" s="130">
        <v>-1</v>
      </c>
      <c r="AX32" s="130">
        <v>-1</v>
      </c>
      <c r="AY32" s="130">
        <v>-1</v>
      </c>
      <c r="AZ32" s="130">
        <v>-2</v>
      </c>
      <c r="BA32" s="130">
        <v>0</v>
      </c>
      <c r="BB32" s="130">
        <v>0</v>
      </c>
      <c r="BC32" s="130">
        <v>0</v>
      </c>
      <c r="BD32" s="130">
        <v>0</v>
      </c>
      <c r="BE32" s="130">
        <v>0</v>
      </c>
      <c r="BF32" s="130">
        <v>0</v>
      </c>
      <c r="BG32" s="130">
        <v>-1</v>
      </c>
      <c r="BH32" s="130">
        <v>-1</v>
      </c>
      <c r="BI32" s="130">
        <v>-1</v>
      </c>
      <c r="BJ32" s="130">
        <v>-2</v>
      </c>
      <c r="BK32" s="130">
        <v>0</v>
      </c>
      <c r="BL32" s="130">
        <v>-5</v>
      </c>
      <c r="BM32" s="130">
        <v>-1</v>
      </c>
      <c r="BN32" s="130">
        <v>0</v>
      </c>
      <c r="BO32" s="130">
        <v>0</v>
      </c>
      <c r="BP32" s="130">
        <v>-2</v>
      </c>
      <c r="BQ32" s="130">
        <v>0</v>
      </c>
      <c r="BR32" s="130">
        <v>-4</v>
      </c>
      <c r="BS32" s="130">
        <v>0</v>
      </c>
      <c r="BT32" s="130">
        <v>-9</v>
      </c>
      <c r="BU32" s="130">
        <v>-7</v>
      </c>
      <c r="BV32" s="130">
        <v>-6</v>
      </c>
      <c r="BW32" s="130">
        <v>-2</v>
      </c>
      <c r="BX32" s="130">
        <v>-1</v>
      </c>
      <c r="BY32" s="130">
        <v>-2</v>
      </c>
      <c r="BZ32" s="130">
        <v>-3</v>
      </c>
      <c r="CA32" s="130">
        <v>-1</v>
      </c>
      <c r="CB32" s="130">
        <v>-2</v>
      </c>
      <c r="CC32" s="130">
        <v>-1</v>
      </c>
      <c r="CD32" s="130">
        <v>-3</v>
      </c>
      <c r="CE32" s="130">
        <v>0</v>
      </c>
      <c r="CF32" s="130">
        <v>-3</v>
      </c>
      <c r="CG32" s="130">
        <v>-3</v>
      </c>
      <c r="CH32" s="130">
        <v>0</v>
      </c>
      <c r="CI32" s="130"/>
      <c r="CJ32" s="130"/>
      <c r="CK32" s="130"/>
    </row>
    <row r="33" spans="1:89" s="128" customFormat="1" x14ac:dyDescent="0.25">
      <c r="A33" s="125" t="s">
        <v>92</v>
      </c>
      <c r="B33" s="126">
        <v>6</v>
      </c>
      <c r="C33" s="126">
        <v>7</v>
      </c>
      <c r="D33" s="126">
        <v>5</v>
      </c>
      <c r="E33" s="126">
        <v>2</v>
      </c>
      <c r="F33" s="126">
        <v>2</v>
      </c>
      <c r="G33" s="126">
        <v>2</v>
      </c>
      <c r="H33" s="126">
        <v>9</v>
      </c>
      <c r="I33" s="126">
        <v>1</v>
      </c>
      <c r="J33" s="126">
        <v>3</v>
      </c>
      <c r="K33" s="126">
        <v>1</v>
      </c>
      <c r="L33" s="126">
        <v>0</v>
      </c>
      <c r="M33" s="126">
        <v>2</v>
      </c>
      <c r="N33" s="126">
        <v>2</v>
      </c>
      <c r="O33" s="126">
        <v>1</v>
      </c>
      <c r="P33" s="126">
        <v>9</v>
      </c>
      <c r="Q33" s="126">
        <v>3</v>
      </c>
      <c r="R33" s="126">
        <v>7</v>
      </c>
      <c r="S33" s="126">
        <v>8</v>
      </c>
      <c r="T33" s="126">
        <v>1</v>
      </c>
      <c r="U33" s="126">
        <v>8</v>
      </c>
      <c r="V33" s="126">
        <v>7</v>
      </c>
      <c r="W33" s="126">
        <v>7</v>
      </c>
      <c r="X33" s="126">
        <v>6</v>
      </c>
      <c r="Y33" s="126">
        <v>0</v>
      </c>
      <c r="Z33" s="126">
        <v>7</v>
      </c>
      <c r="AA33" s="126">
        <v>16</v>
      </c>
      <c r="AB33" s="126">
        <v>0</v>
      </c>
      <c r="AC33" s="126">
        <v>3</v>
      </c>
      <c r="AD33" s="127">
        <v>3</v>
      </c>
      <c r="AE33" s="126">
        <v>3</v>
      </c>
      <c r="AF33" s="126">
        <v>6</v>
      </c>
      <c r="AG33" s="126">
        <v>1</v>
      </c>
      <c r="AH33" s="126">
        <v>1</v>
      </c>
      <c r="AI33" s="126">
        <v>5</v>
      </c>
      <c r="AJ33" s="126">
        <v>3</v>
      </c>
      <c r="AK33" s="126">
        <v>3</v>
      </c>
      <c r="AL33" s="126">
        <v>0</v>
      </c>
      <c r="AM33" s="126">
        <v>6</v>
      </c>
      <c r="AN33" s="126">
        <v>5</v>
      </c>
      <c r="AO33" s="126">
        <v>4</v>
      </c>
      <c r="AP33" s="126">
        <v>5</v>
      </c>
      <c r="AQ33" s="126">
        <v>9</v>
      </c>
      <c r="AR33" s="126">
        <v>2</v>
      </c>
      <c r="AS33" s="126">
        <v>2</v>
      </c>
      <c r="AT33" s="126">
        <v>1</v>
      </c>
      <c r="AU33" s="126">
        <v>7</v>
      </c>
      <c r="AV33" s="126">
        <v>0</v>
      </c>
      <c r="AW33" s="126">
        <v>2</v>
      </c>
      <c r="AX33" s="126">
        <v>13</v>
      </c>
      <c r="AY33" s="126">
        <v>10</v>
      </c>
      <c r="AZ33" s="126">
        <v>6</v>
      </c>
      <c r="BA33" s="126">
        <v>8</v>
      </c>
      <c r="BB33" s="126">
        <v>0</v>
      </c>
      <c r="BC33" s="126">
        <v>4</v>
      </c>
      <c r="BD33" s="126">
        <v>0</v>
      </c>
      <c r="BE33" s="126">
        <v>2</v>
      </c>
      <c r="BF33" s="126">
        <v>0</v>
      </c>
      <c r="BG33" s="126">
        <v>18</v>
      </c>
      <c r="BH33" s="126">
        <v>0</v>
      </c>
      <c r="BI33" s="126">
        <v>2</v>
      </c>
      <c r="BJ33" s="126">
        <v>6</v>
      </c>
      <c r="BK33" s="126">
        <v>6</v>
      </c>
      <c r="BL33" s="126">
        <v>19</v>
      </c>
      <c r="BM33" s="126">
        <v>0</v>
      </c>
      <c r="BN33" s="126">
        <v>7</v>
      </c>
      <c r="BO33" s="126">
        <v>3</v>
      </c>
      <c r="BP33" s="126">
        <v>0</v>
      </c>
      <c r="BQ33" s="126">
        <v>7</v>
      </c>
      <c r="BR33" s="126">
        <v>5</v>
      </c>
      <c r="BS33" s="126">
        <v>2</v>
      </c>
      <c r="BT33" s="126">
        <v>16</v>
      </c>
      <c r="BU33" s="126">
        <v>3</v>
      </c>
      <c r="BV33" s="126">
        <v>9</v>
      </c>
      <c r="BW33" s="126">
        <v>1</v>
      </c>
      <c r="BX33" s="126">
        <v>4</v>
      </c>
      <c r="BY33" s="126">
        <v>6</v>
      </c>
      <c r="BZ33" s="126">
        <v>0</v>
      </c>
      <c r="CA33" s="126">
        <v>0</v>
      </c>
      <c r="CB33" s="126">
        <v>0</v>
      </c>
      <c r="CC33" s="126">
        <v>2</v>
      </c>
      <c r="CD33" s="126">
        <v>1</v>
      </c>
      <c r="CE33" s="126">
        <v>0</v>
      </c>
      <c r="CF33" s="126">
        <v>0</v>
      </c>
      <c r="CG33" s="126">
        <v>14</v>
      </c>
      <c r="CH33" s="126">
        <v>0</v>
      </c>
      <c r="CI33" s="126"/>
      <c r="CJ33" s="126"/>
      <c r="CK33" s="126"/>
    </row>
    <row r="34" spans="1:89" s="132" customFormat="1" x14ac:dyDescent="0.25">
      <c r="A34" s="129" t="s">
        <v>93</v>
      </c>
      <c r="B34" s="130">
        <v>-24</v>
      </c>
      <c r="C34" s="130">
        <v>-7</v>
      </c>
      <c r="D34" s="130">
        <v>-12</v>
      </c>
      <c r="E34" s="130">
        <v>-38</v>
      </c>
      <c r="F34" s="130">
        <v>-24</v>
      </c>
      <c r="G34" s="130">
        <v>-33</v>
      </c>
      <c r="H34" s="130">
        <v>-32</v>
      </c>
      <c r="I34" s="130">
        <v>-22</v>
      </c>
      <c r="J34" s="130">
        <v>-44</v>
      </c>
      <c r="K34" s="130">
        <v>-24</v>
      </c>
      <c r="L34" s="130">
        <v>-18</v>
      </c>
      <c r="M34" s="130">
        <v>-20</v>
      </c>
      <c r="N34" s="130">
        <v>-6</v>
      </c>
      <c r="O34" s="130">
        <v>-4</v>
      </c>
      <c r="P34" s="130">
        <v>-2</v>
      </c>
      <c r="Q34" s="130">
        <v>-7</v>
      </c>
      <c r="R34" s="130">
        <v>-1</v>
      </c>
      <c r="S34" s="130">
        <v>-9</v>
      </c>
      <c r="T34" s="130">
        <v>-3</v>
      </c>
      <c r="U34" s="130">
        <v>-16</v>
      </c>
      <c r="V34" s="130">
        <v>-2</v>
      </c>
      <c r="W34" s="130">
        <v>-4</v>
      </c>
      <c r="X34" s="130">
        <v>-6</v>
      </c>
      <c r="Y34" s="130">
        <v>-8</v>
      </c>
      <c r="Z34" s="130">
        <v>-4</v>
      </c>
      <c r="AA34" s="130">
        <v>-11</v>
      </c>
      <c r="AB34" s="130">
        <v>-1</v>
      </c>
      <c r="AC34" s="130">
        <v>-6</v>
      </c>
      <c r="AD34" s="131">
        <v>-5</v>
      </c>
      <c r="AE34" s="130">
        <v>-3</v>
      </c>
      <c r="AF34" s="130">
        <v>-3</v>
      </c>
      <c r="AG34" s="130">
        <v>-3</v>
      </c>
      <c r="AH34" s="130">
        <v>-4</v>
      </c>
      <c r="AI34" s="130">
        <v>-3</v>
      </c>
      <c r="AJ34" s="130">
        <v>0</v>
      </c>
      <c r="AK34" s="130">
        <v>-1</v>
      </c>
      <c r="AL34" s="130">
        <v>-13</v>
      </c>
      <c r="AM34" s="130">
        <v>-2</v>
      </c>
      <c r="AN34" s="130">
        <v>0</v>
      </c>
      <c r="AO34" s="130">
        <v>-6</v>
      </c>
      <c r="AP34" s="130">
        <v>0</v>
      </c>
      <c r="AQ34" s="130">
        <v>-2</v>
      </c>
      <c r="AR34" s="130">
        <v>0</v>
      </c>
      <c r="AS34" s="130">
        <v>-4</v>
      </c>
      <c r="AT34" s="130">
        <v>-3</v>
      </c>
      <c r="AU34" s="130">
        <v>-4</v>
      </c>
      <c r="AV34" s="130">
        <v>-5</v>
      </c>
      <c r="AW34" s="130">
        <v>-8</v>
      </c>
      <c r="AX34" s="130">
        <v>0</v>
      </c>
      <c r="AY34" s="130">
        <v>0</v>
      </c>
      <c r="AZ34" s="130">
        <v>0</v>
      </c>
      <c r="BA34" s="130">
        <v>-3</v>
      </c>
      <c r="BB34" s="130">
        <v>0</v>
      </c>
      <c r="BC34" s="130">
        <v>-1</v>
      </c>
      <c r="BD34" s="130">
        <v>0</v>
      </c>
      <c r="BE34" s="130">
        <v>0</v>
      </c>
      <c r="BF34" s="130">
        <v>0</v>
      </c>
      <c r="BG34" s="130">
        <v>-1</v>
      </c>
      <c r="BH34" s="130">
        <v>-5</v>
      </c>
      <c r="BI34" s="130">
        <v>-1</v>
      </c>
      <c r="BJ34" s="130">
        <v>-2</v>
      </c>
      <c r="BK34" s="130">
        <v>-1</v>
      </c>
      <c r="BL34" s="130">
        <v>-3</v>
      </c>
      <c r="BM34" s="130">
        <v>-1</v>
      </c>
      <c r="BN34" s="130">
        <v>-4</v>
      </c>
      <c r="BO34" s="130">
        <v>-1</v>
      </c>
      <c r="BP34" s="130">
        <v>-3</v>
      </c>
      <c r="BQ34" s="130">
        <v>0</v>
      </c>
      <c r="BR34" s="130">
        <v>-2</v>
      </c>
      <c r="BS34" s="130">
        <v>-4</v>
      </c>
      <c r="BT34" s="130">
        <v>-3</v>
      </c>
      <c r="BU34" s="130">
        <v>-2</v>
      </c>
      <c r="BV34" s="130">
        <v>-8</v>
      </c>
      <c r="BW34" s="130">
        <v>0</v>
      </c>
      <c r="BX34" s="130">
        <v>-4</v>
      </c>
      <c r="BY34" s="130">
        <v>-2</v>
      </c>
      <c r="BZ34" s="130">
        <v>0</v>
      </c>
      <c r="CA34" s="130">
        <v>-3</v>
      </c>
      <c r="CB34" s="130">
        <v>-2</v>
      </c>
      <c r="CC34" s="130">
        <v>-16</v>
      </c>
      <c r="CD34" s="130">
        <v>-9</v>
      </c>
      <c r="CE34" s="130">
        <v>-1</v>
      </c>
      <c r="CF34" s="130">
        <v>-2</v>
      </c>
      <c r="CG34" s="130">
        <v>-7</v>
      </c>
      <c r="CH34" s="130">
        <v>0</v>
      </c>
      <c r="CI34" s="130"/>
      <c r="CJ34" s="130"/>
      <c r="CK34" s="130"/>
    </row>
    <row r="35" spans="1:89" x14ac:dyDescent="0.25"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BK35" t="s">
        <v>94</v>
      </c>
      <c r="BO35" t="s">
        <v>94</v>
      </c>
      <c r="BS35" t="s">
        <v>94</v>
      </c>
    </row>
    <row r="36" spans="1:89" x14ac:dyDescent="0.25">
      <c r="B36" s="10"/>
      <c r="C36" s="10"/>
      <c r="D36" s="10"/>
      <c r="E36" s="10"/>
      <c r="F36" s="29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89" x14ac:dyDescent="0.25">
      <c r="B37" s="10"/>
      <c r="C37" s="10"/>
      <c r="D37" s="10"/>
      <c r="E37" s="10"/>
      <c r="F37" s="29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89" x14ac:dyDescent="0.25">
      <c r="B38" s="10"/>
      <c r="C38" s="10"/>
      <c r="D38" s="10"/>
      <c r="E38" s="10"/>
      <c r="F38" s="29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89" x14ac:dyDescent="0.25">
      <c r="B39" s="10"/>
      <c r="C39" s="10"/>
      <c r="D39" s="10"/>
      <c r="E39" s="10"/>
      <c r="F39" s="29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89" s="143" customFormat="1" outlineLevel="1" x14ac:dyDescent="0.25">
      <c r="A40" s="140"/>
      <c r="B40" s="141"/>
      <c r="C40" s="141"/>
      <c r="D40" s="141"/>
      <c r="E40" s="142" t="str">
        <f t="shared" ref="E40:AN40" si="0">IF( ISERR( FIND( "Q4", E$28 ) ), "", LEFT( E$28, 4 ) )</f>
        <v>2001</v>
      </c>
      <c r="F40" s="142" t="str">
        <f t="shared" si="0"/>
        <v/>
      </c>
      <c r="G40" s="142" t="str">
        <f t="shared" si="0"/>
        <v/>
      </c>
      <c r="H40" s="142" t="str">
        <f t="shared" si="0"/>
        <v/>
      </c>
      <c r="I40" s="142" t="str">
        <f t="shared" si="0"/>
        <v>2002</v>
      </c>
      <c r="J40" s="142" t="str">
        <f t="shared" si="0"/>
        <v/>
      </c>
      <c r="K40" s="142" t="str">
        <f t="shared" si="0"/>
        <v/>
      </c>
      <c r="L40" s="142" t="str">
        <f t="shared" si="0"/>
        <v/>
      </c>
      <c r="M40" s="142" t="str">
        <f t="shared" si="0"/>
        <v>2003</v>
      </c>
      <c r="N40" s="142" t="str">
        <f t="shared" si="0"/>
        <v/>
      </c>
      <c r="O40" s="142" t="str">
        <f t="shared" si="0"/>
        <v/>
      </c>
      <c r="P40" s="142" t="str">
        <f t="shared" si="0"/>
        <v/>
      </c>
      <c r="Q40" s="142" t="str">
        <f t="shared" si="0"/>
        <v>2004</v>
      </c>
      <c r="R40" s="142" t="str">
        <f t="shared" si="0"/>
        <v/>
      </c>
      <c r="S40" s="142" t="str">
        <f t="shared" si="0"/>
        <v/>
      </c>
      <c r="T40" s="142" t="str">
        <f t="shared" si="0"/>
        <v/>
      </c>
      <c r="U40" s="142" t="str">
        <f t="shared" si="0"/>
        <v>2005</v>
      </c>
      <c r="V40" s="142" t="str">
        <f t="shared" si="0"/>
        <v/>
      </c>
      <c r="W40" s="142" t="str">
        <f t="shared" si="0"/>
        <v/>
      </c>
      <c r="X40" s="142" t="str">
        <f t="shared" si="0"/>
        <v/>
      </c>
      <c r="Y40" s="142" t="str">
        <f t="shared" si="0"/>
        <v>2006</v>
      </c>
      <c r="Z40" s="142" t="str">
        <f t="shared" si="0"/>
        <v/>
      </c>
      <c r="AA40" s="142" t="str">
        <f t="shared" si="0"/>
        <v/>
      </c>
      <c r="AB40" s="142" t="str">
        <f t="shared" si="0"/>
        <v/>
      </c>
      <c r="AC40" s="142" t="str">
        <f t="shared" si="0"/>
        <v>2007</v>
      </c>
      <c r="AD40" s="142" t="str">
        <f t="shared" si="0"/>
        <v/>
      </c>
      <c r="AE40" s="142" t="str">
        <f t="shared" si="0"/>
        <v/>
      </c>
      <c r="AF40" s="142" t="str">
        <f t="shared" si="0"/>
        <v/>
      </c>
      <c r="AG40" s="142" t="str">
        <f t="shared" si="0"/>
        <v>2008</v>
      </c>
      <c r="AH40" s="142" t="str">
        <f t="shared" si="0"/>
        <v/>
      </c>
      <c r="AI40" s="142" t="str">
        <f t="shared" si="0"/>
        <v/>
      </c>
      <c r="AJ40" s="142" t="str">
        <f t="shared" si="0"/>
        <v/>
      </c>
      <c r="AK40" s="142" t="str">
        <f t="shared" si="0"/>
        <v>2009</v>
      </c>
      <c r="AL40" s="142" t="str">
        <f t="shared" si="0"/>
        <v/>
      </c>
      <c r="AM40" s="142" t="str">
        <f t="shared" si="0"/>
        <v/>
      </c>
      <c r="AN40" s="142" t="str">
        <f t="shared" si="0"/>
        <v/>
      </c>
      <c r="AO40" s="142" t="str">
        <f>IF( ISERR( FIND( "Q4", AO$28 ) ), "", LEFT( AO$28, 4 ) )</f>
        <v>2010</v>
      </c>
      <c r="AP40" s="142" t="str">
        <f t="shared" ref="AP40:BX40" si="1">IF( ISERR( FIND( "Q4", AP$28 ) ), "", LEFT( AP$28, 4 ) )</f>
        <v/>
      </c>
      <c r="AQ40" s="142" t="str">
        <f t="shared" si="1"/>
        <v/>
      </c>
      <c r="AR40" s="142" t="str">
        <f t="shared" si="1"/>
        <v/>
      </c>
      <c r="AS40" s="142" t="str">
        <f t="shared" si="1"/>
        <v>2011</v>
      </c>
      <c r="AT40" s="142" t="str">
        <f t="shared" si="1"/>
        <v/>
      </c>
      <c r="AU40" s="142" t="str">
        <f t="shared" si="1"/>
        <v/>
      </c>
      <c r="AV40" s="142" t="str">
        <f t="shared" si="1"/>
        <v/>
      </c>
      <c r="AW40" s="142" t="str">
        <f t="shared" si="1"/>
        <v>2012</v>
      </c>
      <c r="AX40" s="142" t="str">
        <f t="shared" si="1"/>
        <v/>
      </c>
      <c r="AY40" s="142" t="str">
        <f t="shared" si="1"/>
        <v/>
      </c>
      <c r="AZ40" s="142" t="str">
        <f t="shared" si="1"/>
        <v/>
      </c>
      <c r="BA40" s="142" t="str">
        <f t="shared" si="1"/>
        <v>2013</v>
      </c>
      <c r="BB40" s="142" t="str">
        <f t="shared" si="1"/>
        <v/>
      </c>
      <c r="BC40" s="142" t="str">
        <f t="shared" si="1"/>
        <v/>
      </c>
      <c r="BD40" s="142" t="str">
        <f t="shared" si="1"/>
        <v/>
      </c>
      <c r="BE40" s="142" t="str">
        <f t="shared" si="1"/>
        <v>2014</v>
      </c>
      <c r="BF40" s="142" t="str">
        <f t="shared" si="1"/>
        <v/>
      </c>
      <c r="BG40" s="142" t="str">
        <f t="shared" si="1"/>
        <v/>
      </c>
      <c r="BH40" s="142" t="str">
        <f t="shared" si="1"/>
        <v/>
      </c>
      <c r="BI40" s="142" t="str">
        <f t="shared" si="1"/>
        <v>2015</v>
      </c>
      <c r="BJ40" s="142" t="str">
        <f t="shared" si="1"/>
        <v/>
      </c>
      <c r="BK40" s="142" t="str">
        <f t="shared" si="1"/>
        <v/>
      </c>
      <c r="BL40" s="142" t="str">
        <f t="shared" si="1"/>
        <v/>
      </c>
      <c r="BM40" s="142" t="str">
        <f>IF( ISERR( FIND( "Q4", BM$28 ) ), "", LEFT( BM$28, 4 ) )</f>
        <v>2016</v>
      </c>
      <c r="BN40" s="142" t="str">
        <f t="shared" si="1"/>
        <v/>
      </c>
      <c r="BO40" s="142" t="str">
        <f t="shared" si="1"/>
        <v/>
      </c>
      <c r="BP40" s="142" t="str">
        <f t="shared" si="1"/>
        <v/>
      </c>
      <c r="BQ40" s="142" t="str">
        <f>IF( ISERR( FIND( "Q4", BQ$28 ) ), "", LEFT( BQ$28, 4 ) )</f>
        <v>2017</v>
      </c>
      <c r="BR40" s="142" t="str">
        <f t="shared" si="1"/>
        <v/>
      </c>
      <c r="BS40" s="142" t="str">
        <f t="shared" si="1"/>
        <v/>
      </c>
      <c r="BT40" s="142" t="str">
        <f t="shared" si="1"/>
        <v/>
      </c>
      <c r="BU40" s="142">
        <v>2018</v>
      </c>
      <c r="BV40" s="142" t="str">
        <f t="shared" si="1"/>
        <v/>
      </c>
      <c r="BW40" s="142" t="str">
        <f t="shared" si="1"/>
        <v/>
      </c>
      <c r="BX40" s="142" t="str">
        <f t="shared" si="1"/>
        <v/>
      </c>
      <c r="BY40" s="142">
        <v>2019</v>
      </c>
      <c r="CC40" s="142">
        <v>2020</v>
      </c>
      <c r="CG40" s="142">
        <v>2021</v>
      </c>
      <c r="CK40" s="142">
        <v>2022</v>
      </c>
    </row>
    <row r="41" spans="1:89" s="136" customFormat="1" outlineLevel="1" x14ac:dyDescent="0.25">
      <c r="A41" s="133"/>
      <c r="B41" s="134"/>
      <c r="C41" s="134"/>
      <c r="D41" s="134"/>
      <c r="E41" s="134"/>
      <c r="F41" s="135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</row>
    <row r="42" spans="1:89" s="309" customFormat="1" outlineLevel="1" x14ac:dyDescent="0.25">
      <c r="A42" s="308" t="s">
        <v>88</v>
      </c>
      <c r="E42" s="309">
        <f t="shared" ref="E42:N47" si="2">IF( ISERR( FIND( "Q4", E$28 ) ), "", SUM( B29:E29 ) )</f>
        <v>10</v>
      </c>
      <c r="F42" s="309" t="str">
        <f t="shared" si="2"/>
        <v/>
      </c>
      <c r="G42" s="309" t="str">
        <f t="shared" si="2"/>
        <v/>
      </c>
      <c r="H42" s="309" t="str">
        <f t="shared" si="2"/>
        <v/>
      </c>
      <c r="I42" s="309">
        <f t="shared" si="2"/>
        <v>2</v>
      </c>
      <c r="J42" s="309" t="str">
        <f t="shared" si="2"/>
        <v/>
      </c>
      <c r="K42" s="309" t="str">
        <f t="shared" si="2"/>
        <v/>
      </c>
      <c r="L42" s="309" t="str">
        <f t="shared" si="2"/>
        <v/>
      </c>
      <c r="M42" s="309">
        <f t="shared" si="2"/>
        <v>18</v>
      </c>
      <c r="N42" s="309" t="str">
        <f t="shared" si="2"/>
        <v/>
      </c>
      <c r="O42" s="309" t="str">
        <f t="shared" ref="O42:X47" si="3">IF( ISERR( FIND( "Q4", O$28 ) ), "", SUM( L29:O29 ) )</f>
        <v/>
      </c>
      <c r="P42" s="309" t="str">
        <f t="shared" si="3"/>
        <v/>
      </c>
      <c r="Q42" s="309">
        <f t="shared" si="3"/>
        <v>16</v>
      </c>
      <c r="R42" s="309" t="str">
        <f t="shared" si="3"/>
        <v/>
      </c>
      <c r="S42" s="309" t="str">
        <f t="shared" si="3"/>
        <v/>
      </c>
      <c r="T42" s="309" t="str">
        <f t="shared" si="3"/>
        <v/>
      </c>
      <c r="U42" s="309">
        <f t="shared" si="3"/>
        <v>18</v>
      </c>
      <c r="V42" s="309" t="str">
        <f t="shared" si="3"/>
        <v/>
      </c>
      <c r="W42" s="309" t="str">
        <f t="shared" si="3"/>
        <v/>
      </c>
      <c r="X42" s="309" t="str">
        <f t="shared" si="3"/>
        <v/>
      </c>
      <c r="Y42" s="309">
        <f t="shared" ref="Y42:AH47" si="4">IF( ISERR( FIND( "Q4", Y$28 ) ), "", SUM( V29:Y29 ) )</f>
        <v>25</v>
      </c>
      <c r="Z42" s="309" t="str">
        <f t="shared" si="4"/>
        <v/>
      </c>
      <c r="AA42" s="309" t="str">
        <f t="shared" si="4"/>
        <v/>
      </c>
      <c r="AB42" s="309" t="str">
        <f t="shared" si="4"/>
        <v/>
      </c>
      <c r="AC42" s="309">
        <f t="shared" si="4"/>
        <v>28</v>
      </c>
      <c r="AD42" s="309" t="str">
        <f t="shared" si="4"/>
        <v/>
      </c>
      <c r="AE42" s="309" t="str">
        <f t="shared" si="4"/>
        <v/>
      </c>
      <c r="AF42" s="309" t="str">
        <f t="shared" si="4"/>
        <v/>
      </c>
      <c r="AG42" s="309">
        <f t="shared" si="4"/>
        <v>8</v>
      </c>
      <c r="AH42" s="309" t="str">
        <f t="shared" si="4"/>
        <v/>
      </c>
      <c r="AI42" s="309" t="str">
        <f t="shared" ref="AI42:AR47" si="5">IF( ISERR( FIND( "Q4", AI$28 ) ), "", SUM( AF29:AI29 ) )</f>
        <v/>
      </c>
      <c r="AJ42" s="309" t="str">
        <f t="shared" si="5"/>
        <v/>
      </c>
      <c r="AK42" s="309">
        <f t="shared" si="5"/>
        <v>6</v>
      </c>
      <c r="AL42" s="309" t="str">
        <f t="shared" si="5"/>
        <v/>
      </c>
      <c r="AM42" s="309" t="str">
        <f t="shared" si="5"/>
        <v/>
      </c>
      <c r="AN42" s="309" t="str">
        <f t="shared" si="5"/>
        <v/>
      </c>
      <c r="AO42" s="309">
        <f t="shared" si="5"/>
        <v>7</v>
      </c>
      <c r="AP42" s="309" t="str">
        <f t="shared" si="5"/>
        <v/>
      </c>
      <c r="AQ42" s="309" t="str">
        <f t="shared" si="5"/>
        <v/>
      </c>
      <c r="AR42" s="309" t="str">
        <f t="shared" si="5"/>
        <v/>
      </c>
      <c r="AS42" s="309">
        <f t="shared" ref="AS42:AW47" si="6">IF( ISERR( FIND( "Q4", AS$28 ) ), "", SUM( AP29:AS29 ) )</f>
        <v>14</v>
      </c>
      <c r="AT42" s="309" t="str">
        <f t="shared" si="6"/>
        <v/>
      </c>
      <c r="AU42" s="309" t="str">
        <f t="shared" si="6"/>
        <v/>
      </c>
      <c r="AV42" s="309" t="str">
        <f t="shared" si="6"/>
        <v/>
      </c>
      <c r="AW42" s="309">
        <f t="shared" si="6"/>
        <v>13</v>
      </c>
      <c r="AX42" s="309" t="str">
        <f t="shared" ref="AX42:AX47" si="7">IF( ISERR( FIND( "Q4", AX$28 ) ), "", SUM( AQ29:AX29 ) )</f>
        <v/>
      </c>
      <c r="AY42" s="309" t="str">
        <f t="shared" ref="AY42:AY47" si="8">IF( ISERR( FIND( "Q4", AY$28 ) ), "", SUM( AR29:AY29 ) )</f>
        <v/>
      </c>
      <c r="AZ42" s="309" t="str">
        <f t="shared" ref="AZ42:AZ47" si="9">IF( ISERR( FIND( "Q4", AZ$28 ) ), "", SUM( AS29:AZ29 ) )</f>
        <v/>
      </c>
      <c r="BA42" s="309">
        <f t="shared" ref="BA42:BA47" si="10">IF( ISERR( FIND( "Q4", BA$28 ) ), "", SUM( AX29:BA29 ) )</f>
        <v>10</v>
      </c>
      <c r="BB42" s="309" t="str">
        <f t="shared" ref="BB42:BB47" si="11">IF( ISERR( FIND( "Q4", BB$28 ) ), "", SUM( AQ29:BB29 ) )</f>
        <v/>
      </c>
      <c r="BC42" s="309" t="str">
        <f t="shared" ref="BC42:BC47" si="12">IF( ISERR( FIND( "Q4", BC$28 ) ), "", SUM( AR29:BC29 ) )</f>
        <v/>
      </c>
      <c r="BD42" s="309" t="str">
        <f t="shared" ref="BD42:BD47" si="13">IF( ISERR( FIND( "Q4", BD$28 ) ), "", SUM( AS29:BD29 ) )</f>
        <v/>
      </c>
      <c r="BE42" s="309">
        <f t="shared" ref="BE42:BE47" si="14">IF( ISERR( FIND( "Q4", BE$28 ) ), "", SUM( BB29:BE29 ) )</f>
        <v>12</v>
      </c>
      <c r="BF42" s="309" t="str">
        <f t="shared" ref="BF42:BF47" si="15">IF( ISERR( FIND( "Q4", BF$28 ) ), "", SUM( AQ29:BF29 ) )</f>
        <v/>
      </c>
      <c r="BG42" s="309" t="str">
        <f t="shared" ref="BG42:BG47" si="16">IF( ISERR( FIND( "Q4", BG$28 ) ), "", SUM( AR29:BG29 ) )</f>
        <v/>
      </c>
      <c r="BH42" s="309" t="str">
        <f t="shared" ref="BH42:BH47" si="17">IF( ISERR( FIND( "Q4", BH$28 ) ), "", SUM( AS29:BH29 ) )</f>
        <v/>
      </c>
      <c r="BI42" s="309">
        <f t="shared" ref="BI42:BI47" si="18">IF( ISERR( FIND( "Q4", BI$28 ) ), "", SUM( BF29:BI29 ) )</f>
        <v>6</v>
      </c>
      <c r="BJ42" s="309" t="str">
        <f t="shared" ref="BJ42:BL47" si="19">IF( ISERR( FIND( "Q4", BJ$28 ) ), "", SUM( AQ29:BJ29 ) )</f>
        <v/>
      </c>
      <c r="BK42" s="309" t="str">
        <f t="shared" si="19"/>
        <v/>
      </c>
      <c r="BL42" s="309" t="str">
        <f t="shared" si="19"/>
        <v/>
      </c>
      <c r="BM42" s="309">
        <f t="shared" ref="BM42:BM47" si="20">IF( ISERR( FIND( "Q4", BM$28 ) ), "", SUM( BJ29:BM29 ) )</f>
        <v>13</v>
      </c>
      <c r="BN42" s="309" t="str">
        <f t="shared" ref="BN42:BP47" si="21">IF( ISERR( FIND( "Q4", BN$28 ) ), "", SUM( AQ29:BN29 ) )</f>
        <v/>
      </c>
      <c r="BO42" s="309" t="str">
        <f t="shared" si="21"/>
        <v/>
      </c>
      <c r="BP42" s="309" t="str">
        <f t="shared" si="21"/>
        <v/>
      </c>
      <c r="BQ42" s="309">
        <f t="shared" ref="BQ42:BQ47" si="22">IF( ISERR( FIND( "Q4", BQ$28 ) ), "", SUM( BN29:BQ29 ) )</f>
        <v>11</v>
      </c>
      <c r="BR42" s="309" t="str">
        <f t="shared" ref="BR42:BT47" si="23">IF( ISERR( FIND( "Q4", BR$28 ) ), "", SUM( AU29:BR29 ) )</f>
        <v/>
      </c>
      <c r="BS42" s="309" t="str">
        <f t="shared" si="23"/>
        <v/>
      </c>
      <c r="BT42" s="309" t="str">
        <f t="shared" si="23"/>
        <v/>
      </c>
      <c r="BU42" s="309">
        <f t="shared" ref="BU42:BU47" si="24">IF( ISERR( FIND( "Q4", BU$28 ) ), "", SUM( BR29:BU29 ) )</f>
        <v>12</v>
      </c>
      <c r="BV42" s="309" t="str">
        <f t="shared" ref="BV42:BV47" si="25">IF( ISERR( FIND( "Q4", BV$28 ) ), "", SUM( AY29:BV29 ) )</f>
        <v/>
      </c>
      <c r="BW42" s="309" t="str">
        <f t="shared" ref="BW42:BW47" si="26">IF( ISERR( FIND( "Q4", BW$28 ) ), "", SUM( AZ29:BW29 ) )</f>
        <v/>
      </c>
      <c r="BX42" s="309" t="str">
        <f t="shared" ref="BX42:BX47" si="27">IF( ISERR( FIND( "Q4", BX$28 ) ), "", SUM( BA29:BX29 ) )</f>
        <v/>
      </c>
      <c r="BY42" s="309">
        <f t="shared" ref="BY42:BY47" si="28">IF( ISERR( FIND( "Q4", BY$28 ) ), "", SUM( BV29:BY29 ) )</f>
        <v>26</v>
      </c>
      <c r="BZ42" s="309" t="str">
        <f t="shared" ref="BZ42:BZ47" si="29">IF( ISERR( FIND( "Q4", BZ$28 ) ), "", SUM( BW29:BZ29 ) )</f>
        <v/>
      </c>
      <c r="CA42" s="309" t="str">
        <f t="shared" ref="CA42:CA47" si="30">IF( ISERR( FIND( "Q4", CA$28 ) ), "", SUM( BX29:CA29 ) )</f>
        <v/>
      </c>
      <c r="CB42" s="309" t="str">
        <f t="shared" ref="CB42:CB47" si="31">IF( ISERR( FIND( "Q4", CB$28 ) ), "", SUM( BY29:CB29 ) )</f>
        <v/>
      </c>
      <c r="CC42" s="309">
        <f t="shared" ref="CC42:CC47" si="32">IF( ISERR( FIND( "Q4", CC$28 ) ), "", SUM( BZ29:CC29 ) )</f>
        <v>5</v>
      </c>
      <c r="CD42" s="309" t="str">
        <f t="shared" ref="CD42:CD47" ca="1" si="33">IF( ISERR( FIND( "Q4", CD$28 ) ), "", SUM( CA29:CD29 ) )</f>
        <v/>
      </c>
      <c r="CE42" s="309" t="str">
        <f t="shared" ref="CE42:CE47" ca="1" si="34">IF( ISERR( FIND( "Q4", CE$28 ) ), "", SUM( CB29:CE29 ) )</f>
        <v/>
      </c>
      <c r="CF42" s="309" t="str">
        <f t="shared" ref="CF42:CF47" ca="1" si="35">IF( ISERR( FIND( "Q4", CF$28 ) ), "", SUM( CC29:CF29 ) )</f>
        <v/>
      </c>
      <c r="CG42" s="309">
        <f t="shared" ref="CG42:CG47" ca="1" si="36">IF( ISERR( FIND( "Q4", CG$28 ) ), "", SUM( CD29:CG29 ) )</f>
        <v>2</v>
      </c>
      <c r="CH42" s="309" t="str">
        <f t="shared" ref="CH42:CH47" ca="1" si="37">IF( ISERR( FIND( "Q4", CH$28 ) ), "", SUM( CE29:CH29 ) )</f>
        <v/>
      </c>
      <c r="CI42" s="309" t="str">
        <f t="shared" ref="CI42:CI47" ca="1" si="38">IF( ISERR( FIND( "Q4", CI$28 ) ), "", SUM( CF29:CI29 ) )</f>
        <v/>
      </c>
      <c r="CJ42" s="309" t="str">
        <f t="shared" ref="CJ42:CJ47" ca="1" si="39">IF( ISERR( FIND( "Q4", CJ$28 ) ), "", SUM( CG29:CJ29 ) )</f>
        <v/>
      </c>
      <c r="CK42" s="309">
        <f t="shared" ref="CK42:CK47" ca="1" si="40">IF( ISERR( FIND( "Q4", CK$28 ) ), "", SUM( CH29:CK29 ) )</f>
        <v>4</v>
      </c>
    </row>
    <row r="43" spans="1:89" s="313" customFormat="1" outlineLevel="1" x14ac:dyDescent="0.25">
      <c r="A43" s="312" t="s">
        <v>89</v>
      </c>
      <c r="E43" s="313">
        <f t="shared" si="2"/>
        <v>-28</v>
      </c>
      <c r="F43" s="313" t="str">
        <f t="shared" si="2"/>
        <v/>
      </c>
      <c r="G43" s="313" t="str">
        <f t="shared" si="2"/>
        <v/>
      </c>
      <c r="H43" s="313" t="str">
        <f t="shared" si="2"/>
        <v/>
      </c>
      <c r="I43" s="313">
        <f t="shared" si="2"/>
        <v>-55</v>
      </c>
      <c r="J43" s="313" t="str">
        <f t="shared" si="2"/>
        <v/>
      </c>
      <c r="K43" s="313" t="str">
        <f t="shared" si="2"/>
        <v/>
      </c>
      <c r="L43" s="313" t="str">
        <f t="shared" si="2"/>
        <v/>
      </c>
      <c r="M43" s="313">
        <f t="shared" si="2"/>
        <v>-44</v>
      </c>
      <c r="N43" s="313" t="str">
        <f t="shared" si="2"/>
        <v/>
      </c>
      <c r="O43" s="313" t="str">
        <f t="shared" si="3"/>
        <v/>
      </c>
      <c r="P43" s="313" t="str">
        <f t="shared" si="3"/>
        <v/>
      </c>
      <c r="Q43" s="313">
        <f t="shared" si="3"/>
        <v>-18</v>
      </c>
      <c r="R43" s="313" t="str">
        <f t="shared" si="3"/>
        <v/>
      </c>
      <c r="S43" s="313" t="str">
        <f t="shared" si="3"/>
        <v/>
      </c>
      <c r="T43" s="313" t="str">
        <f t="shared" si="3"/>
        <v/>
      </c>
      <c r="U43" s="313">
        <f t="shared" si="3"/>
        <v>-4</v>
      </c>
      <c r="V43" s="313" t="str">
        <f t="shared" si="3"/>
        <v/>
      </c>
      <c r="W43" s="313" t="str">
        <f t="shared" si="3"/>
        <v/>
      </c>
      <c r="X43" s="313" t="str">
        <f t="shared" si="3"/>
        <v/>
      </c>
      <c r="Y43" s="313">
        <f t="shared" si="4"/>
        <v>-6</v>
      </c>
      <c r="Z43" s="313" t="str">
        <f t="shared" si="4"/>
        <v/>
      </c>
      <c r="AA43" s="313" t="str">
        <f t="shared" si="4"/>
        <v/>
      </c>
      <c r="AB43" s="313" t="str">
        <f t="shared" si="4"/>
        <v/>
      </c>
      <c r="AC43" s="313">
        <f t="shared" si="4"/>
        <v>-13</v>
      </c>
      <c r="AD43" s="313" t="str">
        <f t="shared" si="4"/>
        <v/>
      </c>
      <c r="AE43" s="313" t="str">
        <f t="shared" si="4"/>
        <v/>
      </c>
      <c r="AF43" s="313" t="str">
        <f t="shared" si="4"/>
        <v/>
      </c>
      <c r="AG43" s="313">
        <f t="shared" si="4"/>
        <v>-9</v>
      </c>
      <c r="AH43" s="313" t="str">
        <f t="shared" si="4"/>
        <v/>
      </c>
      <c r="AI43" s="313" t="str">
        <f t="shared" si="5"/>
        <v/>
      </c>
      <c r="AJ43" s="313" t="str">
        <f t="shared" si="5"/>
        <v/>
      </c>
      <c r="AK43" s="313">
        <f t="shared" si="5"/>
        <v>-8</v>
      </c>
      <c r="AL43" s="313" t="str">
        <f t="shared" si="5"/>
        <v/>
      </c>
      <c r="AM43" s="313" t="str">
        <f t="shared" si="5"/>
        <v/>
      </c>
      <c r="AN43" s="313" t="str">
        <f t="shared" si="5"/>
        <v/>
      </c>
      <c r="AO43" s="313">
        <f t="shared" si="5"/>
        <v>-17</v>
      </c>
      <c r="AP43" s="313" t="str">
        <f t="shared" si="5"/>
        <v/>
      </c>
      <c r="AQ43" s="313" t="str">
        <f t="shared" si="5"/>
        <v/>
      </c>
      <c r="AR43" s="313" t="str">
        <f t="shared" si="5"/>
        <v/>
      </c>
      <c r="AS43" s="313">
        <f t="shared" si="6"/>
        <v>-11</v>
      </c>
      <c r="AT43" s="313" t="str">
        <f t="shared" si="6"/>
        <v/>
      </c>
      <c r="AU43" s="313" t="str">
        <f t="shared" si="6"/>
        <v/>
      </c>
      <c r="AV43" s="313" t="str">
        <f t="shared" si="6"/>
        <v/>
      </c>
      <c r="AW43" s="313">
        <f t="shared" si="6"/>
        <v>-13</v>
      </c>
      <c r="AX43" s="313" t="str">
        <f t="shared" si="7"/>
        <v/>
      </c>
      <c r="AY43" s="313" t="str">
        <f t="shared" si="8"/>
        <v/>
      </c>
      <c r="AZ43" s="313" t="str">
        <f t="shared" si="9"/>
        <v/>
      </c>
      <c r="BA43" s="313">
        <f t="shared" si="10"/>
        <v>-13</v>
      </c>
      <c r="BB43" s="313" t="str">
        <f t="shared" si="11"/>
        <v/>
      </c>
      <c r="BC43" s="313" t="str">
        <f t="shared" si="12"/>
        <v/>
      </c>
      <c r="BD43" s="313" t="str">
        <f t="shared" si="13"/>
        <v/>
      </c>
      <c r="BE43" s="313">
        <f t="shared" si="14"/>
        <v>-2</v>
      </c>
      <c r="BF43" s="313" t="str">
        <f t="shared" si="15"/>
        <v/>
      </c>
      <c r="BG43" s="313" t="str">
        <f t="shared" si="16"/>
        <v/>
      </c>
      <c r="BH43" s="313" t="str">
        <f t="shared" si="17"/>
        <v/>
      </c>
      <c r="BI43" s="313">
        <f t="shared" si="18"/>
        <v>-5</v>
      </c>
      <c r="BJ43" s="313" t="str">
        <f t="shared" si="19"/>
        <v/>
      </c>
      <c r="BK43" s="313" t="str">
        <f t="shared" si="19"/>
        <v/>
      </c>
      <c r="BL43" s="313" t="str">
        <f t="shared" si="19"/>
        <v/>
      </c>
      <c r="BM43" s="313">
        <f t="shared" si="20"/>
        <v>-3</v>
      </c>
      <c r="BN43" s="313" t="str">
        <f t="shared" si="21"/>
        <v/>
      </c>
      <c r="BO43" s="313" t="str">
        <f t="shared" si="21"/>
        <v/>
      </c>
      <c r="BP43" s="313" t="str">
        <f t="shared" si="21"/>
        <v/>
      </c>
      <c r="BQ43" s="313">
        <f t="shared" si="22"/>
        <v>-4</v>
      </c>
      <c r="BR43" s="313" t="str">
        <f t="shared" si="23"/>
        <v/>
      </c>
      <c r="BS43" s="313" t="str">
        <f t="shared" si="23"/>
        <v/>
      </c>
      <c r="BT43" s="313" t="str">
        <f t="shared" si="23"/>
        <v/>
      </c>
      <c r="BU43" s="313">
        <f t="shared" si="24"/>
        <v>-21</v>
      </c>
      <c r="BV43" s="313" t="str">
        <f t="shared" si="25"/>
        <v/>
      </c>
      <c r="BW43" s="313" t="str">
        <f t="shared" si="26"/>
        <v/>
      </c>
      <c r="BX43" s="313" t="str">
        <f t="shared" si="27"/>
        <v/>
      </c>
      <c r="BY43" s="313">
        <f t="shared" si="28"/>
        <v>-10</v>
      </c>
      <c r="BZ43" s="313" t="str">
        <f t="shared" si="29"/>
        <v/>
      </c>
      <c r="CA43" s="313" t="str">
        <f t="shared" si="30"/>
        <v/>
      </c>
      <c r="CB43" s="313" t="str">
        <f t="shared" si="31"/>
        <v/>
      </c>
      <c r="CC43" s="313">
        <f t="shared" si="32"/>
        <v>-19</v>
      </c>
      <c r="CD43" s="313" t="str">
        <f t="shared" ca="1" si="33"/>
        <v/>
      </c>
      <c r="CE43" s="313" t="str">
        <f t="shared" ca="1" si="34"/>
        <v/>
      </c>
      <c r="CF43" s="313" t="str">
        <f t="shared" ca="1" si="35"/>
        <v/>
      </c>
      <c r="CG43" s="313">
        <f t="shared" ca="1" si="36"/>
        <v>-4</v>
      </c>
      <c r="CH43" s="313" t="str">
        <f t="shared" ca="1" si="37"/>
        <v/>
      </c>
      <c r="CI43" s="313" t="str">
        <f t="shared" ca="1" si="38"/>
        <v/>
      </c>
      <c r="CJ43" s="313" t="str">
        <f t="shared" ca="1" si="39"/>
        <v/>
      </c>
      <c r="CK43" s="313">
        <f t="shared" ca="1" si="40"/>
        <v>-3</v>
      </c>
    </row>
    <row r="44" spans="1:89" s="309" customFormat="1" outlineLevel="1" x14ac:dyDescent="0.25">
      <c r="A44" s="308" t="s">
        <v>90</v>
      </c>
      <c r="E44" s="309">
        <f t="shared" si="2"/>
        <v>27</v>
      </c>
      <c r="F44" s="309" t="str">
        <f t="shared" si="2"/>
        <v/>
      </c>
      <c r="G44" s="309" t="str">
        <f t="shared" si="2"/>
        <v/>
      </c>
      <c r="H44" s="309" t="str">
        <f t="shared" si="2"/>
        <v/>
      </c>
      <c r="I44" s="309">
        <f t="shared" si="2"/>
        <v>5</v>
      </c>
      <c r="J44" s="309" t="str">
        <f t="shared" si="2"/>
        <v/>
      </c>
      <c r="K44" s="309" t="str">
        <f t="shared" si="2"/>
        <v/>
      </c>
      <c r="L44" s="309" t="str">
        <f t="shared" si="2"/>
        <v/>
      </c>
      <c r="M44" s="309">
        <f t="shared" si="2"/>
        <v>11</v>
      </c>
      <c r="N44" s="309" t="str">
        <f t="shared" si="2"/>
        <v/>
      </c>
      <c r="O44" s="309" t="str">
        <f t="shared" si="3"/>
        <v/>
      </c>
      <c r="P44" s="309" t="str">
        <f t="shared" si="3"/>
        <v/>
      </c>
      <c r="Q44" s="309">
        <f t="shared" si="3"/>
        <v>20</v>
      </c>
      <c r="R44" s="309" t="str">
        <f t="shared" si="3"/>
        <v/>
      </c>
      <c r="S44" s="309" t="str">
        <f t="shared" si="3"/>
        <v/>
      </c>
      <c r="T44" s="309" t="str">
        <f t="shared" si="3"/>
        <v/>
      </c>
      <c r="U44" s="309">
        <f t="shared" si="3"/>
        <v>31</v>
      </c>
      <c r="V44" s="309" t="str">
        <f t="shared" si="3"/>
        <v/>
      </c>
      <c r="W44" s="309" t="str">
        <f t="shared" si="3"/>
        <v/>
      </c>
      <c r="X44" s="309" t="str">
        <f t="shared" si="3"/>
        <v/>
      </c>
      <c r="Y44" s="309">
        <f t="shared" si="4"/>
        <v>22</v>
      </c>
      <c r="Z44" s="309" t="str">
        <f t="shared" si="4"/>
        <v/>
      </c>
      <c r="AA44" s="309" t="str">
        <f t="shared" si="4"/>
        <v/>
      </c>
      <c r="AB44" s="309" t="str">
        <f t="shared" si="4"/>
        <v/>
      </c>
      <c r="AC44" s="309">
        <f t="shared" si="4"/>
        <v>19</v>
      </c>
      <c r="AD44" s="309" t="str">
        <f t="shared" si="4"/>
        <v/>
      </c>
      <c r="AE44" s="309" t="str">
        <f t="shared" si="4"/>
        <v/>
      </c>
      <c r="AF44" s="309" t="str">
        <f t="shared" si="4"/>
        <v/>
      </c>
      <c r="AG44" s="309">
        <f t="shared" si="4"/>
        <v>3</v>
      </c>
      <c r="AH44" s="309" t="str">
        <f t="shared" si="4"/>
        <v/>
      </c>
      <c r="AI44" s="309" t="str">
        <f t="shared" si="5"/>
        <v/>
      </c>
      <c r="AJ44" s="309" t="str">
        <f t="shared" si="5"/>
        <v/>
      </c>
      <c r="AK44" s="309">
        <f t="shared" si="5"/>
        <v>5</v>
      </c>
      <c r="AL44" s="309" t="str">
        <f t="shared" si="5"/>
        <v/>
      </c>
      <c r="AM44" s="309" t="str">
        <f t="shared" si="5"/>
        <v/>
      </c>
      <c r="AN44" s="309" t="str">
        <f t="shared" si="5"/>
        <v/>
      </c>
      <c r="AO44" s="309">
        <f t="shared" si="5"/>
        <v>7</v>
      </c>
      <c r="AP44" s="309" t="str">
        <f t="shared" si="5"/>
        <v/>
      </c>
      <c r="AQ44" s="309" t="str">
        <f t="shared" si="5"/>
        <v/>
      </c>
      <c r="AR44" s="309" t="str">
        <f t="shared" si="5"/>
        <v/>
      </c>
      <c r="AS44" s="309">
        <f t="shared" si="6"/>
        <v>7</v>
      </c>
      <c r="AT44" s="309" t="str">
        <f t="shared" si="6"/>
        <v/>
      </c>
      <c r="AU44" s="309" t="str">
        <f t="shared" si="6"/>
        <v/>
      </c>
      <c r="AV44" s="309" t="str">
        <f t="shared" si="6"/>
        <v/>
      </c>
      <c r="AW44" s="309">
        <f t="shared" si="6"/>
        <v>14</v>
      </c>
      <c r="AX44" s="309" t="str">
        <f t="shared" si="7"/>
        <v/>
      </c>
      <c r="AY44" s="309" t="str">
        <f t="shared" si="8"/>
        <v/>
      </c>
      <c r="AZ44" s="309" t="str">
        <f t="shared" si="9"/>
        <v/>
      </c>
      <c r="BA44" s="309">
        <f t="shared" si="10"/>
        <v>13</v>
      </c>
      <c r="BB44" s="309" t="str">
        <f t="shared" si="11"/>
        <v/>
      </c>
      <c r="BC44" s="309" t="str">
        <f t="shared" si="12"/>
        <v/>
      </c>
      <c r="BD44" s="309" t="str">
        <f t="shared" si="13"/>
        <v/>
      </c>
      <c r="BE44" s="309">
        <f t="shared" si="14"/>
        <v>85</v>
      </c>
      <c r="BF44" s="309" t="str">
        <f t="shared" si="15"/>
        <v/>
      </c>
      <c r="BG44" s="309" t="str">
        <f t="shared" si="16"/>
        <v/>
      </c>
      <c r="BH44" s="309" t="str">
        <f t="shared" si="17"/>
        <v/>
      </c>
      <c r="BI44" s="309">
        <f t="shared" si="18"/>
        <v>9</v>
      </c>
      <c r="BJ44" s="309" t="str">
        <f t="shared" si="19"/>
        <v/>
      </c>
      <c r="BK44" s="309" t="str">
        <f t="shared" si="19"/>
        <v/>
      </c>
      <c r="BL44" s="309" t="str">
        <f t="shared" si="19"/>
        <v/>
      </c>
      <c r="BM44" s="309">
        <f t="shared" si="20"/>
        <v>5</v>
      </c>
      <c r="BN44" s="309" t="str">
        <f t="shared" si="21"/>
        <v/>
      </c>
      <c r="BO44" s="309" t="str">
        <f t="shared" si="21"/>
        <v/>
      </c>
      <c r="BP44" s="309" t="str">
        <f t="shared" si="21"/>
        <v/>
      </c>
      <c r="BQ44" s="309">
        <f t="shared" si="22"/>
        <v>10</v>
      </c>
      <c r="BR44" s="309" t="str">
        <f t="shared" si="23"/>
        <v/>
      </c>
      <c r="BS44" s="309" t="str">
        <f t="shared" si="23"/>
        <v/>
      </c>
      <c r="BT44" s="309" t="str">
        <f t="shared" si="23"/>
        <v/>
      </c>
      <c r="BU44" s="309">
        <f t="shared" si="24"/>
        <v>3</v>
      </c>
      <c r="BV44" s="309" t="str">
        <f t="shared" si="25"/>
        <v/>
      </c>
      <c r="BW44" s="309" t="str">
        <f t="shared" si="26"/>
        <v/>
      </c>
      <c r="BX44" s="309" t="str">
        <f t="shared" si="27"/>
        <v/>
      </c>
      <c r="BY44" s="309">
        <f t="shared" si="28"/>
        <v>9</v>
      </c>
      <c r="BZ44" s="309" t="str">
        <f t="shared" si="29"/>
        <v/>
      </c>
      <c r="CA44" s="309" t="str">
        <f t="shared" si="30"/>
        <v/>
      </c>
      <c r="CB44" s="309" t="str">
        <f t="shared" si="31"/>
        <v/>
      </c>
      <c r="CC44" s="309">
        <f t="shared" si="32"/>
        <v>5</v>
      </c>
      <c r="CD44" s="309" t="str">
        <f t="shared" ca="1" si="33"/>
        <v/>
      </c>
      <c r="CE44" s="309" t="str">
        <f t="shared" ca="1" si="34"/>
        <v/>
      </c>
      <c r="CF44" s="309" t="str">
        <f t="shared" ca="1" si="35"/>
        <v/>
      </c>
      <c r="CG44" s="309">
        <f t="shared" ca="1" si="36"/>
        <v>3</v>
      </c>
      <c r="CH44" s="309" t="str">
        <f t="shared" ca="1" si="37"/>
        <v/>
      </c>
      <c r="CI44" s="309" t="str">
        <f t="shared" ca="1" si="38"/>
        <v/>
      </c>
      <c r="CJ44" s="309" t="str">
        <f t="shared" ca="1" si="39"/>
        <v/>
      </c>
      <c r="CK44" s="309">
        <f t="shared" ca="1" si="40"/>
        <v>1</v>
      </c>
    </row>
    <row r="45" spans="1:89" s="313" customFormat="1" outlineLevel="1" x14ac:dyDescent="0.25">
      <c r="A45" s="312" t="s">
        <v>91</v>
      </c>
      <c r="E45" s="313">
        <f t="shared" si="2"/>
        <v>-41</v>
      </c>
      <c r="F45" s="313" t="str">
        <f t="shared" si="2"/>
        <v/>
      </c>
      <c r="G45" s="313" t="str">
        <f t="shared" si="2"/>
        <v/>
      </c>
      <c r="H45" s="313" t="str">
        <f t="shared" si="2"/>
        <v/>
      </c>
      <c r="I45" s="313">
        <f t="shared" si="2"/>
        <v>-113</v>
      </c>
      <c r="J45" s="313" t="str">
        <f t="shared" si="2"/>
        <v/>
      </c>
      <c r="K45" s="313" t="str">
        <f t="shared" si="2"/>
        <v/>
      </c>
      <c r="L45" s="313" t="str">
        <f t="shared" si="2"/>
        <v/>
      </c>
      <c r="M45" s="313">
        <f t="shared" si="2"/>
        <v>-68</v>
      </c>
      <c r="N45" s="313" t="str">
        <f t="shared" si="2"/>
        <v/>
      </c>
      <c r="O45" s="313" t="str">
        <f t="shared" si="3"/>
        <v/>
      </c>
      <c r="P45" s="313" t="str">
        <f t="shared" si="3"/>
        <v/>
      </c>
      <c r="Q45" s="313">
        <f t="shared" si="3"/>
        <v>-22</v>
      </c>
      <c r="R45" s="313" t="str">
        <f t="shared" si="3"/>
        <v/>
      </c>
      <c r="S45" s="313" t="str">
        <f t="shared" si="3"/>
        <v/>
      </c>
      <c r="T45" s="313" t="str">
        <f t="shared" si="3"/>
        <v/>
      </c>
      <c r="U45" s="313">
        <f t="shared" si="3"/>
        <v>-15</v>
      </c>
      <c r="V45" s="313" t="str">
        <f t="shared" si="3"/>
        <v/>
      </c>
      <c r="W45" s="313" t="str">
        <f t="shared" si="3"/>
        <v/>
      </c>
      <c r="X45" s="313" t="str">
        <f t="shared" si="3"/>
        <v/>
      </c>
      <c r="Y45" s="313">
        <f t="shared" si="4"/>
        <v>-17</v>
      </c>
      <c r="Z45" s="313" t="str">
        <f t="shared" si="4"/>
        <v/>
      </c>
      <c r="AA45" s="313" t="str">
        <f t="shared" si="4"/>
        <v/>
      </c>
      <c r="AB45" s="313" t="str">
        <f t="shared" si="4"/>
        <v/>
      </c>
      <c r="AC45" s="313">
        <f t="shared" si="4"/>
        <v>-13</v>
      </c>
      <c r="AD45" s="313" t="str">
        <f t="shared" si="4"/>
        <v/>
      </c>
      <c r="AE45" s="313" t="str">
        <f t="shared" si="4"/>
        <v/>
      </c>
      <c r="AF45" s="313" t="str">
        <f t="shared" si="4"/>
        <v/>
      </c>
      <c r="AG45" s="313">
        <f t="shared" si="4"/>
        <v>-3</v>
      </c>
      <c r="AH45" s="313" t="str">
        <f t="shared" si="4"/>
        <v/>
      </c>
      <c r="AI45" s="313" t="str">
        <f t="shared" si="5"/>
        <v/>
      </c>
      <c r="AJ45" s="313" t="str">
        <f t="shared" si="5"/>
        <v/>
      </c>
      <c r="AK45" s="313">
        <f t="shared" si="5"/>
        <v>-18</v>
      </c>
      <c r="AL45" s="313" t="str">
        <f t="shared" si="5"/>
        <v/>
      </c>
      <c r="AM45" s="313" t="str">
        <f t="shared" si="5"/>
        <v/>
      </c>
      <c r="AN45" s="313" t="str">
        <f t="shared" si="5"/>
        <v/>
      </c>
      <c r="AO45" s="313">
        <f t="shared" si="5"/>
        <v>-13</v>
      </c>
      <c r="AP45" s="313" t="str">
        <f t="shared" si="5"/>
        <v/>
      </c>
      <c r="AQ45" s="313" t="str">
        <f t="shared" si="5"/>
        <v/>
      </c>
      <c r="AR45" s="313" t="str">
        <f t="shared" si="5"/>
        <v/>
      </c>
      <c r="AS45" s="313">
        <f t="shared" si="6"/>
        <v>-4</v>
      </c>
      <c r="AT45" s="313" t="str">
        <f t="shared" si="6"/>
        <v/>
      </c>
      <c r="AU45" s="313" t="str">
        <f t="shared" si="6"/>
        <v/>
      </c>
      <c r="AV45" s="313" t="str">
        <f t="shared" si="6"/>
        <v/>
      </c>
      <c r="AW45" s="313">
        <f t="shared" si="6"/>
        <v>-6</v>
      </c>
      <c r="AX45" s="313" t="str">
        <f t="shared" si="7"/>
        <v/>
      </c>
      <c r="AY45" s="313" t="str">
        <f t="shared" si="8"/>
        <v/>
      </c>
      <c r="AZ45" s="313" t="str">
        <f t="shared" si="9"/>
        <v/>
      </c>
      <c r="BA45" s="313">
        <f t="shared" si="10"/>
        <v>-4</v>
      </c>
      <c r="BB45" s="313" t="str">
        <f t="shared" si="11"/>
        <v/>
      </c>
      <c r="BC45" s="313" t="str">
        <f t="shared" si="12"/>
        <v/>
      </c>
      <c r="BD45" s="313" t="str">
        <f t="shared" si="13"/>
        <v/>
      </c>
      <c r="BE45" s="313">
        <f t="shared" si="14"/>
        <v>0</v>
      </c>
      <c r="BF45" s="313" t="str">
        <f t="shared" si="15"/>
        <v/>
      </c>
      <c r="BG45" s="313" t="str">
        <f t="shared" si="16"/>
        <v/>
      </c>
      <c r="BH45" s="313" t="str">
        <f t="shared" si="17"/>
        <v/>
      </c>
      <c r="BI45" s="313">
        <f t="shared" si="18"/>
        <v>-3</v>
      </c>
      <c r="BJ45" s="313" t="str">
        <f t="shared" si="19"/>
        <v/>
      </c>
      <c r="BK45" s="313" t="str">
        <f t="shared" si="19"/>
        <v/>
      </c>
      <c r="BL45" s="313" t="str">
        <f t="shared" si="19"/>
        <v/>
      </c>
      <c r="BM45" s="313">
        <f t="shared" si="20"/>
        <v>-8</v>
      </c>
      <c r="BN45" s="313" t="str">
        <f t="shared" si="21"/>
        <v/>
      </c>
      <c r="BO45" s="313" t="str">
        <f t="shared" si="21"/>
        <v/>
      </c>
      <c r="BP45" s="313" t="str">
        <f t="shared" si="21"/>
        <v/>
      </c>
      <c r="BQ45" s="313">
        <f t="shared" si="22"/>
        <v>-2</v>
      </c>
      <c r="BR45" s="313" t="str">
        <f t="shared" si="23"/>
        <v/>
      </c>
      <c r="BS45" s="313" t="str">
        <f t="shared" si="23"/>
        <v/>
      </c>
      <c r="BT45" s="313" t="str">
        <f t="shared" si="23"/>
        <v/>
      </c>
      <c r="BU45" s="313">
        <f t="shared" si="24"/>
        <v>-20</v>
      </c>
      <c r="BV45" s="313" t="str">
        <f t="shared" si="25"/>
        <v/>
      </c>
      <c r="BW45" s="313" t="str">
        <f t="shared" si="26"/>
        <v/>
      </c>
      <c r="BX45" s="313" t="str">
        <f t="shared" si="27"/>
        <v/>
      </c>
      <c r="BY45" s="313">
        <f t="shared" si="28"/>
        <v>-11</v>
      </c>
      <c r="BZ45" s="313" t="str">
        <f t="shared" si="29"/>
        <v/>
      </c>
      <c r="CA45" s="313" t="str">
        <f t="shared" si="30"/>
        <v/>
      </c>
      <c r="CB45" s="313" t="str">
        <f t="shared" si="31"/>
        <v/>
      </c>
      <c r="CC45" s="313">
        <f t="shared" si="32"/>
        <v>-7</v>
      </c>
      <c r="CD45" s="313" t="str">
        <f t="shared" ca="1" si="33"/>
        <v/>
      </c>
      <c r="CE45" s="313" t="str">
        <f t="shared" ca="1" si="34"/>
        <v/>
      </c>
      <c r="CF45" s="313" t="str">
        <f t="shared" ca="1" si="35"/>
        <v/>
      </c>
      <c r="CG45" s="313">
        <f t="shared" ca="1" si="36"/>
        <v>-9</v>
      </c>
      <c r="CH45" s="313" t="str">
        <f t="shared" ca="1" si="37"/>
        <v/>
      </c>
      <c r="CI45" s="313" t="str">
        <f t="shared" ca="1" si="38"/>
        <v/>
      </c>
      <c r="CJ45" s="313" t="str">
        <f t="shared" ca="1" si="39"/>
        <v/>
      </c>
      <c r="CK45" s="313">
        <f t="shared" ca="1" si="40"/>
        <v>0</v>
      </c>
    </row>
    <row r="46" spans="1:89" s="315" customFormat="1" outlineLevel="1" x14ac:dyDescent="0.25">
      <c r="A46" s="314" t="s">
        <v>92</v>
      </c>
      <c r="E46" s="315">
        <f t="shared" si="2"/>
        <v>20</v>
      </c>
      <c r="F46" s="315" t="str">
        <f t="shared" si="2"/>
        <v/>
      </c>
      <c r="G46" s="315" t="str">
        <f t="shared" si="2"/>
        <v/>
      </c>
      <c r="H46" s="315" t="str">
        <f t="shared" si="2"/>
        <v/>
      </c>
      <c r="I46" s="315">
        <f t="shared" si="2"/>
        <v>14</v>
      </c>
      <c r="J46" s="315" t="str">
        <f t="shared" si="2"/>
        <v/>
      </c>
      <c r="K46" s="315" t="str">
        <f t="shared" si="2"/>
        <v/>
      </c>
      <c r="L46" s="315" t="str">
        <f t="shared" si="2"/>
        <v/>
      </c>
      <c r="M46" s="315">
        <f t="shared" si="2"/>
        <v>6</v>
      </c>
      <c r="N46" s="315" t="str">
        <f t="shared" si="2"/>
        <v/>
      </c>
      <c r="O46" s="315" t="str">
        <f t="shared" si="3"/>
        <v/>
      </c>
      <c r="P46" s="315" t="str">
        <f t="shared" si="3"/>
        <v/>
      </c>
      <c r="Q46" s="315">
        <f t="shared" si="3"/>
        <v>15</v>
      </c>
      <c r="R46" s="315" t="str">
        <f t="shared" si="3"/>
        <v/>
      </c>
      <c r="S46" s="315" t="str">
        <f t="shared" si="3"/>
        <v/>
      </c>
      <c r="T46" s="315" t="str">
        <f t="shared" si="3"/>
        <v/>
      </c>
      <c r="U46" s="315">
        <f t="shared" si="3"/>
        <v>24</v>
      </c>
      <c r="V46" s="315" t="str">
        <f t="shared" si="3"/>
        <v/>
      </c>
      <c r="W46" s="315" t="str">
        <f t="shared" si="3"/>
        <v/>
      </c>
      <c r="X46" s="315" t="str">
        <f t="shared" si="3"/>
        <v/>
      </c>
      <c r="Y46" s="315">
        <f t="shared" si="4"/>
        <v>20</v>
      </c>
      <c r="Z46" s="315" t="str">
        <f t="shared" si="4"/>
        <v/>
      </c>
      <c r="AA46" s="315" t="str">
        <f t="shared" si="4"/>
        <v/>
      </c>
      <c r="AB46" s="315" t="str">
        <f t="shared" si="4"/>
        <v/>
      </c>
      <c r="AC46" s="315">
        <f t="shared" si="4"/>
        <v>26</v>
      </c>
      <c r="AD46" s="315" t="str">
        <f t="shared" si="4"/>
        <v/>
      </c>
      <c r="AE46" s="315" t="str">
        <f t="shared" si="4"/>
        <v/>
      </c>
      <c r="AF46" s="315" t="str">
        <f t="shared" si="4"/>
        <v/>
      </c>
      <c r="AG46" s="315">
        <f t="shared" si="4"/>
        <v>13</v>
      </c>
      <c r="AH46" s="315" t="str">
        <f t="shared" si="4"/>
        <v/>
      </c>
      <c r="AI46" s="315" t="str">
        <f t="shared" si="5"/>
        <v/>
      </c>
      <c r="AJ46" s="315" t="str">
        <f t="shared" si="5"/>
        <v/>
      </c>
      <c r="AK46" s="315">
        <f t="shared" si="5"/>
        <v>12</v>
      </c>
      <c r="AL46" s="315" t="str">
        <f t="shared" si="5"/>
        <v/>
      </c>
      <c r="AM46" s="315" t="str">
        <f t="shared" si="5"/>
        <v/>
      </c>
      <c r="AN46" s="315" t="str">
        <f t="shared" si="5"/>
        <v/>
      </c>
      <c r="AO46" s="315">
        <f t="shared" si="5"/>
        <v>15</v>
      </c>
      <c r="AP46" s="315" t="str">
        <f t="shared" si="5"/>
        <v/>
      </c>
      <c r="AQ46" s="315" t="str">
        <f t="shared" si="5"/>
        <v/>
      </c>
      <c r="AR46" s="315" t="str">
        <f t="shared" si="5"/>
        <v/>
      </c>
      <c r="AS46" s="315">
        <f t="shared" si="6"/>
        <v>18</v>
      </c>
      <c r="AT46" s="315" t="str">
        <f t="shared" si="6"/>
        <v/>
      </c>
      <c r="AU46" s="315" t="str">
        <f t="shared" si="6"/>
        <v/>
      </c>
      <c r="AV46" s="315" t="str">
        <f t="shared" si="6"/>
        <v/>
      </c>
      <c r="AW46" s="315">
        <f t="shared" si="6"/>
        <v>10</v>
      </c>
      <c r="AX46" s="315" t="str">
        <f t="shared" si="7"/>
        <v/>
      </c>
      <c r="AY46" s="315" t="str">
        <f t="shared" si="8"/>
        <v/>
      </c>
      <c r="AZ46" s="315" t="str">
        <f t="shared" si="9"/>
        <v/>
      </c>
      <c r="BA46" s="315">
        <f t="shared" si="10"/>
        <v>37</v>
      </c>
      <c r="BB46" s="315" t="str">
        <f t="shared" si="11"/>
        <v/>
      </c>
      <c r="BC46" s="315" t="str">
        <f t="shared" si="12"/>
        <v/>
      </c>
      <c r="BD46" s="315" t="str">
        <f t="shared" si="13"/>
        <v/>
      </c>
      <c r="BE46" s="315">
        <f t="shared" si="14"/>
        <v>6</v>
      </c>
      <c r="BF46" s="315" t="str">
        <f t="shared" si="15"/>
        <v/>
      </c>
      <c r="BG46" s="315" t="str">
        <f t="shared" si="16"/>
        <v/>
      </c>
      <c r="BH46" s="315" t="str">
        <f t="shared" si="17"/>
        <v/>
      </c>
      <c r="BI46" s="315">
        <f t="shared" si="18"/>
        <v>20</v>
      </c>
      <c r="BJ46" s="315" t="str">
        <f t="shared" si="19"/>
        <v/>
      </c>
      <c r="BK46" s="315" t="str">
        <f t="shared" si="19"/>
        <v/>
      </c>
      <c r="BL46" s="315" t="str">
        <f t="shared" si="19"/>
        <v/>
      </c>
      <c r="BM46" s="315">
        <f t="shared" si="20"/>
        <v>31</v>
      </c>
      <c r="BN46" s="315" t="str">
        <f t="shared" si="21"/>
        <v/>
      </c>
      <c r="BO46" s="315" t="str">
        <f t="shared" si="21"/>
        <v/>
      </c>
      <c r="BP46" s="315" t="str">
        <f t="shared" si="21"/>
        <v/>
      </c>
      <c r="BQ46" s="315">
        <f t="shared" si="22"/>
        <v>17</v>
      </c>
      <c r="BR46" s="315" t="str">
        <f t="shared" si="23"/>
        <v/>
      </c>
      <c r="BS46" s="315" t="str">
        <f t="shared" si="23"/>
        <v/>
      </c>
      <c r="BT46" s="315" t="str">
        <f t="shared" si="23"/>
        <v/>
      </c>
      <c r="BU46" s="315">
        <f t="shared" si="24"/>
        <v>26</v>
      </c>
      <c r="BV46" s="315" t="str">
        <f t="shared" si="25"/>
        <v/>
      </c>
      <c r="BW46" s="315" t="str">
        <f t="shared" si="26"/>
        <v/>
      </c>
      <c r="BX46" s="315" t="str">
        <f t="shared" si="27"/>
        <v/>
      </c>
      <c r="BY46" s="315">
        <f t="shared" si="28"/>
        <v>20</v>
      </c>
      <c r="BZ46" s="315" t="str">
        <f t="shared" si="29"/>
        <v/>
      </c>
      <c r="CA46" s="315" t="str">
        <f t="shared" si="30"/>
        <v/>
      </c>
      <c r="CB46" s="315" t="str">
        <f t="shared" si="31"/>
        <v/>
      </c>
      <c r="CC46" s="315">
        <f t="shared" si="32"/>
        <v>2</v>
      </c>
      <c r="CD46" s="315" t="str">
        <f t="shared" ca="1" si="33"/>
        <v/>
      </c>
      <c r="CE46" s="315" t="str">
        <f t="shared" ca="1" si="34"/>
        <v/>
      </c>
      <c r="CF46" s="315" t="str">
        <f t="shared" ca="1" si="35"/>
        <v/>
      </c>
      <c r="CG46" s="315">
        <f t="shared" ca="1" si="36"/>
        <v>15</v>
      </c>
      <c r="CH46" s="315" t="str">
        <f t="shared" ca="1" si="37"/>
        <v/>
      </c>
      <c r="CI46" s="315" t="str">
        <f t="shared" ca="1" si="38"/>
        <v/>
      </c>
      <c r="CJ46" s="315" t="str">
        <f t="shared" ca="1" si="39"/>
        <v/>
      </c>
      <c r="CK46" s="315">
        <f t="shared" ca="1" si="40"/>
        <v>0</v>
      </c>
    </row>
    <row r="47" spans="1:89" s="313" customFormat="1" outlineLevel="1" x14ac:dyDescent="0.25">
      <c r="A47" s="312" t="s">
        <v>93</v>
      </c>
      <c r="E47" s="313">
        <f t="shared" si="2"/>
        <v>-81</v>
      </c>
      <c r="F47" s="313" t="str">
        <f t="shared" si="2"/>
        <v/>
      </c>
      <c r="G47" s="313" t="str">
        <f t="shared" si="2"/>
        <v/>
      </c>
      <c r="H47" s="313" t="str">
        <f t="shared" si="2"/>
        <v/>
      </c>
      <c r="I47" s="313">
        <f t="shared" si="2"/>
        <v>-111</v>
      </c>
      <c r="J47" s="313" t="str">
        <f t="shared" si="2"/>
        <v/>
      </c>
      <c r="K47" s="313" t="str">
        <f t="shared" si="2"/>
        <v/>
      </c>
      <c r="L47" s="313" t="str">
        <f t="shared" si="2"/>
        <v/>
      </c>
      <c r="M47" s="313">
        <f t="shared" si="2"/>
        <v>-106</v>
      </c>
      <c r="N47" s="313" t="str">
        <f t="shared" si="2"/>
        <v/>
      </c>
      <c r="O47" s="313" t="str">
        <f t="shared" si="3"/>
        <v/>
      </c>
      <c r="P47" s="313" t="str">
        <f t="shared" si="3"/>
        <v/>
      </c>
      <c r="Q47" s="313">
        <f t="shared" si="3"/>
        <v>-19</v>
      </c>
      <c r="R47" s="313" t="str">
        <f t="shared" si="3"/>
        <v/>
      </c>
      <c r="S47" s="313" t="str">
        <f t="shared" si="3"/>
        <v/>
      </c>
      <c r="T47" s="313" t="str">
        <f t="shared" si="3"/>
        <v/>
      </c>
      <c r="U47" s="313">
        <f t="shared" si="3"/>
        <v>-29</v>
      </c>
      <c r="V47" s="313" t="str">
        <f t="shared" si="3"/>
        <v/>
      </c>
      <c r="W47" s="313" t="str">
        <f t="shared" si="3"/>
        <v/>
      </c>
      <c r="X47" s="313" t="str">
        <f t="shared" si="3"/>
        <v/>
      </c>
      <c r="Y47" s="313">
        <f t="shared" si="4"/>
        <v>-20</v>
      </c>
      <c r="Z47" s="313" t="str">
        <f t="shared" si="4"/>
        <v/>
      </c>
      <c r="AA47" s="313" t="str">
        <f t="shared" si="4"/>
        <v/>
      </c>
      <c r="AB47" s="313" t="str">
        <f t="shared" si="4"/>
        <v/>
      </c>
      <c r="AC47" s="313">
        <f t="shared" si="4"/>
        <v>-22</v>
      </c>
      <c r="AD47" s="313" t="str">
        <f t="shared" si="4"/>
        <v/>
      </c>
      <c r="AE47" s="313" t="str">
        <f t="shared" si="4"/>
        <v/>
      </c>
      <c r="AF47" s="313" t="str">
        <f t="shared" si="4"/>
        <v/>
      </c>
      <c r="AG47" s="313">
        <f t="shared" si="4"/>
        <v>-14</v>
      </c>
      <c r="AH47" s="313" t="str">
        <f t="shared" si="4"/>
        <v/>
      </c>
      <c r="AI47" s="313" t="str">
        <f t="shared" si="5"/>
        <v/>
      </c>
      <c r="AJ47" s="313" t="str">
        <f t="shared" si="5"/>
        <v/>
      </c>
      <c r="AK47" s="313">
        <f t="shared" si="5"/>
        <v>-8</v>
      </c>
      <c r="AL47" s="313" t="str">
        <f t="shared" si="5"/>
        <v/>
      </c>
      <c r="AM47" s="313" t="str">
        <f t="shared" si="5"/>
        <v/>
      </c>
      <c r="AN47" s="313" t="str">
        <f t="shared" si="5"/>
        <v/>
      </c>
      <c r="AO47" s="313">
        <f t="shared" si="5"/>
        <v>-21</v>
      </c>
      <c r="AP47" s="313" t="str">
        <f t="shared" si="5"/>
        <v/>
      </c>
      <c r="AQ47" s="313" t="str">
        <f t="shared" si="5"/>
        <v/>
      </c>
      <c r="AR47" s="313" t="str">
        <f t="shared" si="5"/>
        <v/>
      </c>
      <c r="AS47" s="313">
        <f t="shared" si="6"/>
        <v>-6</v>
      </c>
      <c r="AT47" s="313" t="str">
        <f t="shared" si="6"/>
        <v/>
      </c>
      <c r="AU47" s="313" t="str">
        <f t="shared" si="6"/>
        <v/>
      </c>
      <c r="AV47" s="313" t="str">
        <f t="shared" si="6"/>
        <v/>
      </c>
      <c r="AW47" s="313">
        <f t="shared" si="6"/>
        <v>-20</v>
      </c>
      <c r="AX47" s="313" t="str">
        <f t="shared" si="7"/>
        <v/>
      </c>
      <c r="AY47" s="313" t="str">
        <f t="shared" si="8"/>
        <v/>
      </c>
      <c r="AZ47" s="313" t="str">
        <f t="shared" si="9"/>
        <v/>
      </c>
      <c r="BA47" s="313">
        <f t="shared" si="10"/>
        <v>-3</v>
      </c>
      <c r="BB47" s="313" t="str">
        <f t="shared" si="11"/>
        <v/>
      </c>
      <c r="BC47" s="313" t="str">
        <f t="shared" si="12"/>
        <v/>
      </c>
      <c r="BD47" s="313" t="str">
        <f t="shared" si="13"/>
        <v/>
      </c>
      <c r="BE47" s="313">
        <f t="shared" si="14"/>
        <v>-1</v>
      </c>
      <c r="BF47" s="313" t="str">
        <f t="shared" si="15"/>
        <v/>
      </c>
      <c r="BG47" s="313" t="str">
        <f t="shared" si="16"/>
        <v/>
      </c>
      <c r="BH47" s="313" t="str">
        <f t="shared" si="17"/>
        <v/>
      </c>
      <c r="BI47" s="313">
        <f t="shared" si="18"/>
        <v>-7</v>
      </c>
      <c r="BJ47" s="313" t="str">
        <f t="shared" si="19"/>
        <v/>
      </c>
      <c r="BK47" s="313" t="str">
        <f t="shared" si="19"/>
        <v/>
      </c>
      <c r="BL47" s="313" t="str">
        <f t="shared" si="19"/>
        <v/>
      </c>
      <c r="BM47" s="313">
        <f t="shared" si="20"/>
        <v>-7</v>
      </c>
      <c r="BN47" s="313" t="str">
        <f t="shared" si="21"/>
        <v/>
      </c>
      <c r="BO47" s="313" t="str">
        <f t="shared" si="21"/>
        <v/>
      </c>
      <c r="BP47" s="313" t="str">
        <f t="shared" si="21"/>
        <v/>
      </c>
      <c r="BQ47" s="313">
        <f t="shared" si="22"/>
        <v>-8</v>
      </c>
      <c r="BR47" s="313" t="str">
        <f t="shared" si="23"/>
        <v/>
      </c>
      <c r="BS47" s="313" t="str">
        <f t="shared" si="23"/>
        <v/>
      </c>
      <c r="BT47" s="313" t="str">
        <f t="shared" si="23"/>
        <v/>
      </c>
      <c r="BU47" s="313">
        <f t="shared" si="24"/>
        <v>-11</v>
      </c>
      <c r="BV47" s="313" t="str">
        <f t="shared" si="25"/>
        <v/>
      </c>
      <c r="BW47" s="313" t="str">
        <f t="shared" si="26"/>
        <v/>
      </c>
      <c r="BX47" s="313" t="str">
        <f t="shared" si="27"/>
        <v/>
      </c>
      <c r="BY47" s="313">
        <f t="shared" si="28"/>
        <v>-14</v>
      </c>
      <c r="BZ47" s="313" t="str">
        <f t="shared" si="29"/>
        <v/>
      </c>
      <c r="CA47" s="313" t="str">
        <f t="shared" si="30"/>
        <v/>
      </c>
      <c r="CB47" s="313" t="str">
        <f t="shared" si="31"/>
        <v/>
      </c>
      <c r="CC47" s="313">
        <f t="shared" si="32"/>
        <v>-21</v>
      </c>
      <c r="CD47" s="313" t="str">
        <f t="shared" ca="1" si="33"/>
        <v/>
      </c>
      <c r="CE47" s="313" t="str">
        <f t="shared" ca="1" si="34"/>
        <v/>
      </c>
      <c r="CF47" s="313" t="str">
        <f t="shared" ca="1" si="35"/>
        <v/>
      </c>
      <c r="CG47" s="313">
        <f t="shared" ca="1" si="36"/>
        <v>-19</v>
      </c>
      <c r="CH47" s="313" t="str">
        <f t="shared" ca="1" si="37"/>
        <v/>
      </c>
      <c r="CI47" s="313" t="str">
        <f t="shared" ca="1" si="38"/>
        <v/>
      </c>
      <c r="CJ47" s="313" t="str">
        <f t="shared" ca="1" si="39"/>
        <v/>
      </c>
      <c r="CK47" s="313">
        <f t="shared" ca="1" si="40"/>
        <v>0</v>
      </c>
    </row>
    <row r="48" spans="1:89" s="122" customFormat="1" outlineLevel="1" x14ac:dyDescent="0.25">
      <c r="B48" s="123"/>
      <c r="C48" s="123"/>
      <c r="D48" s="123"/>
      <c r="E48" s="123"/>
      <c r="F48" s="124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123"/>
      <c r="W48" s="123"/>
      <c r="X48" s="123"/>
      <c r="Y48" s="123"/>
      <c r="Z48" s="123"/>
      <c r="AA48" s="123"/>
      <c r="AB48" s="123"/>
      <c r="AC48" s="123"/>
    </row>
    <row r="49" spans="1:89" s="122" customFormat="1" outlineLevel="1" x14ac:dyDescent="0.25">
      <c r="B49" s="123"/>
      <c r="C49" s="123"/>
      <c r="D49" s="123"/>
      <c r="E49" s="123"/>
      <c r="F49" s="124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3"/>
      <c r="AB49" s="123"/>
      <c r="AC49" s="123"/>
    </row>
    <row r="50" spans="1:89" s="309" customFormat="1" outlineLevel="1" x14ac:dyDescent="0.25">
      <c r="A50" s="308" t="s">
        <v>95</v>
      </c>
      <c r="E50" s="309">
        <f t="shared" ref="E50:AR50" si="41">IF( LEN( E42 ) = 0, "", ABS( E42 ) + ABS( E43 ) )</f>
        <v>38</v>
      </c>
      <c r="F50" s="309" t="str">
        <f t="shared" si="41"/>
        <v/>
      </c>
      <c r="G50" s="309" t="str">
        <f t="shared" si="41"/>
        <v/>
      </c>
      <c r="H50" s="309" t="str">
        <f t="shared" si="41"/>
        <v/>
      </c>
      <c r="I50" s="309">
        <f t="shared" si="41"/>
        <v>57</v>
      </c>
      <c r="J50" s="309" t="str">
        <f t="shared" si="41"/>
        <v/>
      </c>
      <c r="K50" s="309" t="str">
        <f t="shared" si="41"/>
        <v/>
      </c>
      <c r="L50" s="309" t="str">
        <f t="shared" si="41"/>
        <v/>
      </c>
      <c r="M50" s="309">
        <f t="shared" si="41"/>
        <v>62</v>
      </c>
      <c r="N50" s="309" t="str">
        <f t="shared" si="41"/>
        <v/>
      </c>
      <c r="O50" s="309" t="str">
        <f t="shared" si="41"/>
        <v/>
      </c>
      <c r="P50" s="309" t="str">
        <f t="shared" si="41"/>
        <v/>
      </c>
      <c r="Q50" s="309">
        <f t="shared" si="41"/>
        <v>34</v>
      </c>
      <c r="R50" s="309" t="str">
        <f t="shared" si="41"/>
        <v/>
      </c>
      <c r="S50" s="309" t="str">
        <f t="shared" si="41"/>
        <v/>
      </c>
      <c r="T50" s="309" t="str">
        <f t="shared" si="41"/>
        <v/>
      </c>
      <c r="U50" s="309">
        <f t="shared" si="41"/>
        <v>22</v>
      </c>
      <c r="V50" s="309" t="str">
        <f t="shared" si="41"/>
        <v/>
      </c>
      <c r="W50" s="309" t="str">
        <f t="shared" si="41"/>
        <v/>
      </c>
      <c r="X50" s="309" t="str">
        <f t="shared" si="41"/>
        <v/>
      </c>
      <c r="Y50" s="309">
        <f t="shared" si="41"/>
        <v>31</v>
      </c>
      <c r="Z50" s="309" t="str">
        <f t="shared" si="41"/>
        <v/>
      </c>
      <c r="AA50" s="309" t="str">
        <f t="shared" si="41"/>
        <v/>
      </c>
      <c r="AB50" s="309" t="str">
        <f t="shared" si="41"/>
        <v/>
      </c>
      <c r="AC50" s="309">
        <f t="shared" si="41"/>
        <v>41</v>
      </c>
      <c r="AD50" s="309" t="str">
        <f t="shared" si="41"/>
        <v/>
      </c>
      <c r="AE50" s="309" t="str">
        <f t="shared" si="41"/>
        <v/>
      </c>
      <c r="AF50" s="309" t="str">
        <f t="shared" si="41"/>
        <v/>
      </c>
      <c r="AG50" s="309">
        <f t="shared" si="41"/>
        <v>17</v>
      </c>
      <c r="AH50" s="309" t="str">
        <f t="shared" si="41"/>
        <v/>
      </c>
      <c r="AI50" s="309" t="str">
        <f t="shared" si="41"/>
        <v/>
      </c>
      <c r="AJ50" s="309" t="str">
        <f t="shared" si="41"/>
        <v/>
      </c>
      <c r="AK50" s="309">
        <f t="shared" si="41"/>
        <v>14</v>
      </c>
      <c r="AL50" s="309" t="str">
        <f t="shared" si="41"/>
        <v/>
      </c>
      <c r="AM50" s="309" t="str">
        <f t="shared" si="41"/>
        <v/>
      </c>
      <c r="AN50" s="309" t="str">
        <f t="shared" si="41"/>
        <v/>
      </c>
      <c r="AO50" s="309">
        <f t="shared" si="41"/>
        <v>24</v>
      </c>
      <c r="AP50" s="309" t="str">
        <f t="shared" si="41"/>
        <v/>
      </c>
      <c r="AQ50" s="309" t="str">
        <f t="shared" si="41"/>
        <v/>
      </c>
      <c r="AR50" s="309" t="str">
        <f t="shared" si="41"/>
        <v/>
      </c>
      <c r="AS50" s="309">
        <f t="shared" ref="AS50:BU50" si="42">IF( LEN( AS42 ) = 0, "", ABS( AS42 ) + ABS( AS43 ) )</f>
        <v>25</v>
      </c>
      <c r="AT50" s="309" t="str">
        <f t="shared" si="42"/>
        <v/>
      </c>
      <c r="AU50" s="309" t="str">
        <f t="shared" si="42"/>
        <v/>
      </c>
      <c r="AV50" s="309" t="str">
        <f t="shared" si="42"/>
        <v/>
      </c>
      <c r="AW50" s="309">
        <f t="shared" si="42"/>
        <v>26</v>
      </c>
      <c r="AX50" s="309" t="str">
        <f t="shared" ref="AX50:BQ50" si="43">IF( LEN( AX42 ) = 0, "", ABS( AX42 ) + ABS( AX43 ) )</f>
        <v/>
      </c>
      <c r="AY50" s="309" t="str">
        <f t="shared" si="43"/>
        <v/>
      </c>
      <c r="AZ50" s="309" t="str">
        <f t="shared" si="43"/>
        <v/>
      </c>
      <c r="BA50" s="309">
        <f t="shared" si="43"/>
        <v>23</v>
      </c>
      <c r="BB50" s="309" t="str">
        <f t="shared" si="43"/>
        <v/>
      </c>
      <c r="BC50" s="309" t="str">
        <f t="shared" si="43"/>
        <v/>
      </c>
      <c r="BD50" s="309" t="str">
        <f t="shared" si="43"/>
        <v/>
      </c>
      <c r="BE50" s="309">
        <f t="shared" si="43"/>
        <v>14</v>
      </c>
      <c r="BF50" s="309" t="str">
        <f t="shared" si="43"/>
        <v/>
      </c>
      <c r="BG50" s="309" t="str">
        <f t="shared" si="43"/>
        <v/>
      </c>
      <c r="BH50" s="309" t="str">
        <f t="shared" si="43"/>
        <v/>
      </c>
      <c r="BI50" s="309">
        <f t="shared" si="43"/>
        <v>11</v>
      </c>
      <c r="BJ50" s="309" t="str">
        <f t="shared" si="43"/>
        <v/>
      </c>
      <c r="BK50" s="309" t="str">
        <f t="shared" si="43"/>
        <v/>
      </c>
      <c r="BL50" s="309" t="str">
        <f t="shared" si="43"/>
        <v/>
      </c>
      <c r="BM50" s="309">
        <f t="shared" si="43"/>
        <v>16</v>
      </c>
      <c r="BN50" s="309" t="str">
        <f t="shared" si="43"/>
        <v/>
      </c>
      <c r="BO50" s="309" t="str">
        <f t="shared" si="43"/>
        <v/>
      </c>
      <c r="BP50" s="309" t="str">
        <f t="shared" si="43"/>
        <v/>
      </c>
      <c r="BQ50" s="309">
        <f t="shared" si="43"/>
        <v>15</v>
      </c>
      <c r="BR50" s="309" t="str">
        <f t="shared" si="42"/>
        <v/>
      </c>
      <c r="BS50" s="309" t="str">
        <f t="shared" si="42"/>
        <v/>
      </c>
      <c r="BT50" s="309" t="str">
        <f t="shared" si="42"/>
        <v/>
      </c>
      <c r="BU50" s="309">
        <f t="shared" si="42"/>
        <v>33</v>
      </c>
      <c r="BV50" s="309" t="str">
        <f t="shared" ref="BV50:CC50" si="44">IF( LEN( BV42 ) = 0, "", ABS( BV42 ) + ABS( BV43 ) )</f>
        <v/>
      </c>
      <c r="BW50" s="309" t="str">
        <f t="shared" si="44"/>
        <v/>
      </c>
      <c r="BX50" s="309" t="str">
        <f t="shared" si="44"/>
        <v/>
      </c>
      <c r="BY50" s="309">
        <f t="shared" si="44"/>
        <v>36</v>
      </c>
      <c r="BZ50" s="309" t="str">
        <f t="shared" si="44"/>
        <v/>
      </c>
      <c r="CA50" s="309" t="str">
        <f t="shared" si="44"/>
        <v/>
      </c>
      <c r="CB50" s="309" t="str">
        <f t="shared" si="44"/>
        <v/>
      </c>
      <c r="CC50" s="309">
        <f t="shared" si="44"/>
        <v>24</v>
      </c>
      <c r="CD50" s="309" t="str">
        <f t="shared" ref="CD50:CG50" ca="1" si="45">IF( LEN( CD42 ) = 0, "", ABS( CD42 ) + ABS( CD43 ) )</f>
        <v/>
      </c>
      <c r="CE50" s="309" t="str">
        <f t="shared" ca="1" si="45"/>
        <v/>
      </c>
      <c r="CF50" s="309" t="str">
        <f t="shared" ca="1" si="45"/>
        <v/>
      </c>
      <c r="CG50" s="309">
        <f t="shared" ca="1" si="45"/>
        <v>6</v>
      </c>
      <c r="CH50" s="309" t="str">
        <f t="shared" ref="CH50:CK50" ca="1" si="46">IF( LEN( CH42 ) = 0, "", ABS( CH42 ) + ABS( CH43 ) )</f>
        <v/>
      </c>
      <c r="CI50" s="309" t="str">
        <f t="shared" ca="1" si="46"/>
        <v/>
      </c>
      <c r="CJ50" s="309" t="str">
        <f t="shared" ca="1" si="46"/>
        <v/>
      </c>
      <c r="CK50" s="309">
        <f t="shared" ca="1" si="46"/>
        <v>7</v>
      </c>
    </row>
    <row r="51" spans="1:89" s="311" customFormat="1" outlineLevel="1" x14ac:dyDescent="0.25">
      <c r="A51" s="310" t="s">
        <v>96</v>
      </c>
      <c r="E51" s="311">
        <f t="shared" ref="E51:AN51" si="47">IF( LEN( E44 ) = 0, "", ABS( E44 ) + ABS( E45 ) )</f>
        <v>68</v>
      </c>
      <c r="F51" s="311" t="str">
        <f t="shared" si="47"/>
        <v/>
      </c>
      <c r="G51" s="311" t="str">
        <f t="shared" si="47"/>
        <v/>
      </c>
      <c r="H51" s="311" t="str">
        <f t="shared" si="47"/>
        <v/>
      </c>
      <c r="I51" s="311">
        <f t="shared" si="47"/>
        <v>118</v>
      </c>
      <c r="J51" s="311" t="str">
        <f t="shared" si="47"/>
        <v/>
      </c>
      <c r="K51" s="311" t="str">
        <f t="shared" si="47"/>
        <v/>
      </c>
      <c r="L51" s="311" t="str">
        <f t="shared" si="47"/>
        <v/>
      </c>
      <c r="M51" s="311">
        <f t="shared" si="47"/>
        <v>79</v>
      </c>
      <c r="N51" s="311" t="str">
        <f t="shared" si="47"/>
        <v/>
      </c>
      <c r="O51" s="311" t="str">
        <f t="shared" si="47"/>
        <v/>
      </c>
      <c r="P51" s="311" t="str">
        <f t="shared" si="47"/>
        <v/>
      </c>
      <c r="Q51" s="311">
        <f t="shared" si="47"/>
        <v>42</v>
      </c>
      <c r="R51" s="311" t="str">
        <f t="shared" si="47"/>
        <v/>
      </c>
      <c r="S51" s="311" t="str">
        <f t="shared" si="47"/>
        <v/>
      </c>
      <c r="T51" s="311" t="str">
        <f t="shared" si="47"/>
        <v/>
      </c>
      <c r="U51" s="311">
        <f t="shared" si="47"/>
        <v>46</v>
      </c>
      <c r="V51" s="311" t="str">
        <f t="shared" si="47"/>
        <v/>
      </c>
      <c r="W51" s="311" t="str">
        <f t="shared" si="47"/>
        <v/>
      </c>
      <c r="X51" s="311" t="str">
        <f t="shared" si="47"/>
        <v/>
      </c>
      <c r="Y51" s="311">
        <f t="shared" si="47"/>
        <v>39</v>
      </c>
      <c r="Z51" s="311" t="str">
        <f t="shared" si="47"/>
        <v/>
      </c>
      <c r="AA51" s="311" t="str">
        <f t="shared" si="47"/>
        <v/>
      </c>
      <c r="AB51" s="311" t="str">
        <f t="shared" si="47"/>
        <v/>
      </c>
      <c r="AC51" s="311">
        <f t="shared" si="47"/>
        <v>32</v>
      </c>
      <c r="AD51" s="311" t="str">
        <f t="shared" si="47"/>
        <v/>
      </c>
      <c r="AE51" s="311" t="str">
        <f t="shared" si="47"/>
        <v/>
      </c>
      <c r="AF51" s="311" t="str">
        <f t="shared" si="47"/>
        <v/>
      </c>
      <c r="AG51" s="311">
        <f t="shared" si="47"/>
        <v>6</v>
      </c>
      <c r="AH51" s="311" t="str">
        <f t="shared" si="47"/>
        <v/>
      </c>
      <c r="AI51" s="311" t="str">
        <f t="shared" si="47"/>
        <v/>
      </c>
      <c r="AJ51" s="311" t="str">
        <f t="shared" si="47"/>
        <v/>
      </c>
      <c r="AK51" s="311">
        <f t="shared" si="47"/>
        <v>23</v>
      </c>
      <c r="AL51" s="311" t="str">
        <f t="shared" si="47"/>
        <v/>
      </c>
      <c r="AM51" s="311" t="str">
        <f t="shared" si="47"/>
        <v/>
      </c>
      <c r="AN51" s="311" t="str">
        <f t="shared" si="47"/>
        <v/>
      </c>
      <c r="AO51" s="311">
        <f>IF( LEN( AO44 ) = 0, "", ABS( AO44 ) + ABS( AO45 ) )</f>
        <v>20</v>
      </c>
      <c r="AP51" s="311" t="str">
        <f t="shared" ref="AP51:AW51" si="48">IF( LEN( AP44 ) = 0, "", ABS( AP44 ) + ABS( AP45 ) )</f>
        <v/>
      </c>
      <c r="AQ51" s="311" t="str">
        <f t="shared" si="48"/>
        <v/>
      </c>
      <c r="AR51" s="311" t="str">
        <f t="shared" si="48"/>
        <v/>
      </c>
      <c r="AS51" s="311">
        <f t="shared" si="48"/>
        <v>11</v>
      </c>
      <c r="AT51" s="311" t="str">
        <f t="shared" si="48"/>
        <v/>
      </c>
      <c r="AU51" s="311" t="str">
        <f t="shared" si="48"/>
        <v/>
      </c>
      <c r="AV51" s="311" t="str">
        <f t="shared" si="48"/>
        <v/>
      </c>
      <c r="AW51" s="311">
        <f t="shared" si="48"/>
        <v>20</v>
      </c>
      <c r="AX51" s="311" t="str">
        <f t="shared" ref="AX51:BU51" si="49">IF( LEN( AX44 ) = 0, "", ABS( AX44 ) + ABS( AX45 ) )</f>
        <v/>
      </c>
      <c r="AY51" s="311" t="str">
        <f t="shared" si="49"/>
        <v/>
      </c>
      <c r="AZ51" s="311" t="str">
        <f t="shared" si="49"/>
        <v/>
      </c>
      <c r="BA51" s="311">
        <f t="shared" si="49"/>
        <v>17</v>
      </c>
      <c r="BB51" s="311" t="str">
        <f t="shared" ref="BB51:BQ51" si="50">IF( LEN( BB44 ) = 0, "", ABS( BB44 ) + ABS( BB45 ) )</f>
        <v/>
      </c>
      <c r="BC51" s="311" t="str">
        <f t="shared" si="50"/>
        <v/>
      </c>
      <c r="BD51" s="311" t="str">
        <f t="shared" si="50"/>
        <v/>
      </c>
      <c r="BE51" s="311">
        <f t="shared" si="50"/>
        <v>85</v>
      </c>
      <c r="BF51" s="311" t="str">
        <f t="shared" si="50"/>
        <v/>
      </c>
      <c r="BG51" s="311" t="str">
        <f t="shared" si="50"/>
        <v/>
      </c>
      <c r="BH51" s="311" t="str">
        <f t="shared" si="50"/>
        <v/>
      </c>
      <c r="BI51" s="311">
        <f t="shared" si="50"/>
        <v>12</v>
      </c>
      <c r="BJ51" s="311" t="str">
        <f t="shared" si="50"/>
        <v/>
      </c>
      <c r="BK51" s="311" t="str">
        <f t="shared" si="50"/>
        <v/>
      </c>
      <c r="BL51" s="311" t="str">
        <f t="shared" si="50"/>
        <v/>
      </c>
      <c r="BM51" s="311">
        <f t="shared" si="50"/>
        <v>13</v>
      </c>
      <c r="BN51" s="311" t="str">
        <f t="shared" si="50"/>
        <v/>
      </c>
      <c r="BO51" s="311" t="str">
        <f t="shared" si="50"/>
        <v/>
      </c>
      <c r="BP51" s="311" t="str">
        <f t="shared" si="50"/>
        <v/>
      </c>
      <c r="BQ51" s="311">
        <f t="shared" si="50"/>
        <v>12</v>
      </c>
      <c r="BR51" s="311" t="str">
        <f t="shared" si="49"/>
        <v/>
      </c>
      <c r="BS51" s="311" t="str">
        <f t="shared" si="49"/>
        <v/>
      </c>
      <c r="BT51" s="311" t="str">
        <f t="shared" si="49"/>
        <v/>
      </c>
      <c r="BU51" s="311">
        <f t="shared" si="49"/>
        <v>23</v>
      </c>
      <c r="BV51" s="311" t="str">
        <f t="shared" ref="BV51:CC51" si="51">IF( LEN( BV44 ) = 0, "", ABS( BV44 ) + ABS( BV45 ) )</f>
        <v/>
      </c>
      <c r="BW51" s="311" t="str">
        <f t="shared" si="51"/>
        <v/>
      </c>
      <c r="BX51" s="311" t="str">
        <f t="shared" si="51"/>
        <v/>
      </c>
      <c r="BY51" s="311">
        <f t="shared" si="51"/>
        <v>20</v>
      </c>
      <c r="BZ51" s="311" t="str">
        <f t="shared" si="51"/>
        <v/>
      </c>
      <c r="CA51" s="311" t="str">
        <f t="shared" si="51"/>
        <v/>
      </c>
      <c r="CB51" s="311" t="str">
        <f t="shared" si="51"/>
        <v/>
      </c>
      <c r="CC51" s="311">
        <f t="shared" si="51"/>
        <v>12</v>
      </c>
      <c r="CD51" s="311" t="str">
        <f t="shared" ref="CD51:CG51" ca="1" si="52">IF( LEN( CD44 ) = 0, "", ABS( CD44 ) + ABS( CD45 ) )</f>
        <v/>
      </c>
      <c r="CE51" s="311" t="str">
        <f t="shared" ca="1" si="52"/>
        <v/>
      </c>
      <c r="CF51" s="311" t="str">
        <f t="shared" ca="1" si="52"/>
        <v/>
      </c>
      <c r="CG51" s="311">
        <f t="shared" ca="1" si="52"/>
        <v>12</v>
      </c>
      <c r="CH51" s="311" t="str">
        <f t="shared" ref="CH51:CK51" ca="1" si="53">IF( LEN( CH44 ) = 0, "", ABS( CH44 ) + ABS( CH45 ) )</f>
        <v/>
      </c>
      <c r="CI51" s="311" t="str">
        <f t="shared" ca="1" si="53"/>
        <v/>
      </c>
      <c r="CJ51" s="311" t="str">
        <f t="shared" ca="1" si="53"/>
        <v/>
      </c>
      <c r="CK51" s="311">
        <f t="shared" ca="1" si="53"/>
        <v>1</v>
      </c>
    </row>
    <row r="52" spans="1:89" s="313" customFormat="1" outlineLevel="1" x14ac:dyDescent="0.25">
      <c r="A52" s="312" t="s">
        <v>97</v>
      </c>
      <c r="E52" s="313">
        <f>IF( LEN( E46 ) = 0, "", ABS( E46 ) + ABS( E47 ) )</f>
        <v>101</v>
      </c>
      <c r="F52" s="313" t="str">
        <f t="shared" ref="F52:AS52" si="54">IF( LEN( F46 ) = 0, "", ABS( F46 ) + ABS( F47 ) )</f>
        <v/>
      </c>
      <c r="G52" s="313" t="str">
        <f t="shared" si="54"/>
        <v/>
      </c>
      <c r="H52" s="313" t="str">
        <f t="shared" si="54"/>
        <v/>
      </c>
      <c r="I52" s="313">
        <f t="shared" si="54"/>
        <v>125</v>
      </c>
      <c r="J52" s="313" t="str">
        <f t="shared" si="54"/>
        <v/>
      </c>
      <c r="K52" s="313" t="str">
        <f t="shared" si="54"/>
        <v/>
      </c>
      <c r="L52" s="313" t="str">
        <f t="shared" si="54"/>
        <v/>
      </c>
      <c r="M52" s="313">
        <f t="shared" si="54"/>
        <v>112</v>
      </c>
      <c r="N52" s="313" t="str">
        <f t="shared" si="54"/>
        <v/>
      </c>
      <c r="O52" s="313" t="str">
        <f t="shared" si="54"/>
        <v/>
      </c>
      <c r="P52" s="313" t="str">
        <f t="shared" si="54"/>
        <v/>
      </c>
      <c r="Q52" s="313">
        <f t="shared" si="54"/>
        <v>34</v>
      </c>
      <c r="R52" s="313" t="str">
        <f t="shared" si="54"/>
        <v/>
      </c>
      <c r="S52" s="313" t="str">
        <f t="shared" si="54"/>
        <v/>
      </c>
      <c r="T52" s="313" t="str">
        <f t="shared" si="54"/>
        <v/>
      </c>
      <c r="U52" s="313">
        <f t="shared" si="54"/>
        <v>53</v>
      </c>
      <c r="V52" s="313" t="str">
        <f t="shared" si="54"/>
        <v/>
      </c>
      <c r="W52" s="313" t="str">
        <f t="shared" si="54"/>
        <v/>
      </c>
      <c r="X52" s="313" t="str">
        <f t="shared" si="54"/>
        <v/>
      </c>
      <c r="Y52" s="313">
        <f t="shared" si="54"/>
        <v>40</v>
      </c>
      <c r="Z52" s="313" t="str">
        <f t="shared" si="54"/>
        <v/>
      </c>
      <c r="AA52" s="313" t="str">
        <f t="shared" si="54"/>
        <v/>
      </c>
      <c r="AB52" s="313" t="str">
        <f t="shared" si="54"/>
        <v/>
      </c>
      <c r="AC52" s="313">
        <f t="shared" si="54"/>
        <v>48</v>
      </c>
      <c r="AD52" s="313" t="str">
        <f t="shared" si="54"/>
        <v/>
      </c>
      <c r="AE52" s="313" t="str">
        <f t="shared" si="54"/>
        <v/>
      </c>
      <c r="AF52" s="313" t="str">
        <f t="shared" si="54"/>
        <v/>
      </c>
      <c r="AG52" s="313">
        <f t="shared" si="54"/>
        <v>27</v>
      </c>
      <c r="AH52" s="313" t="str">
        <f t="shared" si="54"/>
        <v/>
      </c>
      <c r="AI52" s="313" t="str">
        <f t="shared" si="54"/>
        <v/>
      </c>
      <c r="AJ52" s="313" t="str">
        <f t="shared" si="54"/>
        <v/>
      </c>
      <c r="AK52" s="313">
        <f t="shared" si="54"/>
        <v>20</v>
      </c>
      <c r="AL52" s="313" t="str">
        <f t="shared" si="54"/>
        <v/>
      </c>
      <c r="AM52" s="313" t="str">
        <f t="shared" si="54"/>
        <v/>
      </c>
      <c r="AN52" s="313" t="str">
        <f t="shared" si="54"/>
        <v/>
      </c>
      <c r="AO52" s="313">
        <f t="shared" si="54"/>
        <v>36</v>
      </c>
      <c r="AP52" s="313" t="str">
        <f t="shared" si="54"/>
        <v/>
      </c>
      <c r="AQ52" s="313" t="str">
        <f t="shared" si="54"/>
        <v/>
      </c>
      <c r="AR52" s="313" t="str">
        <f t="shared" si="54"/>
        <v/>
      </c>
      <c r="AS52" s="313">
        <f t="shared" si="54"/>
        <v>24</v>
      </c>
      <c r="AT52" s="313" t="str">
        <f t="shared" ref="AT52:BU52" si="55">IF( LEN( AT46 ) = 0, "", ABS( AT46 ) + ABS( AT47 ) )</f>
        <v/>
      </c>
      <c r="AU52" s="313" t="str">
        <f t="shared" si="55"/>
        <v/>
      </c>
      <c r="AV52" s="313" t="str">
        <f t="shared" si="55"/>
        <v/>
      </c>
      <c r="AW52" s="313">
        <f t="shared" si="55"/>
        <v>30</v>
      </c>
      <c r="AX52" s="313" t="str">
        <f t="shared" ref="AX52:BQ52" si="56">IF( LEN( AX46 ) = 0, "", ABS( AX46 ) + ABS( AX47 ) )</f>
        <v/>
      </c>
      <c r="AY52" s="313" t="str">
        <f t="shared" si="56"/>
        <v/>
      </c>
      <c r="AZ52" s="313" t="str">
        <f t="shared" si="56"/>
        <v/>
      </c>
      <c r="BA52" s="313">
        <f t="shared" si="56"/>
        <v>40</v>
      </c>
      <c r="BB52" s="313" t="str">
        <f t="shared" si="56"/>
        <v/>
      </c>
      <c r="BC52" s="313" t="str">
        <f t="shared" si="56"/>
        <v/>
      </c>
      <c r="BD52" s="313" t="str">
        <f t="shared" si="56"/>
        <v/>
      </c>
      <c r="BE52" s="313">
        <f t="shared" si="56"/>
        <v>7</v>
      </c>
      <c r="BF52" s="313" t="str">
        <f t="shared" si="56"/>
        <v/>
      </c>
      <c r="BG52" s="313" t="str">
        <f t="shared" si="56"/>
        <v/>
      </c>
      <c r="BH52" s="313" t="str">
        <f t="shared" si="56"/>
        <v/>
      </c>
      <c r="BI52" s="313">
        <f t="shared" si="56"/>
        <v>27</v>
      </c>
      <c r="BJ52" s="313" t="str">
        <f t="shared" si="56"/>
        <v/>
      </c>
      <c r="BK52" s="313" t="str">
        <f t="shared" si="56"/>
        <v/>
      </c>
      <c r="BL52" s="313" t="str">
        <f t="shared" si="56"/>
        <v/>
      </c>
      <c r="BM52" s="313">
        <f t="shared" si="56"/>
        <v>38</v>
      </c>
      <c r="BN52" s="313" t="str">
        <f t="shared" si="56"/>
        <v/>
      </c>
      <c r="BO52" s="313" t="str">
        <f t="shared" si="56"/>
        <v/>
      </c>
      <c r="BP52" s="313" t="str">
        <f t="shared" si="56"/>
        <v/>
      </c>
      <c r="BQ52" s="313">
        <f t="shared" si="56"/>
        <v>25</v>
      </c>
      <c r="BR52" s="313" t="str">
        <f t="shared" si="55"/>
        <v/>
      </c>
      <c r="BS52" s="313" t="str">
        <f t="shared" si="55"/>
        <v/>
      </c>
      <c r="BT52" s="313" t="str">
        <f t="shared" si="55"/>
        <v/>
      </c>
      <c r="BU52" s="313">
        <f t="shared" si="55"/>
        <v>37</v>
      </c>
      <c r="BV52" s="313" t="str">
        <f t="shared" ref="BV52:CC52" si="57">IF( LEN( BV46 ) = 0, "", ABS( BV46 ) + ABS( BV47 ) )</f>
        <v/>
      </c>
      <c r="BW52" s="313" t="str">
        <f t="shared" si="57"/>
        <v/>
      </c>
      <c r="BX52" s="313" t="str">
        <f t="shared" si="57"/>
        <v/>
      </c>
      <c r="BY52" s="313">
        <f t="shared" si="57"/>
        <v>34</v>
      </c>
      <c r="BZ52" s="313" t="str">
        <f t="shared" si="57"/>
        <v/>
      </c>
      <c r="CA52" s="313" t="str">
        <f t="shared" si="57"/>
        <v/>
      </c>
      <c r="CB52" s="313" t="str">
        <f t="shared" si="57"/>
        <v/>
      </c>
      <c r="CC52" s="313">
        <f t="shared" si="57"/>
        <v>23</v>
      </c>
      <c r="CD52" s="313" t="str">
        <f t="shared" ref="CD52:CG52" ca="1" si="58">IF( LEN( CD46 ) = 0, "", ABS( CD46 ) + ABS( CD47 ) )</f>
        <v/>
      </c>
      <c r="CE52" s="313" t="str">
        <f t="shared" ca="1" si="58"/>
        <v/>
      </c>
      <c r="CF52" s="313" t="str">
        <f t="shared" ca="1" si="58"/>
        <v/>
      </c>
      <c r="CG52" s="313">
        <f t="shared" ca="1" si="58"/>
        <v>34</v>
      </c>
      <c r="CH52" s="313" t="str">
        <f t="shared" ref="CH52:CK52" ca="1" si="59">IF( LEN( CH46 ) = 0, "", ABS( CH46 ) + ABS( CH47 ) )</f>
        <v/>
      </c>
      <c r="CI52" s="313" t="str">
        <f t="shared" ca="1" si="59"/>
        <v/>
      </c>
      <c r="CJ52" s="313" t="str">
        <f t="shared" ca="1" si="59"/>
        <v/>
      </c>
      <c r="CK52" s="313">
        <f t="shared" ca="1" si="59"/>
        <v>0</v>
      </c>
    </row>
    <row r="53" spans="1:89" s="139" customFormat="1" outlineLevel="1" x14ac:dyDescent="0.25">
      <c r="A53" s="137" t="s">
        <v>98</v>
      </c>
      <c r="B53" s="138"/>
      <c r="C53" s="138"/>
      <c r="D53" s="138"/>
      <c r="E53" s="138">
        <f>IF( LEN( E51 ) = 0, "", ABS( E50 ) + ABS( E51 )  + ABS( E52 ) )</f>
        <v>207</v>
      </c>
      <c r="F53" s="138" t="str">
        <f t="shared" ref="F53:AW53" si="60">IF( LEN( F51 ) = 0, "", ABS( F50 ) + ABS( F51 )  + ABS( F52 ) )</f>
        <v/>
      </c>
      <c r="G53" s="138" t="str">
        <f t="shared" si="60"/>
        <v/>
      </c>
      <c r="H53" s="138" t="str">
        <f t="shared" si="60"/>
        <v/>
      </c>
      <c r="I53" s="138">
        <f t="shared" si="60"/>
        <v>300</v>
      </c>
      <c r="J53" s="138" t="str">
        <f t="shared" si="60"/>
        <v/>
      </c>
      <c r="K53" s="138" t="str">
        <f t="shared" si="60"/>
        <v/>
      </c>
      <c r="L53" s="138" t="str">
        <f t="shared" si="60"/>
        <v/>
      </c>
      <c r="M53" s="138">
        <f t="shared" si="60"/>
        <v>253</v>
      </c>
      <c r="N53" s="138" t="str">
        <f t="shared" si="60"/>
        <v/>
      </c>
      <c r="O53" s="138" t="str">
        <f t="shared" si="60"/>
        <v/>
      </c>
      <c r="P53" s="138" t="str">
        <f t="shared" si="60"/>
        <v/>
      </c>
      <c r="Q53" s="138">
        <f t="shared" si="60"/>
        <v>110</v>
      </c>
      <c r="R53" s="138" t="str">
        <f t="shared" si="60"/>
        <v/>
      </c>
      <c r="S53" s="138" t="str">
        <f t="shared" si="60"/>
        <v/>
      </c>
      <c r="T53" s="138" t="str">
        <f t="shared" si="60"/>
        <v/>
      </c>
      <c r="U53" s="138">
        <f t="shared" si="60"/>
        <v>121</v>
      </c>
      <c r="V53" s="138" t="str">
        <f t="shared" si="60"/>
        <v/>
      </c>
      <c r="W53" s="138" t="str">
        <f t="shared" si="60"/>
        <v/>
      </c>
      <c r="X53" s="138" t="str">
        <f t="shared" si="60"/>
        <v/>
      </c>
      <c r="Y53" s="138">
        <f t="shared" si="60"/>
        <v>110</v>
      </c>
      <c r="Z53" s="138" t="str">
        <f t="shared" si="60"/>
        <v/>
      </c>
      <c r="AA53" s="138" t="str">
        <f t="shared" si="60"/>
        <v/>
      </c>
      <c r="AB53" s="138" t="str">
        <f t="shared" si="60"/>
        <v/>
      </c>
      <c r="AC53" s="138">
        <f t="shared" si="60"/>
        <v>121</v>
      </c>
      <c r="AD53" s="138" t="str">
        <f t="shared" si="60"/>
        <v/>
      </c>
      <c r="AE53" s="138" t="str">
        <f t="shared" si="60"/>
        <v/>
      </c>
      <c r="AF53" s="138" t="str">
        <f t="shared" si="60"/>
        <v/>
      </c>
      <c r="AG53" s="138">
        <f t="shared" si="60"/>
        <v>50</v>
      </c>
      <c r="AH53" s="138" t="str">
        <f t="shared" si="60"/>
        <v/>
      </c>
      <c r="AI53" s="138" t="str">
        <f t="shared" si="60"/>
        <v/>
      </c>
      <c r="AJ53" s="138" t="str">
        <f t="shared" si="60"/>
        <v/>
      </c>
      <c r="AK53" s="138">
        <f t="shared" si="60"/>
        <v>57</v>
      </c>
      <c r="AL53" s="138" t="str">
        <f t="shared" si="60"/>
        <v/>
      </c>
      <c r="AM53" s="138" t="str">
        <f t="shared" si="60"/>
        <v/>
      </c>
      <c r="AN53" s="138" t="str">
        <f t="shared" si="60"/>
        <v/>
      </c>
      <c r="AO53" s="138">
        <f t="shared" si="60"/>
        <v>80</v>
      </c>
      <c r="AP53" s="138" t="str">
        <f t="shared" si="60"/>
        <v/>
      </c>
      <c r="AQ53" s="138" t="str">
        <f t="shared" si="60"/>
        <v/>
      </c>
      <c r="AR53" s="138" t="str">
        <f t="shared" si="60"/>
        <v/>
      </c>
      <c r="AS53" s="138">
        <f t="shared" si="60"/>
        <v>60</v>
      </c>
      <c r="AT53" s="138" t="str">
        <f t="shared" si="60"/>
        <v/>
      </c>
      <c r="AU53" s="138" t="str">
        <f t="shared" si="60"/>
        <v/>
      </c>
      <c r="AV53" s="138" t="str">
        <f t="shared" si="60"/>
        <v/>
      </c>
      <c r="AW53" s="138">
        <f t="shared" si="60"/>
        <v>76</v>
      </c>
      <c r="AX53" s="138" t="str">
        <f t="shared" ref="AX53:BU53" si="61">IF( LEN( AX51 ) = 0, "", ABS( AX50 ) + ABS( AX51 )  + ABS( AX52 ) )</f>
        <v/>
      </c>
      <c r="AY53" s="138" t="str">
        <f t="shared" si="61"/>
        <v/>
      </c>
      <c r="AZ53" s="138" t="str">
        <f t="shared" si="61"/>
        <v/>
      </c>
      <c r="BA53" s="138">
        <f t="shared" si="61"/>
        <v>80</v>
      </c>
      <c r="BB53" s="138" t="str">
        <f t="shared" ref="BB53:BQ53" si="62">IF( LEN( BB51 ) = 0, "", ABS( BB50 ) + ABS( BB51 )  + ABS( BB52 ) )</f>
        <v/>
      </c>
      <c r="BC53" s="138" t="str">
        <f t="shared" si="62"/>
        <v/>
      </c>
      <c r="BD53" s="138" t="str">
        <f t="shared" si="62"/>
        <v/>
      </c>
      <c r="BE53" s="138">
        <f t="shared" si="62"/>
        <v>106</v>
      </c>
      <c r="BF53" s="138" t="str">
        <f t="shared" si="62"/>
        <v/>
      </c>
      <c r="BG53" s="138" t="str">
        <f t="shared" si="62"/>
        <v/>
      </c>
      <c r="BH53" s="138" t="str">
        <f t="shared" si="62"/>
        <v/>
      </c>
      <c r="BI53" s="138">
        <f t="shared" si="62"/>
        <v>50</v>
      </c>
      <c r="BJ53" s="138" t="str">
        <f t="shared" si="62"/>
        <v/>
      </c>
      <c r="BK53" s="138" t="str">
        <f t="shared" si="62"/>
        <v/>
      </c>
      <c r="BL53" s="138" t="str">
        <f t="shared" si="62"/>
        <v/>
      </c>
      <c r="BM53" s="138">
        <f t="shared" si="62"/>
        <v>67</v>
      </c>
      <c r="BN53" s="138" t="str">
        <f t="shared" si="62"/>
        <v/>
      </c>
      <c r="BO53" s="138" t="str">
        <f t="shared" si="62"/>
        <v/>
      </c>
      <c r="BP53" s="138" t="str">
        <f t="shared" si="62"/>
        <v/>
      </c>
      <c r="BQ53" s="138">
        <f t="shared" si="62"/>
        <v>52</v>
      </c>
      <c r="BR53" s="138" t="str">
        <f t="shared" si="61"/>
        <v/>
      </c>
      <c r="BS53" s="138" t="str">
        <f t="shared" si="61"/>
        <v/>
      </c>
      <c r="BT53" s="138" t="str">
        <f t="shared" si="61"/>
        <v/>
      </c>
      <c r="BU53" s="138">
        <f t="shared" si="61"/>
        <v>93</v>
      </c>
      <c r="BV53" s="138" t="str">
        <f t="shared" ref="BV53:CC53" si="63">IF( LEN( BV51 ) = 0, "", ABS( BV50 ) + ABS( BV51 )  + ABS( BV52 ) )</f>
        <v/>
      </c>
      <c r="BW53" s="138" t="str">
        <f t="shared" si="63"/>
        <v/>
      </c>
      <c r="BX53" s="138" t="str">
        <f t="shared" si="63"/>
        <v/>
      </c>
      <c r="BY53" s="138">
        <f t="shared" si="63"/>
        <v>90</v>
      </c>
      <c r="BZ53" s="138" t="str">
        <f t="shared" si="63"/>
        <v/>
      </c>
      <c r="CA53" s="138" t="str">
        <f t="shared" si="63"/>
        <v/>
      </c>
      <c r="CB53" s="138" t="str">
        <f t="shared" si="63"/>
        <v/>
      </c>
      <c r="CC53" s="138">
        <f t="shared" si="63"/>
        <v>59</v>
      </c>
      <c r="CD53" s="138" t="str">
        <f t="shared" ref="CD53:CG53" ca="1" si="64">IF( LEN( CD51 ) = 0, "", ABS( CD50 ) + ABS( CD51 )  + ABS( CD52 ) )</f>
        <v/>
      </c>
      <c r="CE53" s="138" t="str">
        <f t="shared" ca="1" si="64"/>
        <v/>
      </c>
      <c r="CF53" s="138" t="str">
        <f t="shared" ca="1" si="64"/>
        <v/>
      </c>
      <c r="CG53" s="138">
        <f t="shared" ca="1" si="64"/>
        <v>52</v>
      </c>
      <c r="CH53" s="138" t="str">
        <f t="shared" ref="CH53:CK53" ca="1" si="65">IF( LEN( CH51 ) = 0, "", ABS( CH50 ) + ABS( CH51 )  + ABS( CH52 ) )</f>
        <v/>
      </c>
      <c r="CI53" s="138" t="str">
        <f t="shared" ca="1" si="65"/>
        <v/>
      </c>
      <c r="CJ53" s="138" t="str">
        <f t="shared" ca="1" si="65"/>
        <v/>
      </c>
      <c r="CK53" s="138">
        <f t="shared" ca="1" si="65"/>
        <v>8</v>
      </c>
    </row>
    <row r="54" spans="1:89" s="122" customFormat="1" outlineLevel="1" x14ac:dyDescent="0.25">
      <c r="B54" s="123"/>
      <c r="C54" s="123"/>
      <c r="D54" s="123"/>
      <c r="E54" s="123"/>
      <c r="F54" s="124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  <c r="Y54" s="123"/>
      <c r="Z54" s="123"/>
      <c r="AA54" s="123"/>
      <c r="AB54" s="123"/>
      <c r="AC54" s="123"/>
    </row>
    <row r="55" spans="1:89" s="122" customFormat="1" outlineLevel="1" x14ac:dyDescent="0.25">
      <c r="B55" s="123"/>
      <c r="C55" s="123"/>
      <c r="D55" s="123"/>
      <c r="E55" s="123"/>
      <c r="F55" s="124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  <c r="Y55" s="123"/>
      <c r="Z55" s="123"/>
      <c r="AA55" s="123"/>
      <c r="AB55" s="123"/>
      <c r="AC55" s="123"/>
    </row>
    <row r="56" spans="1:89" s="309" customFormat="1" outlineLevel="1" x14ac:dyDescent="0.25">
      <c r="A56" s="308" t="s">
        <v>99</v>
      </c>
      <c r="B56" s="309">
        <f t="shared" ref="B56:BM56" si="66">SUM(B29,B31,B33)</f>
        <v>23</v>
      </c>
      <c r="C56" s="309">
        <f t="shared" si="66"/>
        <v>14</v>
      </c>
      <c r="D56" s="309">
        <f t="shared" si="66"/>
        <v>6</v>
      </c>
      <c r="E56" s="309">
        <f t="shared" si="66"/>
        <v>14</v>
      </c>
      <c r="F56" s="309">
        <f t="shared" si="66"/>
        <v>6</v>
      </c>
      <c r="G56" s="309">
        <f t="shared" si="66"/>
        <v>2</v>
      </c>
      <c r="H56" s="309">
        <f t="shared" si="66"/>
        <v>12</v>
      </c>
      <c r="I56" s="309">
        <f t="shared" si="66"/>
        <v>1</v>
      </c>
      <c r="J56" s="309">
        <f t="shared" si="66"/>
        <v>4</v>
      </c>
      <c r="K56" s="309">
        <f t="shared" si="66"/>
        <v>15</v>
      </c>
      <c r="L56" s="309">
        <f t="shared" si="66"/>
        <v>6</v>
      </c>
      <c r="M56" s="309">
        <f t="shared" si="66"/>
        <v>10</v>
      </c>
      <c r="N56" s="309">
        <f t="shared" si="66"/>
        <v>8</v>
      </c>
      <c r="O56" s="309">
        <f t="shared" si="66"/>
        <v>8</v>
      </c>
      <c r="P56" s="309">
        <f t="shared" si="66"/>
        <v>21</v>
      </c>
      <c r="Q56" s="309">
        <f t="shared" si="66"/>
        <v>14</v>
      </c>
      <c r="R56" s="309">
        <f t="shared" si="66"/>
        <v>23</v>
      </c>
      <c r="S56" s="309">
        <f t="shared" si="66"/>
        <v>20</v>
      </c>
      <c r="T56" s="309">
        <f t="shared" si="66"/>
        <v>20</v>
      </c>
      <c r="U56" s="309">
        <f t="shared" si="66"/>
        <v>10</v>
      </c>
      <c r="V56" s="309">
        <f t="shared" si="66"/>
        <v>18</v>
      </c>
      <c r="W56" s="309">
        <f t="shared" si="66"/>
        <v>24</v>
      </c>
      <c r="X56" s="309">
        <f t="shared" si="66"/>
        <v>19</v>
      </c>
      <c r="Y56" s="309">
        <f t="shared" si="66"/>
        <v>6</v>
      </c>
      <c r="Z56" s="309">
        <f t="shared" si="66"/>
        <v>22</v>
      </c>
      <c r="AA56" s="309">
        <f t="shared" si="66"/>
        <v>23</v>
      </c>
      <c r="AB56" s="309">
        <f t="shared" si="66"/>
        <v>8</v>
      </c>
      <c r="AC56" s="309">
        <f t="shared" si="66"/>
        <v>20</v>
      </c>
      <c r="AD56" s="309">
        <f t="shared" si="66"/>
        <v>5</v>
      </c>
      <c r="AE56" s="309">
        <f t="shared" si="66"/>
        <v>4</v>
      </c>
      <c r="AF56" s="309">
        <f t="shared" si="66"/>
        <v>9</v>
      </c>
      <c r="AG56" s="309">
        <f t="shared" si="66"/>
        <v>6</v>
      </c>
      <c r="AH56" s="309">
        <f t="shared" si="66"/>
        <v>1</v>
      </c>
      <c r="AI56" s="309">
        <f t="shared" si="66"/>
        <v>10</v>
      </c>
      <c r="AJ56" s="309">
        <f t="shared" si="66"/>
        <v>7</v>
      </c>
      <c r="AK56" s="309">
        <f t="shared" si="66"/>
        <v>5</v>
      </c>
      <c r="AL56" s="309">
        <f t="shared" si="66"/>
        <v>1</v>
      </c>
      <c r="AM56" s="309">
        <f t="shared" si="66"/>
        <v>12</v>
      </c>
      <c r="AN56" s="309">
        <f t="shared" si="66"/>
        <v>11</v>
      </c>
      <c r="AO56" s="309">
        <f t="shared" si="66"/>
        <v>5</v>
      </c>
      <c r="AP56" s="309">
        <f t="shared" si="66"/>
        <v>11</v>
      </c>
      <c r="AQ56" s="309">
        <f t="shared" si="66"/>
        <v>21</v>
      </c>
      <c r="AR56" s="309">
        <f t="shared" si="66"/>
        <v>4</v>
      </c>
      <c r="AS56" s="309">
        <f t="shared" si="66"/>
        <v>3</v>
      </c>
      <c r="AT56" s="309">
        <f t="shared" si="66"/>
        <v>8</v>
      </c>
      <c r="AU56" s="309">
        <f t="shared" si="66"/>
        <v>24</v>
      </c>
      <c r="AV56" s="309">
        <f t="shared" si="66"/>
        <v>2</v>
      </c>
      <c r="AW56" s="309">
        <f t="shared" si="66"/>
        <v>3</v>
      </c>
      <c r="AX56" s="309">
        <f t="shared" si="66"/>
        <v>14</v>
      </c>
      <c r="AY56" s="309">
        <f t="shared" si="66"/>
        <v>20</v>
      </c>
      <c r="AZ56" s="309">
        <f t="shared" si="66"/>
        <v>14</v>
      </c>
      <c r="BA56" s="309">
        <f t="shared" si="66"/>
        <v>12</v>
      </c>
      <c r="BB56" s="309">
        <f t="shared" si="66"/>
        <v>82</v>
      </c>
      <c r="BC56" s="309">
        <f t="shared" si="66"/>
        <v>10</v>
      </c>
      <c r="BD56" s="309">
        <f t="shared" si="66"/>
        <v>6</v>
      </c>
      <c r="BE56" s="309">
        <f t="shared" si="66"/>
        <v>5</v>
      </c>
      <c r="BF56" s="309">
        <f t="shared" si="66"/>
        <v>2</v>
      </c>
      <c r="BG56" s="309">
        <f t="shared" si="66"/>
        <v>26</v>
      </c>
      <c r="BH56" s="309">
        <f t="shared" si="66"/>
        <v>1</v>
      </c>
      <c r="BI56" s="309">
        <f t="shared" si="66"/>
        <v>6</v>
      </c>
      <c r="BJ56" s="309">
        <f t="shared" si="66"/>
        <v>13</v>
      </c>
      <c r="BK56" s="309">
        <f t="shared" si="66"/>
        <v>12</v>
      </c>
      <c r="BL56" s="309">
        <f t="shared" si="66"/>
        <v>23</v>
      </c>
      <c r="BM56" s="309">
        <f t="shared" si="66"/>
        <v>1</v>
      </c>
      <c r="BN56" s="309">
        <f t="shared" ref="BN56:BQ56" si="67">SUM(BN29,BN31,BN33)</f>
        <v>13</v>
      </c>
      <c r="BO56" s="309">
        <f t="shared" si="67"/>
        <v>7</v>
      </c>
      <c r="BP56" s="309">
        <f t="shared" si="67"/>
        <v>8</v>
      </c>
      <c r="BQ56" s="309">
        <f t="shared" si="67"/>
        <v>10</v>
      </c>
      <c r="BR56" s="309">
        <f t="shared" ref="BR56:BU57" si="68">SUM(BR29,BR31,BR33)</f>
        <v>6</v>
      </c>
      <c r="BS56" s="309">
        <f t="shared" si="68"/>
        <v>6</v>
      </c>
      <c r="BT56" s="309">
        <f t="shared" si="68"/>
        <v>17</v>
      </c>
      <c r="BU56" s="309">
        <f t="shared" si="68"/>
        <v>12</v>
      </c>
      <c r="BV56" s="309">
        <f t="shared" ref="BV56:CC56" si="69">SUM(BV29,BV31,BV33)</f>
        <v>14</v>
      </c>
      <c r="BW56" s="309">
        <f t="shared" si="69"/>
        <v>10</v>
      </c>
      <c r="BX56" s="309">
        <f t="shared" si="69"/>
        <v>12</v>
      </c>
      <c r="BY56" s="309">
        <f t="shared" si="69"/>
        <v>19</v>
      </c>
      <c r="BZ56" s="309">
        <f t="shared" si="69"/>
        <v>1</v>
      </c>
      <c r="CA56" s="309">
        <f t="shared" si="69"/>
        <v>5</v>
      </c>
      <c r="CB56" s="309">
        <f t="shared" si="69"/>
        <v>3</v>
      </c>
      <c r="CC56" s="309">
        <f t="shared" si="69"/>
        <v>3</v>
      </c>
      <c r="CD56" s="309">
        <f t="shared" ref="CD56:CG56" ca="1" si="70">SUM(CD29,CD31,CD33)</f>
        <v>3</v>
      </c>
      <c r="CE56" s="309">
        <f t="shared" ca="1" si="70"/>
        <v>1</v>
      </c>
      <c r="CF56" s="309">
        <f t="shared" ca="1" si="70"/>
        <v>1</v>
      </c>
      <c r="CG56" s="309">
        <f t="shared" ca="1" si="70"/>
        <v>15</v>
      </c>
      <c r="CH56" s="309">
        <f t="shared" ref="CH56:CK56" ca="1" si="71">SUM(CH29,CH31,CH33)</f>
        <v>5</v>
      </c>
      <c r="CI56" s="309">
        <f t="shared" ca="1" si="71"/>
        <v>0</v>
      </c>
      <c r="CJ56" s="309">
        <f t="shared" ca="1" si="71"/>
        <v>0</v>
      </c>
      <c r="CK56" s="309">
        <f t="shared" ca="1" si="71"/>
        <v>0</v>
      </c>
    </row>
    <row r="57" spans="1:89" s="313" customFormat="1" outlineLevel="1" x14ac:dyDescent="0.25">
      <c r="A57" s="312" t="s">
        <v>100</v>
      </c>
      <c r="B57" s="313">
        <f t="shared" ref="B57:BM57" si="72">SUM(B30,B32,B34)</f>
        <v>-59</v>
      </c>
      <c r="C57" s="313">
        <f t="shared" si="72"/>
        <v>-21</v>
      </c>
      <c r="D57" s="313">
        <f t="shared" si="72"/>
        <v>-13</v>
      </c>
      <c r="E57" s="313">
        <f t="shared" si="72"/>
        <v>-57</v>
      </c>
      <c r="F57" s="313">
        <f t="shared" si="72"/>
        <v>-34</v>
      </c>
      <c r="G57" s="313">
        <f t="shared" si="72"/>
        <v>-67</v>
      </c>
      <c r="H57" s="313">
        <f t="shared" si="72"/>
        <v>-91</v>
      </c>
      <c r="I57" s="313">
        <f t="shared" si="72"/>
        <v>-87</v>
      </c>
      <c r="J57" s="313">
        <f t="shared" si="72"/>
        <v>-88</v>
      </c>
      <c r="K57" s="313">
        <f t="shared" si="72"/>
        <v>-55</v>
      </c>
      <c r="L57" s="313">
        <f t="shared" si="72"/>
        <v>-38</v>
      </c>
      <c r="M57" s="313">
        <f t="shared" si="72"/>
        <v>-37</v>
      </c>
      <c r="N57" s="313">
        <f t="shared" si="72"/>
        <v>-19</v>
      </c>
      <c r="O57" s="313">
        <f t="shared" si="72"/>
        <v>-19</v>
      </c>
      <c r="P57" s="313">
        <f t="shared" si="72"/>
        <v>-10</v>
      </c>
      <c r="Q57" s="313">
        <f t="shared" si="72"/>
        <v>-11</v>
      </c>
      <c r="R57" s="313">
        <f t="shared" si="72"/>
        <v>-9</v>
      </c>
      <c r="S57" s="313">
        <f t="shared" si="72"/>
        <v>-10</v>
      </c>
      <c r="T57" s="313">
        <f t="shared" si="72"/>
        <v>-7</v>
      </c>
      <c r="U57" s="313">
        <f t="shared" si="72"/>
        <v>-22</v>
      </c>
      <c r="V57" s="313">
        <f t="shared" si="72"/>
        <v>-7</v>
      </c>
      <c r="W57" s="313">
        <f t="shared" si="72"/>
        <v>-10</v>
      </c>
      <c r="X57" s="313">
        <f t="shared" si="72"/>
        <v>-18</v>
      </c>
      <c r="Y57" s="313">
        <f t="shared" si="72"/>
        <v>-8</v>
      </c>
      <c r="Z57" s="313">
        <f t="shared" si="72"/>
        <v>-17</v>
      </c>
      <c r="AA57" s="313">
        <f t="shared" si="72"/>
        <v>-18</v>
      </c>
      <c r="AB57" s="313">
        <f t="shared" si="72"/>
        <v>-2</v>
      </c>
      <c r="AC57" s="313">
        <f t="shared" si="72"/>
        <v>-11</v>
      </c>
      <c r="AD57" s="313">
        <f t="shared" si="72"/>
        <v>-13</v>
      </c>
      <c r="AE57" s="313">
        <f t="shared" si="72"/>
        <v>-5</v>
      </c>
      <c r="AF57" s="313">
        <f t="shared" si="72"/>
        <v>-5</v>
      </c>
      <c r="AG57" s="313">
        <f t="shared" si="72"/>
        <v>-3</v>
      </c>
      <c r="AH57" s="313">
        <f t="shared" si="72"/>
        <v>-9</v>
      </c>
      <c r="AI57" s="313">
        <f t="shared" si="72"/>
        <v>-14</v>
      </c>
      <c r="AJ57" s="313">
        <f t="shared" si="72"/>
        <v>-8</v>
      </c>
      <c r="AK57" s="313">
        <f t="shared" si="72"/>
        <v>-3</v>
      </c>
      <c r="AL57" s="313">
        <f t="shared" si="72"/>
        <v>-17</v>
      </c>
      <c r="AM57" s="313">
        <f t="shared" si="72"/>
        <v>-14</v>
      </c>
      <c r="AN57" s="313">
        <f t="shared" si="72"/>
        <v>-8</v>
      </c>
      <c r="AO57" s="313">
        <f t="shared" si="72"/>
        <v>-12</v>
      </c>
      <c r="AP57" s="313">
        <f t="shared" si="72"/>
        <v>0</v>
      </c>
      <c r="AQ57" s="313">
        <f t="shared" si="72"/>
        <v>-8</v>
      </c>
      <c r="AR57" s="313">
        <f t="shared" si="72"/>
        <v>-4</v>
      </c>
      <c r="AS57" s="313">
        <f t="shared" si="72"/>
        <v>-9</v>
      </c>
      <c r="AT57" s="313">
        <f t="shared" si="72"/>
        <v>-8</v>
      </c>
      <c r="AU57" s="313">
        <f t="shared" si="72"/>
        <v>-11</v>
      </c>
      <c r="AV57" s="313">
        <f t="shared" si="72"/>
        <v>-7</v>
      </c>
      <c r="AW57" s="313">
        <f t="shared" si="72"/>
        <v>-13</v>
      </c>
      <c r="AX57" s="313">
        <f t="shared" si="72"/>
        <v>-5</v>
      </c>
      <c r="AY57" s="313">
        <f t="shared" si="72"/>
        <v>-1</v>
      </c>
      <c r="AZ57" s="313">
        <f t="shared" si="72"/>
        <v>-10</v>
      </c>
      <c r="BA57" s="313">
        <f t="shared" si="72"/>
        <v>-4</v>
      </c>
      <c r="BB57" s="313">
        <f t="shared" si="72"/>
        <v>0</v>
      </c>
      <c r="BC57" s="313">
        <f t="shared" si="72"/>
        <v>-3</v>
      </c>
      <c r="BD57" s="313">
        <f t="shared" si="72"/>
        <v>0</v>
      </c>
      <c r="BE57" s="313">
        <f t="shared" si="72"/>
        <v>0</v>
      </c>
      <c r="BF57" s="313">
        <f t="shared" si="72"/>
        <v>0</v>
      </c>
      <c r="BG57" s="313">
        <f t="shared" si="72"/>
        <v>-7</v>
      </c>
      <c r="BH57" s="313">
        <f t="shared" si="72"/>
        <v>-6</v>
      </c>
      <c r="BI57" s="313">
        <f t="shared" si="72"/>
        <v>-2</v>
      </c>
      <c r="BJ57" s="313">
        <f t="shared" si="72"/>
        <v>-5</v>
      </c>
      <c r="BK57" s="313">
        <f t="shared" si="72"/>
        <v>-3</v>
      </c>
      <c r="BL57" s="313">
        <f t="shared" si="72"/>
        <v>-8</v>
      </c>
      <c r="BM57" s="313">
        <f t="shared" si="72"/>
        <v>-2</v>
      </c>
      <c r="BN57" s="313">
        <f t="shared" ref="BN57:BQ57" si="73">SUM(BN30,BN32,BN34)</f>
        <v>-4</v>
      </c>
      <c r="BO57" s="313">
        <f t="shared" si="73"/>
        <v>-1</v>
      </c>
      <c r="BP57" s="313">
        <f t="shared" si="73"/>
        <v>-9</v>
      </c>
      <c r="BQ57" s="313">
        <f t="shared" si="73"/>
        <v>0</v>
      </c>
      <c r="BR57" s="313">
        <f t="shared" si="68"/>
        <v>-11</v>
      </c>
      <c r="BS57" s="313">
        <f t="shared" si="68"/>
        <v>-7</v>
      </c>
      <c r="BT57" s="313">
        <f t="shared" si="68"/>
        <v>-23</v>
      </c>
      <c r="BU57" s="313">
        <f t="shared" si="68"/>
        <v>-11</v>
      </c>
      <c r="BV57" s="313">
        <f t="shared" ref="BV57:CC57" si="74">SUM(BV30,BV32,BV34)</f>
        <v>-21</v>
      </c>
      <c r="BW57" s="313">
        <f t="shared" si="74"/>
        <v>-2</v>
      </c>
      <c r="BX57" s="313">
        <f t="shared" si="74"/>
        <v>-5</v>
      </c>
      <c r="BY57" s="313">
        <f t="shared" si="74"/>
        <v>-7</v>
      </c>
      <c r="BZ57" s="313">
        <f t="shared" si="74"/>
        <v>-4</v>
      </c>
      <c r="CA57" s="313">
        <f t="shared" si="74"/>
        <v>-6</v>
      </c>
      <c r="CB57" s="313">
        <f t="shared" si="74"/>
        <v>-4</v>
      </c>
      <c r="CC57" s="313">
        <f t="shared" si="74"/>
        <v>-33</v>
      </c>
      <c r="CD57" s="313">
        <f t="shared" ref="CD57:CG57" ca="1" si="75">SUM(CD30,CD32,CD34)</f>
        <v>-12</v>
      </c>
      <c r="CE57" s="313">
        <f t="shared" ca="1" si="75"/>
        <v>-2</v>
      </c>
      <c r="CF57" s="313">
        <f t="shared" ca="1" si="75"/>
        <v>-5</v>
      </c>
      <c r="CG57" s="313">
        <f t="shared" ca="1" si="75"/>
        <v>-13</v>
      </c>
      <c r="CH57" s="313">
        <f t="shared" ref="CH57:CK57" ca="1" si="76">SUM(CH30,CH32,CH34)</f>
        <v>-3</v>
      </c>
      <c r="CI57" s="313">
        <f t="shared" ca="1" si="76"/>
        <v>0</v>
      </c>
      <c r="CJ57" s="313">
        <f t="shared" ca="1" si="76"/>
        <v>0</v>
      </c>
      <c r="CK57" s="313">
        <f t="shared" ca="1" si="76"/>
        <v>0</v>
      </c>
    </row>
    <row r="58" spans="1:89" s="139" customFormat="1" outlineLevel="1" x14ac:dyDescent="0.25">
      <c r="A58" s="137" t="s">
        <v>101</v>
      </c>
      <c r="B58" s="138">
        <f>ABS( B56 ) + ABS( B57 )</f>
        <v>82</v>
      </c>
      <c r="C58" s="138">
        <f>ABS( C56 ) + ABS( C57 )</f>
        <v>35</v>
      </c>
      <c r="D58" s="138">
        <f>ABS( D56 ) + ABS( D57 )</f>
        <v>19</v>
      </c>
      <c r="E58" s="138">
        <f t="shared" ref="E58:AS58" si="77">ABS( E56 ) + ABS( E57 )</f>
        <v>71</v>
      </c>
      <c r="F58" s="138">
        <f t="shared" si="77"/>
        <v>40</v>
      </c>
      <c r="G58" s="138">
        <f t="shared" si="77"/>
        <v>69</v>
      </c>
      <c r="H58" s="138">
        <f t="shared" si="77"/>
        <v>103</v>
      </c>
      <c r="I58" s="138">
        <f t="shared" si="77"/>
        <v>88</v>
      </c>
      <c r="J58" s="138">
        <f t="shared" si="77"/>
        <v>92</v>
      </c>
      <c r="K58" s="138">
        <f t="shared" si="77"/>
        <v>70</v>
      </c>
      <c r="L58" s="138">
        <f t="shared" si="77"/>
        <v>44</v>
      </c>
      <c r="M58" s="138">
        <f t="shared" si="77"/>
        <v>47</v>
      </c>
      <c r="N58" s="138">
        <f t="shared" si="77"/>
        <v>27</v>
      </c>
      <c r="O58" s="138">
        <f t="shared" si="77"/>
        <v>27</v>
      </c>
      <c r="P58" s="138">
        <f t="shared" si="77"/>
        <v>31</v>
      </c>
      <c r="Q58" s="138">
        <f t="shared" si="77"/>
        <v>25</v>
      </c>
      <c r="R58" s="138">
        <f t="shared" si="77"/>
        <v>32</v>
      </c>
      <c r="S58" s="138">
        <f t="shared" si="77"/>
        <v>30</v>
      </c>
      <c r="T58" s="138">
        <f t="shared" si="77"/>
        <v>27</v>
      </c>
      <c r="U58" s="138">
        <f t="shared" si="77"/>
        <v>32</v>
      </c>
      <c r="V58" s="138">
        <f t="shared" si="77"/>
        <v>25</v>
      </c>
      <c r="W58" s="138">
        <f t="shared" si="77"/>
        <v>34</v>
      </c>
      <c r="X58" s="138">
        <f t="shared" si="77"/>
        <v>37</v>
      </c>
      <c r="Y58" s="138">
        <f t="shared" si="77"/>
        <v>14</v>
      </c>
      <c r="Z58" s="138">
        <f t="shared" si="77"/>
        <v>39</v>
      </c>
      <c r="AA58" s="138">
        <f t="shared" si="77"/>
        <v>41</v>
      </c>
      <c r="AB58" s="138">
        <f t="shared" si="77"/>
        <v>10</v>
      </c>
      <c r="AC58" s="138">
        <f t="shared" si="77"/>
        <v>31</v>
      </c>
      <c r="AD58" s="138">
        <f t="shared" si="77"/>
        <v>18</v>
      </c>
      <c r="AE58" s="138">
        <f t="shared" si="77"/>
        <v>9</v>
      </c>
      <c r="AF58" s="138">
        <f t="shared" si="77"/>
        <v>14</v>
      </c>
      <c r="AG58" s="138">
        <f t="shared" si="77"/>
        <v>9</v>
      </c>
      <c r="AH58" s="138">
        <f t="shared" si="77"/>
        <v>10</v>
      </c>
      <c r="AI58" s="138">
        <f t="shared" si="77"/>
        <v>24</v>
      </c>
      <c r="AJ58" s="138">
        <f t="shared" si="77"/>
        <v>15</v>
      </c>
      <c r="AK58" s="138">
        <f t="shared" si="77"/>
        <v>8</v>
      </c>
      <c r="AL58" s="138">
        <f t="shared" si="77"/>
        <v>18</v>
      </c>
      <c r="AM58" s="138">
        <f t="shared" si="77"/>
        <v>26</v>
      </c>
      <c r="AN58" s="138">
        <f t="shared" si="77"/>
        <v>19</v>
      </c>
      <c r="AO58" s="138">
        <f t="shared" si="77"/>
        <v>17</v>
      </c>
      <c r="AP58" s="138">
        <f t="shared" si="77"/>
        <v>11</v>
      </c>
      <c r="AQ58" s="138">
        <f t="shared" si="77"/>
        <v>29</v>
      </c>
      <c r="AR58" s="138">
        <f t="shared" si="77"/>
        <v>8</v>
      </c>
      <c r="AS58" s="138">
        <f t="shared" si="77"/>
        <v>12</v>
      </c>
      <c r="AT58" s="138">
        <f t="shared" ref="AT58:BU58" si="78">ABS( AT56 ) + ABS( AT57 )</f>
        <v>16</v>
      </c>
      <c r="AU58" s="138">
        <f t="shared" si="78"/>
        <v>35</v>
      </c>
      <c r="AV58" s="138">
        <f t="shared" si="78"/>
        <v>9</v>
      </c>
      <c r="AW58" s="138">
        <f t="shared" si="78"/>
        <v>16</v>
      </c>
      <c r="AX58" s="138">
        <f t="shared" ref="AX58:BQ58" si="79">ABS( AX56 ) + ABS( AX57 )</f>
        <v>19</v>
      </c>
      <c r="AY58" s="138">
        <f t="shared" si="79"/>
        <v>21</v>
      </c>
      <c r="AZ58" s="138">
        <f t="shared" si="79"/>
        <v>24</v>
      </c>
      <c r="BA58" s="138">
        <f t="shared" si="79"/>
        <v>16</v>
      </c>
      <c r="BB58" s="138">
        <f t="shared" si="79"/>
        <v>82</v>
      </c>
      <c r="BC58" s="138">
        <f t="shared" si="79"/>
        <v>13</v>
      </c>
      <c r="BD58" s="138">
        <f t="shared" si="79"/>
        <v>6</v>
      </c>
      <c r="BE58" s="138">
        <f t="shared" si="79"/>
        <v>5</v>
      </c>
      <c r="BF58" s="138">
        <f t="shared" si="79"/>
        <v>2</v>
      </c>
      <c r="BG58" s="138">
        <f t="shared" si="79"/>
        <v>33</v>
      </c>
      <c r="BH58" s="138">
        <f t="shared" si="79"/>
        <v>7</v>
      </c>
      <c r="BI58" s="138">
        <f t="shared" si="79"/>
        <v>8</v>
      </c>
      <c r="BJ58" s="138">
        <f t="shared" si="79"/>
        <v>18</v>
      </c>
      <c r="BK58" s="138">
        <f t="shared" si="79"/>
        <v>15</v>
      </c>
      <c r="BL58" s="138">
        <f t="shared" si="79"/>
        <v>31</v>
      </c>
      <c r="BM58" s="138">
        <f t="shared" si="79"/>
        <v>3</v>
      </c>
      <c r="BN58" s="138">
        <f t="shared" si="79"/>
        <v>17</v>
      </c>
      <c r="BO58" s="138">
        <f t="shared" si="79"/>
        <v>8</v>
      </c>
      <c r="BP58" s="138">
        <f t="shared" si="79"/>
        <v>17</v>
      </c>
      <c r="BQ58" s="138">
        <f t="shared" si="79"/>
        <v>10</v>
      </c>
      <c r="BR58" s="138">
        <f t="shared" si="78"/>
        <v>17</v>
      </c>
      <c r="BS58" s="138">
        <f t="shared" si="78"/>
        <v>13</v>
      </c>
      <c r="BT58" s="138">
        <f t="shared" si="78"/>
        <v>40</v>
      </c>
      <c r="BU58" s="138">
        <f t="shared" si="78"/>
        <v>23</v>
      </c>
      <c r="BV58" s="138">
        <f t="shared" ref="BV58:CC58" si="80">ABS( BV56 ) + ABS( BV57 )</f>
        <v>35</v>
      </c>
      <c r="BW58" s="138">
        <f t="shared" si="80"/>
        <v>12</v>
      </c>
      <c r="BX58" s="138">
        <f t="shared" si="80"/>
        <v>17</v>
      </c>
      <c r="BY58" s="138">
        <f t="shared" si="80"/>
        <v>26</v>
      </c>
      <c r="BZ58" s="138">
        <f t="shared" si="80"/>
        <v>5</v>
      </c>
      <c r="CA58" s="138">
        <f t="shared" si="80"/>
        <v>11</v>
      </c>
      <c r="CB58" s="138">
        <f t="shared" si="80"/>
        <v>7</v>
      </c>
      <c r="CC58" s="138">
        <f t="shared" si="80"/>
        <v>36</v>
      </c>
      <c r="CD58" s="138">
        <f t="shared" ref="CD58:CG58" ca="1" si="81">ABS( CD56 ) + ABS( CD57 )</f>
        <v>15</v>
      </c>
      <c r="CE58" s="138">
        <f t="shared" ca="1" si="81"/>
        <v>3</v>
      </c>
      <c r="CF58" s="138">
        <f t="shared" ca="1" si="81"/>
        <v>6</v>
      </c>
      <c r="CG58" s="138">
        <f t="shared" ca="1" si="81"/>
        <v>28</v>
      </c>
      <c r="CH58" s="138">
        <f t="shared" ref="CH58:CK58" ca="1" si="82">ABS( CH56 ) + ABS( CH57 )</f>
        <v>8</v>
      </c>
      <c r="CI58" s="138">
        <f t="shared" ca="1" si="82"/>
        <v>0</v>
      </c>
      <c r="CJ58" s="138">
        <f t="shared" ca="1" si="82"/>
        <v>0</v>
      </c>
      <c r="CK58" s="138">
        <f t="shared" ca="1" si="82"/>
        <v>0</v>
      </c>
    </row>
    <row r="59" spans="1:89" s="122" customFormat="1" outlineLevel="1" x14ac:dyDescent="0.25">
      <c r="B59" s="124"/>
      <c r="C59" s="124"/>
      <c r="D59" s="124"/>
      <c r="E59" s="124"/>
      <c r="F59" s="124"/>
      <c r="G59" s="124"/>
      <c r="H59" s="124"/>
      <c r="I59" s="124"/>
      <c r="J59" s="123"/>
      <c r="K59" s="123"/>
      <c r="L59" s="123"/>
      <c r="M59" s="123"/>
      <c r="N59" s="123"/>
      <c r="O59" s="123"/>
      <c r="P59" s="123"/>
      <c r="Q59" s="123"/>
      <c r="R59" s="123"/>
      <c r="S59" s="123"/>
      <c r="T59" s="123"/>
      <c r="U59" s="123"/>
      <c r="V59" s="123"/>
      <c r="W59" s="123"/>
      <c r="X59" s="123"/>
      <c r="Y59" s="123"/>
      <c r="Z59" s="123"/>
      <c r="AA59" s="123"/>
      <c r="AB59" s="123"/>
      <c r="AC59" s="123"/>
    </row>
    <row r="60" spans="1:89" s="122" customFormat="1" outlineLevel="1" x14ac:dyDescent="0.25">
      <c r="B60" s="124"/>
      <c r="C60" s="124"/>
      <c r="D60" s="124"/>
      <c r="E60" s="124"/>
      <c r="F60" s="124"/>
      <c r="G60" s="124"/>
      <c r="H60" s="124"/>
      <c r="I60" s="124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  <c r="X60" s="123"/>
      <c r="Y60" s="123"/>
      <c r="Z60" s="123"/>
      <c r="AA60" s="123"/>
      <c r="AB60" s="123"/>
      <c r="AC60" s="123"/>
    </row>
    <row r="61" spans="1:89" s="309" customFormat="1" outlineLevel="1" x14ac:dyDescent="0.25">
      <c r="A61" s="308" t="s">
        <v>102</v>
      </c>
      <c r="E61" s="309">
        <f t="shared" ref="E61:N62" si="83">IF( ISERR( FIND( "Q4", E$28 ) ), "", SUM( B56:E56 ) )</f>
        <v>57</v>
      </c>
      <c r="F61" s="309" t="str">
        <f t="shared" si="83"/>
        <v/>
      </c>
      <c r="G61" s="309" t="str">
        <f t="shared" si="83"/>
        <v/>
      </c>
      <c r="H61" s="309" t="str">
        <f t="shared" si="83"/>
        <v/>
      </c>
      <c r="I61" s="309">
        <f t="shared" si="83"/>
        <v>21</v>
      </c>
      <c r="J61" s="309" t="str">
        <f t="shared" si="83"/>
        <v/>
      </c>
      <c r="K61" s="309" t="str">
        <f t="shared" si="83"/>
        <v/>
      </c>
      <c r="L61" s="309" t="str">
        <f t="shared" si="83"/>
        <v/>
      </c>
      <c r="M61" s="309">
        <f t="shared" si="83"/>
        <v>35</v>
      </c>
      <c r="N61" s="309" t="str">
        <f t="shared" si="83"/>
        <v/>
      </c>
      <c r="O61" s="309" t="str">
        <f t="shared" ref="O61:X62" si="84">IF( ISERR( FIND( "Q4", O$28 ) ), "", SUM( L56:O56 ) )</f>
        <v/>
      </c>
      <c r="P61" s="309" t="str">
        <f t="shared" si="84"/>
        <v/>
      </c>
      <c r="Q61" s="309">
        <f t="shared" si="84"/>
        <v>51</v>
      </c>
      <c r="R61" s="309" t="str">
        <f t="shared" si="84"/>
        <v/>
      </c>
      <c r="S61" s="309" t="str">
        <f t="shared" si="84"/>
        <v/>
      </c>
      <c r="T61" s="309" t="str">
        <f t="shared" si="84"/>
        <v/>
      </c>
      <c r="U61" s="309">
        <f t="shared" si="84"/>
        <v>73</v>
      </c>
      <c r="V61" s="309" t="str">
        <f t="shared" si="84"/>
        <v/>
      </c>
      <c r="W61" s="309" t="str">
        <f t="shared" si="84"/>
        <v/>
      </c>
      <c r="X61" s="309" t="str">
        <f t="shared" si="84"/>
        <v/>
      </c>
      <c r="Y61" s="309">
        <f t="shared" ref="Y61:AH62" si="85">IF( ISERR( FIND( "Q4", Y$28 ) ), "", SUM( V56:Y56 ) )</f>
        <v>67</v>
      </c>
      <c r="Z61" s="309" t="str">
        <f t="shared" si="85"/>
        <v/>
      </c>
      <c r="AA61" s="309" t="str">
        <f t="shared" si="85"/>
        <v/>
      </c>
      <c r="AB61" s="309" t="str">
        <f t="shared" si="85"/>
        <v/>
      </c>
      <c r="AC61" s="309">
        <f t="shared" si="85"/>
        <v>73</v>
      </c>
      <c r="AD61" s="309" t="str">
        <f t="shared" si="85"/>
        <v/>
      </c>
      <c r="AE61" s="309" t="str">
        <f t="shared" si="85"/>
        <v/>
      </c>
      <c r="AF61" s="309" t="str">
        <f t="shared" si="85"/>
        <v/>
      </c>
      <c r="AG61" s="309">
        <f t="shared" si="85"/>
        <v>24</v>
      </c>
      <c r="AH61" s="309" t="str">
        <f t="shared" si="85"/>
        <v/>
      </c>
      <c r="AI61" s="309" t="str">
        <f t="shared" ref="AI61:AR62" si="86">IF( ISERR( FIND( "Q4", AI$28 ) ), "", SUM( AF56:AI56 ) )</f>
        <v/>
      </c>
      <c r="AJ61" s="309" t="str">
        <f t="shared" si="86"/>
        <v/>
      </c>
      <c r="AK61" s="309">
        <f t="shared" si="86"/>
        <v>23</v>
      </c>
      <c r="AL61" s="309" t="str">
        <f t="shared" si="86"/>
        <v/>
      </c>
      <c r="AM61" s="309" t="str">
        <f t="shared" si="86"/>
        <v/>
      </c>
      <c r="AN61" s="309" t="str">
        <f t="shared" si="86"/>
        <v/>
      </c>
      <c r="AO61" s="309">
        <f t="shared" si="86"/>
        <v>29</v>
      </c>
      <c r="AP61" s="309" t="str">
        <f t="shared" si="86"/>
        <v/>
      </c>
      <c r="AQ61" s="309" t="str">
        <f t="shared" si="86"/>
        <v/>
      </c>
      <c r="AR61" s="309" t="str">
        <f t="shared" si="86"/>
        <v/>
      </c>
      <c r="AS61" s="309">
        <f t="shared" ref="AS61:AW62" si="87">IF( ISERR( FIND( "Q4", AS$28 ) ), "", SUM( AP56:AS56 ) )</f>
        <v>39</v>
      </c>
      <c r="AT61" s="309" t="str">
        <f t="shared" si="87"/>
        <v/>
      </c>
      <c r="AU61" s="309" t="str">
        <f t="shared" si="87"/>
        <v/>
      </c>
      <c r="AV61" s="309" t="str">
        <f t="shared" si="87"/>
        <v/>
      </c>
      <c r="AW61" s="309">
        <f t="shared" si="87"/>
        <v>37</v>
      </c>
      <c r="AX61" s="309" t="str">
        <f t="shared" ref="AX61:AZ62" si="88">IF( ISERR( FIND( "Q4", AX$28 ) ), "", SUM( AQ56:AX56 ) )</f>
        <v/>
      </c>
      <c r="AY61" s="309" t="str">
        <f t="shared" si="88"/>
        <v/>
      </c>
      <c r="AZ61" s="309" t="str">
        <f t="shared" si="88"/>
        <v/>
      </c>
      <c r="BA61" s="309">
        <f t="shared" ref="BA61:BA62" si="89">IF( ISERR( FIND( "Q4", BA$28 ) ), "", SUM( AX56:BA56 ) )</f>
        <v>60</v>
      </c>
      <c r="BB61" s="309" t="str">
        <f t="shared" ref="BB61:BD62" si="90">IF( ISERR( FIND( "Q4", BB$28 ) ), "", SUM( AQ56:BB56 ) )</f>
        <v/>
      </c>
      <c r="BC61" s="309" t="str">
        <f t="shared" si="90"/>
        <v/>
      </c>
      <c r="BD61" s="309" t="str">
        <f t="shared" si="90"/>
        <v/>
      </c>
      <c r="BE61" s="309">
        <f t="shared" ref="BE61:BE62" si="91">IF( ISERR( FIND( "Q4", BE$28 ) ), "", SUM( BB56:BE56 ) )</f>
        <v>103</v>
      </c>
      <c r="BF61" s="309" t="str">
        <f t="shared" ref="BF61:BH62" si="92">IF( ISERR( FIND( "Q4", BF$28 ) ), "", SUM( AQ56:BF56 ) )</f>
        <v/>
      </c>
      <c r="BG61" s="309" t="str">
        <f t="shared" si="92"/>
        <v/>
      </c>
      <c r="BH61" s="309" t="str">
        <f t="shared" si="92"/>
        <v/>
      </c>
      <c r="BI61" s="309">
        <f t="shared" ref="BI61:BI62" si="93">IF( ISERR( FIND( "Q4", BI$28 ) ), "", SUM( BF56:BI56 ) )</f>
        <v>35</v>
      </c>
      <c r="BJ61" s="309" t="str">
        <f t="shared" ref="BJ61:BL62" si="94">IF( ISERR( FIND( "Q4", BJ$28 ) ), "", SUM( AQ56:BJ56 ) )</f>
        <v/>
      </c>
      <c r="BK61" s="309" t="str">
        <f t="shared" si="94"/>
        <v/>
      </c>
      <c r="BL61" s="309" t="str">
        <f t="shared" si="94"/>
        <v/>
      </c>
      <c r="BM61" s="309">
        <f>IF( ISERR( FIND( "Q4", BM$28 ) ), "", SUM( BJ56:BM56 ) )</f>
        <v>49</v>
      </c>
      <c r="BN61" s="309" t="str">
        <f t="shared" ref="BN61:BP62" si="95">IF( ISERR( FIND( "Q4", BN$28 ) ), "", SUM( AQ56:BN56 ) )</f>
        <v/>
      </c>
      <c r="BO61" s="309" t="str">
        <f t="shared" si="95"/>
        <v/>
      </c>
      <c r="BP61" s="309" t="str">
        <f t="shared" si="95"/>
        <v/>
      </c>
      <c r="BQ61" s="309">
        <f>IF( ISERR( FIND( "Q4", BQ$28 ) ), "", SUM( BN56:BQ56 ) )</f>
        <v>38</v>
      </c>
      <c r="BR61" s="309" t="str">
        <f t="shared" ref="BR61:BT62" si="96">IF( ISERR( FIND( "Q4", BR$28 ) ), "", SUM( AU56:BR56 ) )</f>
        <v/>
      </c>
      <c r="BS61" s="309" t="str">
        <f t="shared" si="96"/>
        <v/>
      </c>
      <c r="BT61" s="309" t="str">
        <f t="shared" si="96"/>
        <v/>
      </c>
      <c r="BU61" s="309">
        <f>IF( ISERR( FIND( "Q4", BU$28 ) ), "", SUM( BR56:BU56 ) )</f>
        <v>41</v>
      </c>
      <c r="BV61" s="309" t="str">
        <f t="shared" ref="BV61:BV62" si="97">IF( ISERR( FIND( "Q4", BV$28 ) ), "", SUM( AY56:BV56 ) )</f>
        <v/>
      </c>
      <c r="BW61" s="309" t="str">
        <f t="shared" ref="BW61:BW62" si="98">IF( ISERR( FIND( "Q4", BW$28 ) ), "", SUM( AZ56:BW56 ) )</f>
        <v/>
      </c>
      <c r="BX61" s="309" t="str">
        <f t="shared" ref="BX61:BX62" si="99">IF( ISERR( FIND( "Q4", BX$28 ) ), "", SUM( BA56:BX56 ) )</f>
        <v/>
      </c>
      <c r="BY61" s="309">
        <f>IF( ISERR( FIND( "Q4", BY$28 ) ), "", SUM( BV56:BY56 ) )</f>
        <v>55</v>
      </c>
      <c r="BZ61" s="309" t="str">
        <f t="shared" ref="BZ61:CC62" si="100">IF( ISERR( FIND( "Q4", BZ$28 ) ), "", SUM( BW56:BZ56 ) )</f>
        <v/>
      </c>
      <c r="CA61" s="309" t="str">
        <f t="shared" si="100"/>
        <v/>
      </c>
      <c r="CB61" s="309" t="str">
        <f t="shared" si="100"/>
        <v/>
      </c>
      <c r="CC61" s="309">
        <f t="shared" si="100"/>
        <v>12</v>
      </c>
      <c r="CD61" s="309" t="str">
        <f t="shared" ref="CD61:CD62" ca="1" si="101">IF( ISERR( FIND( "Q4", CD$28 ) ), "", SUM( CA56:CD56 ) )</f>
        <v/>
      </c>
      <c r="CE61" s="309" t="str">
        <f t="shared" ref="CE61:CE62" ca="1" si="102">IF( ISERR( FIND( "Q4", CE$28 ) ), "", SUM( CB56:CE56 ) )</f>
        <v/>
      </c>
      <c r="CF61" s="309" t="str">
        <f t="shared" ref="CF61:CF62" ca="1" si="103">IF( ISERR( FIND( "Q4", CF$28 ) ), "", SUM( CC56:CF56 ) )</f>
        <v/>
      </c>
      <c r="CG61" s="309">
        <f t="shared" ref="CG61:CG62" ca="1" si="104">IF( ISERR( FIND( "Q4", CG$28 ) ), "", SUM( CD56:CG56 ) )</f>
        <v>20</v>
      </c>
      <c r="CH61" s="309" t="str">
        <f t="shared" ref="CH61:CH62" ca="1" si="105">IF( ISERR( FIND( "Q4", CH$28 ) ), "", SUM( CE56:CH56 ) )</f>
        <v/>
      </c>
      <c r="CI61" s="309" t="str">
        <f t="shared" ref="CI61:CI62" ca="1" si="106">IF( ISERR( FIND( "Q4", CI$28 ) ), "", SUM( CF56:CI56 ) )</f>
        <v/>
      </c>
      <c r="CJ61" s="309" t="str">
        <f t="shared" ref="CJ61:CJ62" ca="1" si="107">IF( ISERR( FIND( "Q4", CJ$28 ) ), "", SUM( CG56:CJ56 ) )</f>
        <v/>
      </c>
      <c r="CK61" s="309">
        <f t="shared" ref="CK61:CK62" ca="1" si="108">IF( ISERR( FIND( "Q4", CK$28 ) ), "", SUM( CH56:CK56 ) )</f>
        <v>5</v>
      </c>
    </row>
    <row r="62" spans="1:89" s="313" customFormat="1" outlineLevel="1" x14ac:dyDescent="0.25">
      <c r="A62" s="312" t="s">
        <v>103</v>
      </c>
      <c r="E62" s="313">
        <f t="shared" si="83"/>
        <v>-150</v>
      </c>
      <c r="F62" s="313" t="str">
        <f t="shared" si="83"/>
        <v/>
      </c>
      <c r="G62" s="313" t="str">
        <f t="shared" si="83"/>
        <v/>
      </c>
      <c r="H62" s="313" t="str">
        <f t="shared" si="83"/>
        <v/>
      </c>
      <c r="I62" s="313">
        <f t="shared" si="83"/>
        <v>-279</v>
      </c>
      <c r="J62" s="313" t="str">
        <f t="shared" si="83"/>
        <v/>
      </c>
      <c r="K62" s="313" t="str">
        <f t="shared" si="83"/>
        <v/>
      </c>
      <c r="L62" s="313" t="str">
        <f t="shared" si="83"/>
        <v/>
      </c>
      <c r="M62" s="313">
        <f t="shared" si="83"/>
        <v>-218</v>
      </c>
      <c r="N62" s="313" t="str">
        <f t="shared" si="83"/>
        <v/>
      </c>
      <c r="O62" s="313" t="str">
        <f t="shared" si="84"/>
        <v/>
      </c>
      <c r="P62" s="313" t="str">
        <f t="shared" si="84"/>
        <v/>
      </c>
      <c r="Q62" s="313">
        <f t="shared" si="84"/>
        <v>-59</v>
      </c>
      <c r="R62" s="313" t="str">
        <f t="shared" si="84"/>
        <v/>
      </c>
      <c r="S62" s="313" t="str">
        <f t="shared" si="84"/>
        <v/>
      </c>
      <c r="T62" s="313" t="str">
        <f t="shared" si="84"/>
        <v/>
      </c>
      <c r="U62" s="313">
        <f t="shared" si="84"/>
        <v>-48</v>
      </c>
      <c r="V62" s="313" t="str">
        <f t="shared" si="84"/>
        <v/>
      </c>
      <c r="W62" s="313" t="str">
        <f t="shared" si="84"/>
        <v/>
      </c>
      <c r="X62" s="313" t="str">
        <f t="shared" si="84"/>
        <v/>
      </c>
      <c r="Y62" s="313">
        <f t="shared" si="85"/>
        <v>-43</v>
      </c>
      <c r="Z62" s="313" t="str">
        <f t="shared" si="85"/>
        <v/>
      </c>
      <c r="AA62" s="313" t="str">
        <f t="shared" si="85"/>
        <v/>
      </c>
      <c r="AB62" s="313" t="str">
        <f t="shared" si="85"/>
        <v/>
      </c>
      <c r="AC62" s="313">
        <f t="shared" si="85"/>
        <v>-48</v>
      </c>
      <c r="AD62" s="313" t="str">
        <f t="shared" si="85"/>
        <v/>
      </c>
      <c r="AE62" s="313" t="str">
        <f t="shared" si="85"/>
        <v/>
      </c>
      <c r="AF62" s="313" t="str">
        <f t="shared" si="85"/>
        <v/>
      </c>
      <c r="AG62" s="313">
        <f t="shared" si="85"/>
        <v>-26</v>
      </c>
      <c r="AH62" s="313" t="str">
        <f t="shared" si="85"/>
        <v/>
      </c>
      <c r="AI62" s="313" t="str">
        <f t="shared" si="86"/>
        <v/>
      </c>
      <c r="AJ62" s="313" t="str">
        <f t="shared" si="86"/>
        <v/>
      </c>
      <c r="AK62" s="313">
        <f t="shared" si="86"/>
        <v>-34</v>
      </c>
      <c r="AL62" s="313" t="str">
        <f t="shared" si="86"/>
        <v/>
      </c>
      <c r="AM62" s="313" t="str">
        <f t="shared" si="86"/>
        <v/>
      </c>
      <c r="AN62" s="313" t="str">
        <f t="shared" si="86"/>
        <v/>
      </c>
      <c r="AO62" s="313">
        <f t="shared" si="86"/>
        <v>-51</v>
      </c>
      <c r="AP62" s="313" t="str">
        <f t="shared" si="86"/>
        <v/>
      </c>
      <c r="AQ62" s="313" t="str">
        <f t="shared" si="86"/>
        <v/>
      </c>
      <c r="AR62" s="313" t="str">
        <f t="shared" si="86"/>
        <v/>
      </c>
      <c r="AS62" s="313">
        <f t="shared" si="87"/>
        <v>-21</v>
      </c>
      <c r="AT62" s="313" t="str">
        <f t="shared" si="87"/>
        <v/>
      </c>
      <c r="AU62" s="313" t="str">
        <f t="shared" si="87"/>
        <v/>
      </c>
      <c r="AV62" s="313" t="str">
        <f t="shared" si="87"/>
        <v/>
      </c>
      <c r="AW62" s="313">
        <f t="shared" si="87"/>
        <v>-39</v>
      </c>
      <c r="AX62" s="313" t="str">
        <f t="shared" si="88"/>
        <v/>
      </c>
      <c r="AY62" s="313" t="str">
        <f t="shared" si="88"/>
        <v/>
      </c>
      <c r="AZ62" s="313" t="str">
        <f t="shared" si="88"/>
        <v/>
      </c>
      <c r="BA62" s="313">
        <f t="shared" si="89"/>
        <v>-20</v>
      </c>
      <c r="BB62" s="313" t="str">
        <f t="shared" si="90"/>
        <v/>
      </c>
      <c r="BC62" s="313" t="str">
        <f t="shared" si="90"/>
        <v/>
      </c>
      <c r="BD62" s="313" t="str">
        <f t="shared" si="90"/>
        <v/>
      </c>
      <c r="BE62" s="313">
        <f t="shared" si="91"/>
        <v>-3</v>
      </c>
      <c r="BF62" s="313" t="str">
        <f t="shared" si="92"/>
        <v/>
      </c>
      <c r="BG62" s="313" t="str">
        <f t="shared" si="92"/>
        <v/>
      </c>
      <c r="BH62" s="313" t="str">
        <f t="shared" si="92"/>
        <v/>
      </c>
      <c r="BI62" s="313">
        <f t="shared" si="93"/>
        <v>-15</v>
      </c>
      <c r="BJ62" s="313" t="str">
        <f t="shared" si="94"/>
        <v/>
      </c>
      <c r="BK62" s="313" t="str">
        <f t="shared" si="94"/>
        <v/>
      </c>
      <c r="BL62" s="313" t="str">
        <f t="shared" si="94"/>
        <v/>
      </c>
      <c r="BM62" s="313">
        <f>IF( ISERR( FIND( "Q4", BM$28 ) ), "", SUM( BJ57:BM57 ) )</f>
        <v>-18</v>
      </c>
      <c r="BN62" s="313" t="str">
        <f t="shared" si="95"/>
        <v/>
      </c>
      <c r="BO62" s="313" t="str">
        <f t="shared" si="95"/>
        <v/>
      </c>
      <c r="BP62" s="313" t="str">
        <f t="shared" si="95"/>
        <v/>
      </c>
      <c r="BQ62" s="313">
        <f>IF( ISERR( FIND( "Q4", BQ$28 ) ), "", SUM( BN57:BQ57 ) )</f>
        <v>-14</v>
      </c>
      <c r="BR62" s="313" t="str">
        <f t="shared" si="96"/>
        <v/>
      </c>
      <c r="BS62" s="313" t="str">
        <f t="shared" si="96"/>
        <v/>
      </c>
      <c r="BT62" s="313" t="str">
        <f t="shared" si="96"/>
        <v/>
      </c>
      <c r="BU62" s="313">
        <f t="shared" ref="BU62" si="109">IF( ISERR( FIND( "Q4", BU$28 ) ), "", SUM( BR57:BU57 ) )</f>
        <v>-52</v>
      </c>
      <c r="BV62" s="313" t="str">
        <f t="shared" si="97"/>
        <v/>
      </c>
      <c r="BW62" s="313" t="str">
        <f t="shared" si="98"/>
        <v/>
      </c>
      <c r="BX62" s="313" t="str">
        <f t="shared" si="99"/>
        <v/>
      </c>
      <c r="BY62" s="313">
        <f t="shared" ref="BY62" si="110">IF( ISERR( FIND( "Q4", BY$28 ) ), "", SUM( BV57:BY57 ) )</f>
        <v>-35</v>
      </c>
      <c r="BZ62" s="313" t="str">
        <f t="shared" si="100"/>
        <v/>
      </c>
      <c r="CA62" s="313" t="str">
        <f t="shared" si="100"/>
        <v/>
      </c>
      <c r="CB62" s="313" t="str">
        <f t="shared" si="100"/>
        <v/>
      </c>
      <c r="CC62" s="313">
        <f t="shared" si="100"/>
        <v>-47</v>
      </c>
      <c r="CD62" s="313" t="str">
        <f t="shared" ca="1" si="101"/>
        <v/>
      </c>
      <c r="CE62" s="313" t="str">
        <f t="shared" ca="1" si="102"/>
        <v/>
      </c>
      <c r="CF62" s="313" t="str">
        <f t="shared" ca="1" si="103"/>
        <v/>
      </c>
      <c r="CG62" s="313">
        <f t="shared" ca="1" si="104"/>
        <v>-32</v>
      </c>
      <c r="CH62" s="313" t="str">
        <f t="shared" ca="1" si="105"/>
        <v/>
      </c>
      <c r="CI62" s="313" t="str">
        <f t="shared" ca="1" si="106"/>
        <v/>
      </c>
      <c r="CJ62" s="313" t="str">
        <f t="shared" ca="1" si="107"/>
        <v/>
      </c>
      <c r="CK62" s="313">
        <f t="shared" ca="1" si="108"/>
        <v>-3</v>
      </c>
    </row>
    <row r="63" spans="1:89" s="139" customFormat="1" outlineLevel="1" x14ac:dyDescent="0.25">
      <c r="A63" s="137" t="s">
        <v>98</v>
      </c>
      <c r="B63" s="138"/>
      <c r="C63" s="138"/>
      <c r="D63" s="138"/>
      <c r="E63" s="138">
        <f t="shared" ref="E63:AS63" si="111">IF( LEN( E61 ) = 0, "", ABS( E61 ) + ABS( E62 ) )</f>
        <v>207</v>
      </c>
      <c r="F63" s="138" t="str">
        <f t="shared" si="111"/>
        <v/>
      </c>
      <c r="G63" s="138" t="str">
        <f t="shared" si="111"/>
        <v/>
      </c>
      <c r="H63" s="138" t="str">
        <f t="shared" si="111"/>
        <v/>
      </c>
      <c r="I63" s="138">
        <f t="shared" si="111"/>
        <v>300</v>
      </c>
      <c r="J63" s="138" t="str">
        <f t="shared" si="111"/>
        <v/>
      </c>
      <c r="K63" s="138" t="str">
        <f t="shared" si="111"/>
        <v/>
      </c>
      <c r="L63" s="138" t="str">
        <f t="shared" si="111"/>
        <v/>
      </c>
      <c r="M63" s="138">
        <f t="shared" si="111"/>
        <v>253</v>
      </c>
      <c r="N63" s="138" t="str">
        <f t="shared" si="111"/>
        <v/>
      </c>
      <c r="O63" s="138" t="str">
        <f t="shared" si="111"/>
        <v/>
      </c>
      <c r="P63" s="138" t="str">
        <f t="shared" si="111"/>
        <v/>
      </c>
      <c r="Q63" s="138">
        <f t="shared" si="111"/>
        <v>110</v>
      </c>
      <c r="R63" s="138" t="str">
        <f t="shared" si="111"/>
        <v/>
      </c>
      <c r="S63" s="138" t="str">
        <f t="shared" si="111"/>
        <v/>
      </c>
      <c r="T63" s="138" t="str">
        <f t="shared" si="111"/>
        <v/>
      </c>
      <c r="U63" s="138">
        <f t="shared" si="111"/>
        <v>121</v>
      </c>
      <c r="V63" s="138" t="str">
        <f t="shared" si="111"/>
        <v/>
      </c>
      <c r="W63" s="138" t="str">
        <f t="shared" si="111"/>
        <v/>
      </c>
      <c r="X63" s="138" t="str">
        <f t="shared" si="111"/>
        <v/>
      </c>
      <c r="Y63" s="138">
        <f t="shared" si="111"/>
        <v>110</v>
      </c>
      <c r="Z63" s="138" t="str">
        <f t="shared" si="111"/>
        <v/>
      </c>
      <c r="AA63" s="138" t="str">
        <f t="shared" si="111"/>
        <v/>
      </c>
      <c r="AB63" s="138" t="str">
        <f t="shared" si="111"/>
        <v/>
      </c>
      <c r="AC63" s="138">
        <f t="shared" si="111"/>
        <v>121</v>
      </c>
      <c r="AD63" s="138" t="str">
        <f t="shared" si="111"/>
        <v/>
      </c>
      <c r="AE63" s="138" t="str">
        <f t="shared" si="111"/>
        <v/>
      </c>
      <c r="AF63" s="138" t="str">
        <f t="shared" si="111"/>
        <v/>
      </c>
      <c r="AG63" s="138">
        <f t="shared" si="111"/>
        <v>50</v>
      </c>
      <c r="AH63" s="138" t="str">
        <f t="shared" si="111"/>
        <v/>
      </c>
      <c r="AI63" s="138" t="str">
        <f t="shared" si="111"/>
        <v/>
      </c>
      <c r="AJ63" s="138" t="str">
        <f t="shared" si="111"/>
        <v/>
      </c>
      <c r="AK63" s="138">
        <f t="shared" si="111"/>
        <v>57</v>
      </c>
      <c r="AL63" s="138" t="str">
        <f t="shared" si="111"/>
        <v/>
      </c>
      <c r="AM63" s="138" t="str">
        <f t="shared" si="111"/>
        <v/>
      </c>
      <c r="AN63" s="138" t="str">
        <f t="shared" si="111"/>
        <v/>
      </c>
      <c r="AO63" s="138">
        <f t="shared" si="111"/>
        <v>80</v>
      </c>
      <c r="AP63" s="138" t="str">
        <f t="shared" si="111"/>
        <v/>
      </c>
      <c r="AQ63" s="138" t="str">
        <f t="shared" si="111"/>
        <v/>
      </c>
      <c r="AR63" s="138" t="str">
        <f t="shared" si="111"/>
        <v/>
      </c>
      <c r="AS63" s="138">
        <f t="shared" si="111"/>
        <v>60</v>
      </c>
      <c r="AT63" s="138" t="str">
        <f t="shared" ref="AT63:BU63" si="112">IF( LEN( AT61 ) = 0, "", ABS( AT61 ) + ABS( AT62 ) )</f>
        <v/>
      </c>
      <c r="AU63" s="138" t="str">
        <f t="shared" si="112"/>
        <v/>
      </c>
      <c r="AV63" s="138" t="str">
        <f t="shared" si="112"/>
        <v/>
      </c>
      <c r="AW63" s="138">
        <f t="shared" si="112"/>
        <v>76</v>
      </c>
      <c r="AX63" s="138" t="str">
        <f t="shared" ref="AX63:BQ63" si="113">IF( LEN( AX61 ) = 0, "", ABS( AX61 ) + ABS( AX62 ) )</f>
        <v/>
      </c>
      <c r="AY63" s="138" t="str">
        <f t="shared" si="113"/>
        <v/>
      </c>
      <c r="AZ63" s="138" t="str">
        <f t="shared" si="113"/>
        <v/>
      </c>
      <c r="BA63" s="138">
        <f t="shared" si="113"/>
        <v>80</v>
      </c>
      <c r="BB63" s="138" t="str">
        <f t="shared" si="113"/>
        <v/>
      </c>
      <c r="BC63" s="138" t="str">
        <f t="shared" si="113"/>
        <v/>
      </c>
      <c r="BD63" s="138" t="str">
        <f t="shared" si="113"/>
        <v/>
      </c>
      <c r="BE63" s="138">
        <f t="shared" si="113"/>
        <v>106</v>
      </c>
      <c r="BF63" s="138" t="str">
        <f t="shared" si="113"/>
        <v/>
      </c>
      <c r="BG63" s="138" t="str">
        <f t="shared" si="113"/>
        <v/>
      </c>
      <c r="BH63" s="138" t="str">
        <f t="shared" si="113"/>
        <v/>
      </c>
      <c r="BI63" s="138">
        <f t="shared" si="113"/>
        <v>50</v>
      </c>
      <c r="BJ63" s="138" t="str">
        <f t="shared" si="113"/>
        <v/>
      </c>
      <c r="BK63" s="138" t="str">
        <f t="shared" si="113"/>
        <v/>
      </c>
      <c r="BL63" s="138" t="str">
        <f t="shared" si="113"/>
        <v/>
      </c>
      <c r="BM63" s="138">
        <f t="shared" si="113"/>
        <v>67</v>
      </c>
      <c r="BN63" s="138" t="str">
        <f t="shared" si="113"/>
        <v/>
      </c>
      <c r="BO63" s="138" t="str">
        <f t="shared" si="113"/>
        <v/>
      </c>
      <c r="BP63" s="138" t="str">
        <f t="shared" si="113"/>
        <v/>
      </c>
      <c r="BQ63" s="138">
        <f t="shared" si="113"/>
        <v>52</v>
      </c>
      <c r="BR63" s="138" t="str">
        <f t="shared" si="112"/>
        <v/>
      </c>
      <c r="BS63" s="138" t="str">
        <f t="shared" si="112"/>
        <v/>
      </c>
      <c r="BT63" s="138" t="str">
        <f t="shared" si="112"/>
        <v/>
      </c>
      <c r="BU63" s="138">
        <f t="shared" si="112"/>
        <v>93</v>
      </c>
      <c r="BV63" s="138" t="str">
        <f t="shared" ref="BV63:CC63" si="114">IF( LEN( BV61 ) = 0, "", ABS( BV61 ) + ABS( BV62 ) )</f>
        <v/>
      </c>
      <c r="BW63" s="138" t="str">
        <f t="shared" si="114"/>
        <v/>
      </c>
      <c r="BX63" s="138" t="str">
        <f t="shared" si="114"/>
        <v/>
      </c>
      <c r="BY63" s="138">
        <f t="shared" si="114"/>
        <v>90</v>
      </c>
      <c r="BZ63" s="138" t="str">
        <f t="shared" si="114"/>
        <v/>
      </c>
      <c r="CA63" s="138" t="str">
        <f t="shared" si="114"/>
        <v/>
      </c>
      <c r="CB63" s="138" t="str">
        <f t="shared" si="114"/>
        <v/>
      </c>
      <c r="CC63" s="138">
        <f t="shared" si="114"/>
        <v>59</v>
      </c>
      <c r="CD63" s="138" t="str">
        <f t="shared" ref="CD63:CG63" ca="1" si="115">IF( LEN( CD61 ) = 0, "", ABS( CD61 ) + ABS( CD62 ) )</f>
        <v/>
      </c>
      <c r="CE63" s="138" t="str">
        <f t="shared" ca="1" si="115"/>
        <v/>
      </c>
      <c r="CF63" s="138" t="str">
        <f t="shared" ca="1" si="115"/>
        <v/>
      </c>
      <c r="CG63" s="138">
        <f t="shared" ca="1" si="115"/>
        <v>52</v>
      </c>
      <c r="CH63" s="138" t="str">
        <f t="shared" ref="CH63:CK63" ca="1" si="116">IF( LEN( CH61 ) = 0, "", ABS( CH61 ) + ABS( CH62 ) )</f>
        <v/>
      </c>
      <c r="CI63" s="138" t="str">
        <f t="shared" ca="1" si="116"/>
        <v/>
      </c>
      <c r="CJ63" s="138" t="str">
        <f t="shared" ca="1" si="116"/>
        <v/>
      </c>
      <c r="CK63" s="138">
        <f t="shared" ca="1" si="116"/>
        <v>8</v>
      </c>
    </row>
    <row r="64" spans="1:89" s="122" customFormat="1" x14ac:dyDescent="0.25">
      <c r="B64" s="123"/>
      <c r="C64" s="123"/>
      <c r="D64" s="123"/>
      <c r="E64" s="123"/>
      <c r="F64" s="123"/>
      <c r="G64" s="123"/>
      <c r="H64" s="123"/>
      <c r="I64" s="123"/>
    </row>
  </sheetData>
  <phoneticPr fontId="3" type="noConversion"/>
  <pageMargins left="0.2" right="0.2" top="0.35" bottom="0.33" header="0.5" footer="0.5"/>
  <pageSetup scale="20" orientation="landscape" r:id="rId1"/>
  <headerFooter alignWithMargins="0"/>
  <ignoredErrors>
    <ignoredError sqref="E42:AR47 AS42:AW47" formulaRange="1"/>
    <ignoredError sqref="AP51:AW51 BQ61:BQ62" 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hidden="1" customWidth="1" outlineLevel="1"/>
    <col min="23" max="23" width="2" style="168" hidden="1" customWidth="1" outlineLevel="1"/>
    <col min="24" max="24" width="4.109375" style="168" customWidth="1" collapsed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15.88671875" style="169" hidden="1" customWidth="1" outlineLevel="1" collapsed="1"/>
    <col min="37" max="38" width="15.88671875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collapsed="1"/>
    <col min="63" max="16384" width="9.109375" style="168"/>
  </cols>
  <sheetData>
    <row r="1" spans="1:61" ht="18" x14ac:dyDescent="0.25">
      <c r="A1" s="238" t="str">
        <f ca="1">"I.  S&amp;P Utility Credit Ratings Distribution -- " &amp; B6</f>
        <v>I.  S&amp;P Utility Credit Ratings Distribution -- 2021 Q1</v>
      </c>
      <c r="G1" s="175" t="s">
        <v>195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 x14ac:dyDescent="0.25">
      <c r="A2" s="167"/>
      <c r="E2" s="171" t="str">
        <f ca="1">G2</f>
        <v>Reg_Percent_2020</v>
      </c>
      <c r="G2" s="172" t="s">
        <v>202</v>
      </c>
      <c r="AJ2" s="173" t="str">
        <f ca="1">AJ4 &amp; AJ3</f>
        <v>'Credit_2020Q4'!d:d</v>
      </c>
      <c r="AK2" s="173" t="str">
        <f ca="1">AK4 &amp; AK3</f>
        <v>'Credit_2020Q4'!b1</v>
      </c>
      <c r="AL2" s="173" t="str">
        <f ca="1">AL4 &amp; AL3</f>
        <v>'Credit_2020Q4'!c1</v>
      </c>
      <c r="AQ2" s="169"/>
    </row>
    <row r="3" spans="1:61" ht="18" hidden="1" outlineLevel="1" x14ac:dyDescent="0.25">
      <c r="A3" s="167"/>
      <c r="E3" s="174" t="str">
        <f ca="1">"'" &amp; E2 &amp; "'!"</f>
        <v>'Reg_Percent_2020'!</v>
      </c>
      <c r="G3" s="168" t="str">
        <f ca="1">"'" &amp; G2 &amp; "'!"</f>
        <v>'Reg_Percent_2020'!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205</v>
      </c>
      <c r="AK3" s="149" t="s">
        <v>206</v>
      </c>
      <c r="AL3" s="149" t="s">
        <v>207</v>
      </c>
      <c r="AQ3" s="169"/>
    </row>
    <row r="4" spans="1:61" ht="18" hidden="1" outlineLevel="1" x14ac:dyDescent="0.25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 ca="1">$AQ$5</f>
        <v>'Credit_2020Q4'!</v>
      </c>
      <c r="AK4" s="169" t="str">
        <f t="shared" ref="AK4:AL4" ca="1" si="0">$AQ$5</f>
        <v>'Credit_2020Q4'!</v>
      </c>
      <c r="AL4" s="169" t="str">
        <f t="shared" ca="1" si="0"/>
        <v>'Credit_2020Q4'!</v>
      </c>
      <c r="AQ4" s="169"/>
    </row>
    <row r="5" spans="1:61" ht="13.8" collapsed="1" x14ac:dyDescent="0.25">
      <c r="E5" s="176" t="s">
        <v>209</v>
      </c>
      <c r="G5" s="170" t="s">
        <v>199</v>
      </c>
      <c r="I5" s="230"/>
      <c r="J5" s="389" t="s">
        <v>210</v>
      </c>
      <c r="K5" s="230"/>
      <c r="L5" s="391" t="str">
        <f ca="1">"All Companies" &amp; CHAR( 10 ) &amp; "("&amp; L14 &amp; ")"</f>
        <v>All Companies
(44)</v>
      </c>
      <c r="M5" s="391"/>
      <c r="N5" s="230"/>
      <c r="O5" s="389" t="str">
        <f ca="1">"Regulated" &amp; CHAR( 10 ) &amp; "(" &amp; O14 &amp; ")"</f>
        <v>Regulated
(35)</v>
      </c>
      <c r="P5" s="393"/>
      <c r="Q5" s="230"/>
      <c r="R5" s="389" t="str">
        <f ca="1">"Mostly Regulated" &amp; CHAR( 10 ) &amp; "(" &amp; R14 &amp; ")"</f>
        <v>Mostly Regulated
(9)</v>
      </c>
      <c r="S5" s="393"/>
      <c r="T5" s="230"/>
      <c r="U5" s="389" t="str">
        <f ca="1">"Diversified" &amp; CHAR( 10 ) &amp; "(" &amp; U14 &amp; ")"</f>
        <v>Diversified
(0)</v>
      </c>
      <c r="V5" s="393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321</v>
      </c>
    </row>
    <row r="6" spans="1:61" ht="28.5" customHeight="1" x14ac:dyDescent="0.25">
      <c r="A6" s="219" t="s">
        <v>212</v>
      </c>
      <c r="B6" s="220" t="s">
        <v>322</v>
      </c>
      <c r="C6" s="249" t="s">
        <v>214</v>
      </c>
      <c r="D6" s="221"/>
      <c r="E6" s="222">
        <f ca="1">INDIRECT( E3 &amp; G1 )</f>
        <v>44196</v>
      </c>
      <c r="I6" s="231"/>
      <c r="J6" s="390"/>
      <c r="K6" s="231"/>
      <c r="L6" s="392"/>
      <c r="M6" s="392"/>
      <c r="N6" s="231"/>
      <c r="O6" s="390"/>
      <c r="P6" s="390"/>
      <c r="Q6" s="231"/>
      <c r="R6" s="390" t="s">
        <v>136</v>
      </c>
      <c r="S6" s="390"/>
      <c r="T6" s="231"/>
      <c r="U6" s="390"/>
      <c r="V6" s="390"/>
      <c r="W6" s="231"/>
      <c r="AE6" s="178"/>
      <c r="AJ6" s="179"/>
    </row>
    <row r="7" spans="1:61" ht="13.8" x14ac:dyDescent="0.25">
      <c r="A7" s="223" t="s">
        <v>215</v>
      </c>
      <c r="B7" s="224" t="s">
        <v>166</v>
      </c>
      <c r="C7" s="224">
        <v>21</v>
      </c>
      <c r="D7" s="224" t="s">
        <v>216</v>
      </c>
      <c r="E7" s="225" t="str">
        <f ca="1">IF( LEN( $G7 ) = 0, "", OFFSET( INDIRECT( E$3 &amp; E$4 ), $G7 - 1, 0 ) )</f>
        <v>MR</v>
      </c>
      <c r="F7" s="348"/>
      <c r="G7" s="349">
        <f t="shared" ref="G7:G62" ca="1" si="1">IF( LEN( $D7 ) = 0, "", MATCH( $D7, INDIRECT( G$3 &amp; G$4 ), 0 ) )</f>
        <v>56</v>
      </c>
      <c r="H7" s="350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ca="1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217</v>
      </c>
      <c r="AR7" s="207" t="s">
        <v>141</v>
      </c>
      <c r="AS7" s="207">
        <v>18</v>
      </c>
      <c r="AT7" s="207" t="s">
        <v>218</v>
      </c>
      <c r="AV7" s="168">
        <f t="shared" ref="AV7:AV63" ca="1" si="5">IF( LEN( AS7 ) = 0, 99, RANK( AS7, $AS$7:$AS$62 ) )</f>
        <v>30</v>
      </c>
      <c r="AW7" s="168">
        <f ca="1">COUNTIF( AV7:AV$7, AV7 )</f>
        <v>1</v>
      </c>
      <c r="AX7" s="208">
        <f ca="1">AV7 + AW7 / 10</f>
        <v>30.1</v>
      </c>
      <c r="AY7" s="168">
        <f t="shared" ref="AY7:AY63" ca="1" si="6">RANK( AX7, $AX$7:$AX$63, 1 )</f>
        <v>30</v>
      </c>
      <c r="AZ7" s="169"/>
      <c r="BA7" s="169"/>
      <c r="BC7" s="168">
        <f t="shared" ref="BC7" ca="1" si="7">OFFSET( BC7, -1, 0 ) + 1</f>
        <v>1</v>
      </c>
      <c r="BD7" s="209">
        <f t="shared" ref="BD7:BD63" ca="1" si="8">MATCH( BC7, $AY$7:$AY$63, 0 )</f>
        <v>7</v>
      </c>
      <c r="BF7" s="173" t="str">
        <f ca="1">OFFSET( AQ$6, $BD7, 0 )</f>
        <v>Berkshire Energy Holdings Company</v>
      </c>
      <c r="BG7" s="173" t="str">
        <f ca="1">OFFSET( AR$6, $BD7, 0 )</f>
        <v>A</v>
      </c>
      <c r="BH7" s="173">
        <f ca="1">OFFSET( AS$6, $BD7, 0 )</f>
        <v>21</v>
      </c>
      <c r="BI7" s="173" t="str">
        <f ca="1">OFFSET( AT$6, $BD7, 0 )</f>
        <v>**BRK</v>
      </c>
    </row>
    <row r="8" spans="1:61" ht="13.8" x14ac:dyDescent="0.25">
      <c r="A8" s="223" t="s">
        <v>219</v>
      </c>
      <c r="B8" s="224" t="s">
        <v>139</v>
      </c>
      <c r="C8" s="224">
        <v>20</v>
      </c>
      <c r="D8" s="224" t="s">
        <v>220</v>
      </c>
      <c r="E8" s="225" t="str">
        <f t="shared" ref="E8:E61" ca="1" si="9">IF( LEN( $G8 ) = 0, "", OFFSET( INDIRECT( E$3 &amp; E$4 ), $G8 - 1, 0 ) )</f>
        <v>R</v>
      </c>
      <c r="F8" s="348"/>
      <c r="G8" s="349">
        <f t="shared" ca="1" si="1"/>
        <v>8</v>
      </c>
      <c r="H8" s="350"/>
      <c r="I8" s="233"/>
      <c r="J8" s="213" t="s">
        <v>137</v>
      </c>
      <c r="K8" s="233"/>
      <c r="L8" s="213">
        <f t="shared" ref="L8:L13" ca="1" si="10">COUNTIF($C$7:$C$67,$X8)</f>
        <v>2</v>
      </c>
      <c r="M8" s="214">
        <f t="shared" ref="M8:M13" ca="1" si="11">IF( L8 = 0, "", L8/L$14 )</f>
        <v>4.5454545454545456E-2</v>
      </c>
      <c r="N8" s="233"/>
      <c r="O8" s="213">
        <f t="shared" ref="O8:O13" ca="1" si="12">COUNTIFS( $E$7:$E$66, O$3, $C$7:$C$66, $X8 )</f>
        <v>1</v>
      </c>
      <c r="P8" s="214">
        <f t="shared" ref="P8:P13" ca="1" si="13">IF( O8 = 0, "", O8/O$14 )</f>
        <v>2.8571428571428571E-2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0.1111111111111111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8">SUM(O8, R8, U8)</f>
        <v>2</v>
      </c>
      <c r="AC8" s="351"/>
      <c r="AE8" s="184"/>
      <c r="AF8" s="169">
        <f t="shared" ca="1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ref="AJ8:AJ67" ca="1" si="20">MATCH( $D8, INDIRECT( AJ$2 ), 0 )</f>
        <v>8</v>
      </c>
      <c r="AK8" s="169" t="str">
        <f t="shared" ref="AK8:AL67" ca="1" si="21">IF( ISNA( $AJ8 ), "", OFFSET( INDIRECT( AK$2 ), $AJ8-1, 0 ) )</f>
        <v>A-</v>
      </c>
      <c r="AL8" s="169">
        <f t="shared" ca="1" si="21"/>
        <v>20</v>
      </c>
      <c r="AM8" s="169" t="str">
        <f t="shared" ca="1" si="4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ca="1" si="5"/>
        <v>2</v>
      </c>
      <c r="AW8" s="168">
        <f ca="1">COUNTIF( AV$7:AV8, AV8 )</f>
        <v>1</v>
      </c>
      <c r="AX8" s="208">
        <f t="shared" ref="AX8:AX63" ca="1" si="22">AV8 + AW8 / 10</f>
        <v>2.1</v>
      </c>
      <c r="AY8" s="168">
        <f t="shared" ca="1" si="6"/>
        <v>2</v>
      </c>
      <c r="AZ8" s="169"/>
      <c r="BA8" s="169"/>
      <c r="BC8" s="168">
        <f ca="1">OFFSET( BC8, -1, 0 ) + 1</f>
        <v>2</v>
      </c>
      <c r="BD8" s="209">
        <f t="shared" ca="1" si="8"/>
        <v>2</v>
      </c>
      <c r="BF8" s="173" t="str">
        <f t="shared" ref="BF8:BI50" ca="1" si="23">OFFSET( AQ$6, $BD8, 0 )</f>
        <v>Alliant Energy Corporation</v>
      </c>
      <c r="BG8" s="173" t="str">
        <f t="shared" ca="1" si="23"/>
        <v>A-</v>
      </c>
      <c r="BH8" s="173">
        <f t="shared" ca="1" si="23"/>
        <v>20</v>
      </c>
      <c r="BI8" s="173" t="str">
        <f t="shared" ca="1" si="23"/>
        <v>LNT</v>
      </c>
    </row>
    <row r="9" spans="1:61" ht="13.8" x14ac:dyDescent="0.25">
      <c r="A9" s="223" t="s">
        <v>222</v>
      </c>
      <c r="B9" s="224" t="s">
        <v>139</v>
      </c>
      <c r="C9" s="224">
        <v>20</v>
      </c>
      <c r="D9" s="224" t="s">
        <v>223</v>
      </c>
      <c r="E9" s="225" t="str">
        <f t="shared" ca="1" si="9"/>
        <v>R</v>
      </c>
      <c r="F9" s="348"/>
      <c r="G9" s="349">
        <f t="shared" ca="1" si="1"/>
        <v>10</v>
      </c>
      <c r="H9" s="350"/>
      <c r="I9" s="234"/>
      <c r="J9" s="215" t="s">
        <v>139</v>
      </c>
      <c r="K9" s="234"/>
      <c r="L9" s="215">
        <f t="shared" ca="1" si="10"/>
        <v>11</v>
      </c>
      <c r="M9" s="216">
        <f t="shared" ca="1" si="11"/>
        <v>0.25</v>
      </c>
      <c r="N9" s="234"/>
      <c r="O9" s="215">
        <f t="shared" ca="1" si="12"/>
        <v>10</v>
      </c>
      <c r="P9" s="216">
        <f t="shared" ca="1" si="13"/>
        <v>0.2857142857142857</v>
      </c>
      <c r="Q9" s="234"/>
      <c r="R9" s="215">
        <f t="shared" ca="1" si="14"/>
        <v>1</v>
      </c>
      <c r="S9" s="216">
        <f t="shared" ca="1" si="15"/>
        <v>0.1111111111111111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8"/>
        <v>11</v>
      </c>
      <c r="AC9" s="351"/>
      <c r="AE9" s="184"/>
      <c r="AF9" s="169">
        <f t="shared" ca="1" si="2"/>
        <v>0</v>
      </c>
      <c r="AG9" s="169" t="str">
        <f t="shared" ca="1" si="3"/>
        <v/>
      </c>
      <c r="AH9" s="169" t="str">
        <f t="shared" ca="1" si="19"/>
        <v/>
      </c>
      <c r="AJ9" s="169">
        <f t="shared" ca="1" si="20"/>
        <v>9</v>
      </c>
      <c r="AK9" s="169" t="str">
        <f t="shared" ca="1" si="21"/>
        <v>A-</v>
      </c>
      <c r="AL9" s="169">
        <f t="shared" ca="1" si="21"/>
        <v>20</v>
      </c>
      <c r="AM9" s="169" t="str">
        <f t="shared" ca="1" si="4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ca="1" si="5"/>
        <v>13</v>
      </c>
      <c r="AW9" s="168">
        <f ca="1">COUNTIF( AV$7:AV9, AV9 )</f>
        <v>1</v>
      </c>
      <c r="AX9" s="208">
        <f t="shared" ca="1" si="22"/>
        <v>13.1</v>
      </c>
      <c r="AY9" s="168">
        <f t="shared" ca="1" si="6"/>
        <v>13</v>
      </c>
      <c r="AZ9" s="169"/>
      <c r="BA9" s="169"/>
      <c r="BC9" s="168">
        <f t="shared" ref="BC9:BC63" ca="1" si="24">OFFSET( BC9, -1, 0 ) + 1</f>
        <v>3</v>
      </c>
      <c r="BD9" s="209">
        <f t="shared" ca="1" si="8"/>
        <v>4</v>
      </c>
      <c r="BF9" s="173" t="str">
        <f t="shared" ca="1" si="23"/>
        <v>American Electric Power Company, Inc.</v>
      </c>
      <c r="BG9" s="173" t="str">
        <f t="shared" ca="1" si="23"/>
        <v>A-</v>
      </c>
      <c r="BH9" s="173">
        <f t="shared" ca="1" si="23"/>
        <v>20</v>
      </c>
      <c r="BI9" s="173" t="str">
        <f t="shared" ca="1" si="23"/>
        <v>AEP</v>
      </c>
    </row>
    <row r="10" spans="1:61" ht="13.8" x14ac:dyDescent="0.25">
      <c r="A10" s="223" t="s">
        <v>227</v>
      </c>
      <c r="B10" s="224" t="s">
        <v>139</v>
      </c>
      <c r="C10" s="224">
        <v>20</v>
      </c>
      <c r="D10" s="224" t="s">
        <v>228</v>
      </c>
      <c r="E10" s="225" t="str">
        <f t="shared" ca="1" si="9"/>
        <v>R</v>
      </c>
      <c r="F10" s="348"/>
      <c r="G10" s="349">
        <f t="shared" ca="1" si="1"/>
        <v>16</v>
      </c>
      <c r="H10" s="350"/>
      <c r="I10" s="234"/>
      <c r="J10" s="215" t="s">
        <v>140</v>
      </c>
      <c r="K10" s="234"/>
      <c r="L10" s="215">
        <f t="shared" ca="1" si="10"/>
        <v>17</v>
      </c>
      <c r="M10" s="216">
        <f t="shared" ca="1" si="11"/>
        <v>0.38636363636363635</v>
      </c>
      <c r="N10" s="234"/>
      <c r="O10" s="215">
        <f t="shared" ca="1" si="12"/>
        <v>12</v>
      </c>
      <c r="P10" s="216">
        <f t="shared" ca="1" si="13"/>
        <v>0.34285714285714286</v>
      </c>
      <c r="Q10" s="234"/>
      <c r="R10" s="215">
        <f t="shared" ca="1" si="14"/>
        <v>5</v>
      </c>
      <c r="S10" s="216">
        <f t="shared" ca="1" si="15"/>
        <v>0.55555555555555558</v>
      </c>
      <c r="T10" s="234"/>
      <c r="U10" s="215">
        <f t="shared" ca="1" si="16"/>
        <v>0</v>
      </c>
      <c r="V10" s="216" t="str">
        <f t="shared" ca="1" si="17"/>
        <v/>
      </c>
      <c r="W10" s="234"/>
      <c r="X10" s="186" t="s">
        <v>229</v>
      </c>
      <c r="Y10" s="186">
        <v>19</v>
      </c>
      <c r="Z10" s="186">
        <v>1</v>
      </c>
      <c r="AA10" s="185">
        <f t="shared" ca="1" si="18"/>
        <v>17</v>
      </c>
      <c r="AE10" s="184"/>
      <c r="AF10" s="169">
        <f t="shared" ca="1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20"/>
        <v>10</v>
      </c>
      <c r="AK10" s="169" t="str">
        <f t="shared" ca="1" si="21"/>
        <v>A-</v>
      </c>
      <c r="AL10" s="169">
        <f t="shared" ca="1" si="21"/>
        <v>20</v>
      </c>
      <c r="AM10" s="169" t="str">
        <f t="shared" ca="1" si="4"/>
        <v/>
      </c>
      <c r="AQ10" s="207" t="s">
        <v>222</v>
      </c>
      <c r="AR10" s="207" t="s">
        <v>139</v>
      </c>
      <c r="AS10" s="207">
        <v>20</v>
      </c>
      <c r="AT10" s="207" t="s">
        <v>223</v>
      </c>
      <c r="AV10" s="168">
        <f t="shared" ca="1" si="5"/>
        <v>2</v>
      </c>
      <c r="AW10" s="168">
        <f ca="1">COUNTIF( AV$7:AV10, AV10 )</f>
        <v>2</v>
      </c>
      <c r="AX10" s="208">
        <f t="shared" ca="1" si="22"/>
        <v>2.2000000000000002</v>
      </c>
      <c r="AY10" s="168">
        <f t="shared" ca="1" si="6"/>
        <v>3</v>
      </c>
      <c r="AZ10" s="169"/>
      <c r="BA10" s="169"/>
      <c r="BC10" s="168">
        <f t="shared" ca="1" si="24"/>
        <v>4</v>
      </c>
      <c r="BD10" s="209">
        <f t="shared" ca="1" si="8"/>
        <v>12</v>
      </c>
      <c r="BF10" s="173" t="str">
        <f t="shared" ca="1" si="23"/>
        <v>Consolidated Edison, Inc.</v>
      </c>
      <c r="BG10" s="173" t="str">
        <f t="shared" ca="1" si="23"/>
        <v>A-</v>
      </c>
      <c r="BH10" s="173">
        <f t="shared" ca="1" si="23"/>
        <v>20</v>
      </c>
      <c r="BI10" s="173" t="str">
        <f t="shared" ca="1" si="23"/>
        <v>ED</v>
      </c>
    </row>
    <row r="11" spans="1:61" ht="13.8" x14ac:dyDescent="0.25">
      <c r="A11" s="223" t="s">
        <v>230</v>
      </c>
      <c r="B11" s="224" t="s">
        <v>139</v>
      </c>
      <c r="C11" s="224">
        <v>20</v>
      </c>
      <c r="D11" s="224" t="s">
        <v>231</v>
      </c>
      <c r="E11" s="225" t="str">
        <f t="shared" ca="1" si="9"/>
        <v>R</v>
      </c>
      <c r="F11" s="348"/>
      <c r="G11" s="349">
        <f t="shared" ca="1" si="1"/>
        <v>22</v>
      </c>
      <c r="H11" s="350"/>
      <c r="I11" s="234"/>
      <c r="J11" s="215" t="s">
        <v>141</v>
      </c>
      <c r="K11" s="234"/>
      <c r="L11" s="215">
        <f t="shared" ca="1" si="10"/>
        <v>8</v>
      </c>
      <c r="M11" s="216">
        <f t="shared" ca="1" si="11"/>
        <v>0.18181818181818182</v>
      </c>
      <c r="N11" s="234"/>
      <c r="O11" s="215">
        <f t="shared" ca="1" si="12"/>
        <v>7</v>
      </c>
      <c r="P11" s="216">
        <f t="shared" ca="1" si="13"/>
        <v>0.2</v>
      </c>
      <c r="Q11" s="234"/>
      <c r="R11" s="215">
        <f t="shared" ca="1" si="14"/>
        <v>1</v>
      </c>
      <c r="S11" s="216">
        <f t="shared" ca="1" si="15"/>
        <v>0.1111111111111111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8"/>
        <v>8</v>
      </c>
      <c r="AE11" s="184"/>
      <c r="AF11" s="169">
        <f t="shared" ca="1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20"/>
        <v>12</v>
      </c>
      <c r="AK11" s="169" t="str">
        <f t="shared" ca="1" si="21"/>
        <v>A-</v>
      </c>
      <c r="AL11" s="169">
        <f t="shared" ca="1" si="21"/>
        <v>20</v>
      </c>
      <c r="AM11" s="169" t="str">
        <f t="shared" ca="1" si="4"/>
        <v/>
      </c>
      <c r="AQ11" s="207" t="s">
        <v>233</v>
      </c>
      <c r="AR11" s="207" t="s">
        <v>140</v>
      </c>
      <c r="AS11" s="207">
        <v>19</v>
      </c>
      <c r="AT11" s="207" t="s">
        <v>234</v>
      </c>
      <c r="AV11" s="168">
        <f t="shared" ca="1" si="5"/>
        <v>13</v>
      </c>
      <c r="AW11" s="168">
        <f ca="1">COUNTIF( AV$7:AV11, AV11 )</f>
        <v>2</v>
      </c>
      <c r="AX11" s="208">
        <f t="shared" ca="1" si="22"/>
        <v>13.2</v>
      </c>
      <c r="AY11" s="168">
        <f t="shared" ca="1" si="6"/>
        <v>14</v>
      </c>
      <c r="AZ11" s="169"/>
      <c r="BA11" s="169"/>
      <c r="BC11" s="168">
        <f t="shared" ca="1" si="24"/>
        <v>5</v>
      </c>
      <c r="BD11" s="209">
        <f t="shared" ca="1" si="8"/>
        <v>19</v>
      </c>
      <c r="BF11" s="173" t="str">
        <f t="shared" ca="1" si="23"/>
        <v>Evergy, Inc.</v>
      </c>
      <c r="BG11" s="173" t="str">
        <f t="shared" ca="1" si="23"/>
        <v>A-</v>
      </c>
      <c r="BH11" s="173">
        <f t="shared" ca="1" si="23"/>
        <v>20</v>
      </c>
      <c r="BI11" s="173" t="str">
        <f t="shared" ca="1" si="23"/>
        <v>EVRG</v>
      </c>
    </row>
    <row r="12" spans="1:61" ht="13.8" x14ac:dyDescent="0.25">
      <c r="A12" s="223" t="s">
        <v>235</v>
      </c>
      <c r="B12" s="224" t="s">
        <v>139</v>
      </c>
      <c r="C12" s="224">
        <v>20</v>
      </c>
      <c r="D12" s="224" t="s">
        <v>236</v>
      </c>
      <c r="E12" s="225" t="str">
        <f t="shared" ca="1" si="9"/>
        <v>R</v>
      </c>
      <c r="F12" s="348"/>
      <c r="G12" s="349">
        <f t="shared" ca="1" si="1"/>
        <v>23</v>
      </c>
      <c r="H12" s="350"/>
      <c r="I12" s="234"/>
      <c r="J12" s="215" t="s">
        <v>142</v>
      </c>
      <c r="K12" s="234"/>
      <c r="L12" s="215">
        <f t="shared" ca="1" si="10"/>
        <v>3</v>
      </c>
      <c r="M12" s="216">
        <f t="shared" ca="1" si="11"/>
        <v>6.8181818181818177E-2</v>
      </c>
      <c r="N12" s="234"/>
      <c r="O12" s="215">
        <f t="shared" ca="1" si="12"/>
        <v>2</v>
      </c>
      <c r="P12" s="216">
        <f t="shared" ca="1" si="13"/>
        <v>5.7142857142857141E-2</v>
      </c>
      <c r="Q12" s="234"/>
      <c r="R12" s="215">
        <f t="shared" ca="1" si="14"/>
        <v>1</v>
      </c>
      <c r="S12" s="216">
        <f t="shared" ca="1" si="15"/>
        <v>0.1111111111111111</v>
      </c>
      <c r="T12" s="234"/>
      <c r="U12" s="215">
        <f t="shared" ca="1" si="16"/>
        <v>0</v>
      </c>
      <c r="V12" s="216" t="str">
        <f t="shared" ca="1" si="17"/>
        <v/>
      </c>
      <c r="W12" s="234"/>
      <c r="X12" s="186" t="s">
        <v>237</v>
      </c>
      <c r="Y12" s="186">
        <v>17</v>
      </c>
      <c r="Z12" s="186">
        <v>1</v>
      </c>
      <c r="AA12" s="185">
        <f t="shared" ca="1" si="18"/>
        <v>3</v>
      </c>
      <c r="AE12" s="184"/>
      <c r="AF12" s="169">
        <f t="shared" ca="1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20"/>
        <v>13</v>
      </c>
      <c r="AK12" s="169" t="str">
        <f t="shared" ca="1" si="21"/>
        <v>A-</v>
      </c>
      <c r="AL12" s="169">
        <f t="shared" ca="1" si="21"/>
        <v>20</v>
      </c>
      <c r="AM12" s="169" t="str">
        <f t="shared" ca="1" si="4"/>
        <v/>
      </c>
      <c r="AQ12" s="207" t="s">
        <v>238</v>
      </c>
      <c r="AR12" s="207" t="s">
        <v>141</v>
      </c>
      <c r="AS12" s="207">
        <v>18</v>
      </c>
      <c r="AT12" s="207" t="s">
        <v>239</v>
      </c>
      <c r="AV12" s="168">
        <f t="shared" ca="1" si="5"/>
        <v>30</v>
      </c>
      <c r="AW12" s="168">
        <f ca="1">COUNTIF( AV$7:AV12, AV12 )</f>
        <v>2</v>
      </c>
      <c r="AX12" s="208">
        <f t="shared" ca="1" si="22"/>
        <v>30.2</v>
      </c>
      <c r="AY12" s="168">
        <f t="shared" ca="1" si="6"/>
        <v>31</v>
      </c>
      <c r="AZ12" s="169"/>
      <c r="BA12" s="169"/>
      <c r="BC12" s="168">
        <f t="shared" ca="1" si="24"/>
        <v>6</v>
      </c>
      <c r="BD12" s="209">
        <f t="shared" ca="1" si="8"/>
        <v>20</v>
      </c>
      <c r="BF12" s="173" t="str">
        <f t="shared" ca="1" si="23"/>
        <v>Eversource Energy</v>
      </c>
      <c r="BG12" s="173" t="str">
        <f t="shared" ca="1" si="23"/>
        <v>A-</v>
      </c>
      <c r="BH12" s="173">
        <f t="shared" ca="1" si="23"/>
        <v>20</v>
      </c>
      <c r="BI12" s="173" t="str">
        <f t="shared" ca="1" si="23"/>
        <v>ES</v>
      </c>
    </row>
    <row r="13" spans="1:61" ht="13.8" x14ac:dyDescent="0.25">
      <c r="A13" s="223" t="s">
        <v>240</v>
      </c>
      <c r="B13" s="224" t="s">
        <v>139</v>
      </c>
      <c r="C13" s="224">
        <v>20</v>
      </c>
      <c r="D13" s="224" t="s">
        <v>241</v>
      </c>
      <c r="E13" s="225" t="str">
        <f t="shared" ca="1" si="9"/>
        <v>MR</v>
      </c>
      <c r="F13" s="348"/>
      <c r="G13" s="349">
        <f t="shared" ca="1" si="1"/>
        <v>30</v>
      </c>
      <c r="H13" s="350"/>
      <c r="I13" s="235"/>
      <c r="J13" s="217" t="s">
        <v>143</v>
      </c>
      <c r="K13" s="235"/>
      <c r="L13" s="217">
        <f t="shared" ca="1" si="10"/>
        <v>3</v>
      </c>
      <c r="M13" s="218">
        <f t="shared" ca="1" si="11"/>
        <v>6.8181818181818177E-2</v>
      </c>
      <c r="N13" s="235"/>
      <c r="O13" s="217">
        <f t="shared" ca="1" si="12"/>
        <v>3</v>
      </c>
      <c r="P13" s="218">
        <f t="shared" ca="1" si="13"/>
        <v>8.5714285714285715E-2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0</v>
      </c>
      <c r="V13" s="218" t="str">
        <f t="shared" ca="1" si="17"/>
        <v/>
      </c>
      <c r="W13" s="235"/>
      <c r="X13" s="186" t="s">
        <v>242</v>
      </c>
      <c r="Y13" s="186">
        <v>16</v>
      </c>
      <c r="Z13" s="186">
        <v>1</v>
      </c>
      <c r="AA13" s="188">
        <f t="shared" ca="1" si="18"/>
        <v>3</v>
      </c>
      <c r="AE13" s="184"/>
      <c r="AF13" s="169">
        <f t="shared" ca="1" si="2"/>
        <v>0</v>
      </c>
      <c r="AG13" s="169" t="str">
        <f t="shared" ca="1" si="3"/>
        <v/>
      </c>
      <c r="AH13" s="169" t="str">
        <f t="shared" ca="1" si="19"/>
        <v/>
      </c>
      <c r="AJ13" s="169">
        <f t="shared" ca="1" si="20"/>
        <v>14</v>
      </c>
      <c r="AK13" s="169" t="str">
        <f t="shared" ca="1" si="21"/>
        <v>A-</v>
      </c>
      <c r="AL13" s="169">
        <f t="shared" ca="1" si="21"/>
        <v>20</v>
      </c>
      <c r="AM13" s="169" t="str">
        <f t="shared" ca="1" si="4"/>
        <v/>
      </c>
      <c r="AQ13" s="207" t="s">
        <v>215</v>
      </c>
      <c r="AR13" s="207" t="s">
        <v>166</v>
      </c>
      <c r="AS13" s="207">
        <v>21</v>
      </c>
      <c r="AT13" s="207" t="s">
        <v>216</v>
      </c>
      <c r="AV13" s="168">
        <f t="shared" ca="1" si="5"/>
        <v>1</v>
      </c>
      <c r="AW13" s="168">
        <f ca="1">COUNTIF( AV$7:AV13, AV13 )</f>
        <v>1</v>
      </c>
      <c r="AX13" s="208">
        <f t="shared" ca="1" si="22"/>
        <v>1.1000000000000001</v>
      </c>
      <c r="AY13" s="168">
        <f t="shared" ca="1" si="6"/>
        <v>1</v>
      </c>
      <c r="AZ13" s="169"/>
      <c r="BA13" s="169"/>
      <c r="BC13" s="168">
        <f t="shared" ca="1" si="24"/>
        <v>7</v>
      </c>
      <c r="BD13" s="209">
        <f t="shared" ca="1" si="8"/>
        <v>27</v>
      </c>
      <c r="BF13" s="173" t="str">
        <f t="shared" ca="1" si="23"/>
        <v>NextEra Energy, Inc.</v>
      </c>
      <c r="BG13" s="173" t="str">
        <f t="shared" ca="1" si="23"/>
        <v>A-</v>
      </c>
      <c r="BH13" s="173">
        <f t="shared" ca="1" si="23"/>
        <v>20</v>
      </c>
      <c r="BI13" s="173" t="str">
        <f t="shared" ca="1" si="23"/>
        <v>NEE</v>
      </c>
    </row>
    <row r="14" spans="1:61" ht="13.8" x14ac:dyDescent="0.25">
      <c r="A14" s="223" t="s">
        <v>281</v>
      </c>
      <c r="B14" s="224" t="s">
        <v>139</v>
      </c>
      <c r="C14" s="224">
        <v>20</v>
      </c>
      <c r="D14" s="224" t="s">
        <v>282</v>
      </c>
      <c r="E14" s="225" t="str">
        <f t="shared" ca="1" si="9"/>
        <v>R</v>
      </c>
      <c r="F14" s="348"/>
      <c r="G14" s="349">
        <f t="shared" ca="1" si="1"/>
        <v>36</v>
      </c>
      <c r="H14" s="350"/>
      <c r="I14" s="236"/>
      <c r="J14" s="211" t="s">
        <v>144</v>
      </c>
      <c r="K14" s="236"/>
      <c r="L14" s="211">
        <f ca="1">SUM(L8:L13)</f>
        <v>44</v>
      </c>
      <c r="M14" s="212">
        <f ca="1"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9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 ca="1">SUMPRODUCT( L8:L13, Y8:Y13 ) / L14</f>
        <v>18.818181818181817</v>
      </c>
      <c r="Z14" s="190"/>
      <c r="AA14" s="189">
        <f ca="1">SUM(AA8:AA13)</f>
        <v>44</v>
      </c>
      <c r="AE14" s="184"/>
      <c r="AF14" s="169">
        <f t="shared" ca="1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20"/>
        <v>15</v>
      </c>
      <c r="AK14" s="169" t="str">
        <f t="shared" ca="1" si="21"/>
        <v>A-</v>
      </c>
      <c r="AL14" s="169">
        <f t="shared" ca="1" si="21"/>
        <v>20</v>
      </c>
      <c r="AM14" s="169" t="str">
        <f t="shared" ca="1" si="4"/>
        <v/>
      </c>
      <c r="AQ14" s="207" t="s">
        <v>245</v>
      </c>
      <c r="AR14" s="207" t="s">
        <v>140</v>
      </c>
      <c r="AS14" s="207">
        <v>19</v>
      </c>
      <c r="AT14" s="207" t="s">
        <v>246</v>
      </c>
      <c r="AV14" s="168">
        <f t="shared" ca="1" si="5"/>
        <v>13</v>
      </c>
      <c r="AW14" s="168">
        <f ca="1">COUNTIF( AV$7:AV14, AV14 )</f>
        <v>3</v>
      </c>
      <c r="AX14" s="208">
        <f t="shared" ca="1" si="22"/>
        <v>13.3</v>
      </c>
      <c r="AY14" s="168">
        <f t="shared" ca="1" si="6"/>
        <v>15</v>
      </c>
      <c r="AZ14" s="169"/>
      <c r="BA14" s="169"/>
      <c r="BC14" s="168">
        <f t="shared" ca="1" si="24"/>
        <v>8</v>
      </c>
      <c r="BD14" s="209">
        <f t="shared" ca="1" si="8"/>
        <v>33</v>
      </c>
      <c r="BF14" s="173" t="str">
        <f t="shared" ca="1" si="23"/>
        <v>Pinnacle West Capital Corporation</v>
      </c>
      <c r="BG14" s="173" t="str">
        <f t="shared" ca="1" si="23"/>
        <v>A-</v>
      </c>
      <c r="BH14" s="173">
        <f t="shared" ca="1" si="23"/>
        <v>20</v>
      </c>
      <c r="BI14" s="173" t="str">
        <f t="shared" ca="1" si="23"/>
        <v>PNW</v>
      </c>
    </row>
    <row r="15" spans="1:61" ht="13.8" x14ac:dyDescent="0.25">
      <c r="A15" s="223" t="s">
        <v>243</v>
      </c>
      <c r="B15" s="224" t="s">
        <v>139</v>
      </c>
      <c r="C15" s="224">
        <v>20</v>
      </c>
      <c r="D15" s="224" t="s">
        <v>244</v>
      </c>
      <c r="E15" s="225" t="str">
        <f t="shared" ca="1" si="9"/>
        <v>R</v>
      </c>
      <c r="F15" s="348"/>
      <c r="G15" s="349">
        <f t="shared" ca="1" si="1"/>
        <v>39</v>
      </c>
      <c r="H15" s="350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ca="1" si="2"/>
        <v>0</v>
      </c>
      <c r="AG15" s="169" t="str">
        <f t="shared" ca="1" si="3"/>
        <v/>
      </c>
      <c r="AH15" s="169" t="str">
        <f t="shared" ca="1" si="19"/>
        <v/>
      </c>
      <c r="AJ15" s="169">
        <f t="shared" ca="1" si="20"/>
        <v>16</v>
      </c>
      <c r="AK15" s="169" t="str">
        <f t="shared" ca="1" si="21"/>
        <v>A-</v>
      </c>
      <c r="AL15" s="169">
        <f t="shared" ca="1" si="21"/>
        <v>20</v>
      </c>
      <c r="AM15" s="169" t="str">
        <f t="shared" ca="1" si="4"/>
        <v/>
      </c>
      <c r="AQ15" s="207" t="s">
        <v>249</v>
      </c>
      <c r="AR15" s="207" t="s">
        <v>140</v>
      </c>
      <c r="AS15" s="207">
        <v>19</v>
      </c>
      <c r="AT15" s="207" t="s">
        <v>250</v>
      </c>
      <c r="AV15" s="168">
        <f t="shared" ca="1" si="5"/>
        <v>13</v>
      </c>
      <c r="AW15" s="168">
        <f ca="1">COUNTIF( AV$7:AV15, AV15 )</f>
        <v>4</v>
      </c>
      <c r="AX15" s="208">
        <f t="shared" ca="1" si="22"/>
        <v>13.4</v>
      </c>
      <c r="AY15" s="168">
        <f t="shared" ca="1" si="6"/>
        <v>16</v>
      </c>
      <c r="AZ15" s="169"/>
      <c r="BA15" s="169"/>
      <c r="BC15" s="168">
        <f t="shared" ca="1" si="24"/>
        <v>9</v>
      </c>
      <c r="BD15" s="209">
        <f t="shared" ca="1" si="8"/>
        <v>36</v>
      </c>
      <c r="BF15" s="173" t="str">
        <f t="shared" ca="1" si="23"/>
        <v>PPL Corporation</v>
      </c>
      <c r="BG15" s="173" t="str">
        <f t="shared" ca="1" si="23"/>
        <v>A-</v>
      </c>
      <c r="BH15" s="173">
        <f t="shared" ca="1" si="23"/>
        <v>20</v>
      </c>
      <c r="BI15" s="173" t="str">
        <f t="shared" ca="1" si="23"/>
        <v>PPL</v>
      </c>
    </row>
    <row r="16" spans="1:61" ht="13.8" x14ac:dyDescent="0.25">
      <c r="A16" s="223" t="s">
        <v>293</v>
      </c>
      <c r="B16" s="224" t="s">
        <v>139</v>
      </c>
      <c r="C16" s="224">
        <v>20</v>
      </c>
      <c r="D16" s="224" t="s">
        <v>294</v>
      </c>
      <c r="E16" s="225" t="str">
        <f t="shared" ca="1" si="9"/>
        <v>R</v>
      </c>
      <c r="F16" s="348"/>
      <c r="G16" s="349">
        <f t="shared" ca="1" si="1"/>
        <v>42</v>
      </c>
      <c r="H16" s="350"/>
      <c r="I16" s="232"/>
      <c r="J16" s="210" t="s">
        <v>253</v>
      </c>
      <c r="K16" s="232"/>
      <c r="L16" s="386">
        <f t="array" aca="1" ref="L16" ca="1">SUM( IF( LEN( $C$7:$C$65 ) = 0, 0, $C$7:$C$65 ) ) / SUM( IF( LEN( $C$7:$C$65 ) = 0, 0, 1  ) )</f>
        <v>18.795454545454547</v>
      </c>
      <c r="M16" s="387"/>
      <c r="N16" s="232"/>
      <c r="O16" s="386">
        <f t="array" aca="1" ref="O16" ca="1">SUM( IF( LEN( $C$7:$C$65 ) = 0, 0, IF( $E$7:$E$65 = O3, $C$7:$C$65, 0 ) ) ) / SUM( IF( LEN( $C$7:$C$65 ) = 0, 0, IF( $E$7:$E$65 = O3, 1, 0 ) ) )</f>
        <v>18.742857142857144</v>
      </c>
      <c r="P16" s="387"/>
      <c r="Q16" s="232"/>
      <c r="R16" s="386">
        <f t="array" aca="1" ref="R16" ca="1">SUM( IF( LEN( $C$7:$C$65 ) = 0, 0, IF( $E$7:$E$65 = R3, $C$7:$C$65, 0 ) ) ) / SUM( IF( LEN( $C$7:$C$65 ) = 0, 0, IF( $E$7:$E$65 = R3, 1, 0 ) ) )</f>
        <v>19</v>
      </c>
      <c r="S16" s="387"/>
      <c r="T16" s="232"/>
      <c r="U16" s="386" t="e">
        <f t="array" aca="1" ref="U16" ca="1">SUM( IF( LEN( $C$7:$C$65 ) = 0, 0, IF( $E$7:$E$65 = U3, $C$7:$C$65, 0 ) ) ) / SUM( IF( LEN( $C$7:$C$65 ) = 0, 0, IF( $E$7:$E$65 = U3, 1, 0 ) ) )</f>
        <v>#DIV/0!</v>
      </c>
      <c r="V16" s="388"/>
      <c r="W16" s="232"/>
      <c r="AE16" s="184"/>
      <c r="AF16" s="169">
        <f t="shared" ca="1" si="2"/>
        <v>0</v>
      </c>
      <c r="AG16" s="169" t="str">
        <f t="shared" ca="1" si="3"/>
        <v/>
      </c>
      <c r="AH16" s="169" t="str">
        <f t="shared" ca="1" si="19"/>
        <v/>
      </c>
      <c r="AJ16" s="169">
        <f t="shared" ca="1" si="20"/>
        <v>17</v>
      </c>
      <c r="AK16" s="169" t="str">
        <f t="shared" ca="1" si="21"/>
        <v>A-</v>
      </c>
      <c r="AL16" s="169">
        <f t="shared" ca="1" si="21"/>
        <v>20</v>
      </c>
      <c r="AM16" s="169" t="str">
        <f t="shared" ca="1" si="4"/>
        <v/>
      </c>
      <c r="AQ16" s="207" t="s">
        <v>254</v>
      </c>
      <c r="AR16" s="207" t="s">
        <v>142</v>
      </c>
      <c r="AS16" s="207">
        <v>17</v>
      </c>
      <c r="AT16" s="207" t="s">
        <v>255</v>
      </c>
      <c r="AV16" s="168">
        <f t="shared" ca="1" si="5"/>
        <v>38</v>
      </c>
      <c r="AW16" s="168">
        <f ca="1">COUNTIF( AV$7:AV16, AV16 )</f>
        <v>1</v>
      </c>
      <c r="AX16" s="208">
        <f t="shared" ca="1" si="22"/>
        <v>38.1</v>
      </c>
      <c r="AY16" s="168">
        <f t="shared" ca="1" si="6"/>
        <v>38</v>
      </c>
      <c r="AZ16" s="169"/>
      <c r="BA16" s="169"/>
      <c r="BC16" s="168">
        <f t="shared" ca="1" si="24"/>
        <v>10</v>
      </c>
      <c r="BD16" s="209">
        <f t="shared" ca="1" si="8"/>
        <v>40</v>
      </c>
      <c r="BF16" s="173" t="str">
        <f t="shared" ca="1" si="23"/>
        <v>Southern Company</v>
      </c>
      <c r="BG16" s="173" t="str">
        <f t="shared" ca="1" si="23"/>
        <v>A-</v>
      </c>
      <c r="BH16" s="173">
        <f t="shared" ca="1" si="23"/>
        <v>20</v>
      </c>
      <c r="BI16" s="173" t="str">
        <f t="shared" ca="1" si="23"/>
        <v>SO</v>
      </c>
    </row>
    <row r="17" spans="1:61" ht="13.8" x14ac:dyDescent="0.25">
      <c r="A17" s="223" t="s">
        <v>247</v>
      </c>
      <c r="B17" s="224" t="s">
        <v>139</v>
      </c>
      <c r="C17" s="224">
        <v>20</v>
      </c>
      <c r="D17" s="224" t="s">
        <v>248</v>
      </c>
      <c r="E17" s="225" t="str">
        <f t="shared" ca="1" si="9"/>
        <v>R</v>
      </c>
      <c r="F17" s="348"/>
      <c r="G17" s="349">
        <f t="shared" ca="1" si="1"/>
        <v>44</v>
      </c>
      <c r="H17" s="350"/>
      <c r="I17" s="237"/>
      <c r="K17" s="237"/>
      <c r="N17" s="237"/>
      <c r="O17" s="173"/>
      <c r="Q17" s="237"/>
      <c r="T17" s="237"/>
      <c r="W17" s="237"/>
      <c r="AE17" s="178"/>
      <c r="AF17" s="169">
        <f t="shared" ca="1" si="2"/>
        <v>0</v>
      </c>
      <c r="AG17" s="169" t="str">
        <f t="shared" ca="1" si="3"/>
        <v/>
      </c>
      <c r="AH17" s="169" t="str">
        <f t="shared" ca="1" si="19"/>
        <v/>
      </c>
      <c r="AJ17" s="169">
        <f t="shared" ca="1" si="20"/>
        <v>18</v>
      </c>
      <c r="AK17" s="169" t="str">
        <f t="shared" ca="1" si="21"/>
        <v>A-</v>
      </c>
      <c r="AL17" s="169">
        <f t="shared" ca="1" si="21"/>
        <v>20</v>
      </c>
      <c r="AM17" s="169" t="str">
        <f t="shared" ca="1" si="4"/>
        <v/>
      </c>
      <c r="AQ17" s="207" t="s">
        <v>256</v>
      </c>
      <c r="AR17" s="207" t="s">
        <v>140</v>
      </c>
      <c r="AS17" s="207">
        <v>19</v>
      </c>
      <c r="AT17" s="207" t="s">
        <v>257</v>
      </c>
      <c r="AV17" s="168">
        <f t="shared" ca="1" si="5"/>
        <v>13</v>
      </c>
      <c r="AW17" s="168">
        <f ca="1">COUNTIF( AV$7:AV17, AV17 )</f>
        <v>5</v>
      </c>
      <c r="AX17" s="208">
        <f t="shared" ca="1" si="22"/>
        <v>13.5</v>
      </c>
      <c r="AY17" s="168">
        <f t="shared" ca="1" si="6"/>
        <v>17</v>
      </c>
      <c r="AZ17" s="169"/>
      <c r="BA17" s="169"/>
      <c r="BC17" s="168">
        <f t="shared" ca="1" si="24"/>
        <v>11</v>
      </c>
      <c r="BD17" s="209">
        <f t="shared" ca="1" si="8"/>
        <v>42</v>
      </c>
      <c r="BF17" s="173" t="str">
        <f t="shared" ca="1" si="23"/>
        <v>Wisconsin Energy Corporation</v>
      </c>
      <c r="BG17" s="173" t="str">
        <f t="shared" ca="1" si="23"/>
        <v>A-</v>
      </c>
      <c r="BH17" s="173">
        <f t="shared" ca="1" si="23"/>
        <v>20</v>
      </c>
      <c r="BI17" s="173" t="str">
        <f t="shared" ca="1" si="23"/>
        <v>WEC</v>
      </c>
    </row>
    <row r="18" spans="1:61" ht="13.8" x14ac:dyDescent="0.25">
      <c r="A18" s="223" t="s">
        <v>251</v>
      </c>
      <c r="B18" s="224" t="s">
        <v>139</v>
      </c>
      <c r="C18" s="224">
        <v>20</v>
      </c>
      <c r="D18" s="224" t="s">
        <v>252</v>
      </c>
      <c r="E18" s="225" t="str">
        <f t="shared" ca="1" si="9"/>
        <v>R</v>
      </c>
      <c r="F18" s="348"/>
      <c r="G18" s="349">
        <f t="shared" ca="1" si="1"/>
        <v>45</v>
      </c>
      <c r="H18" s="350"/>
      <c r="I18" s="237"/>
      <c r="K18" s="237"/>
      <c r="N18" s="237"/>
      <c r="O18" s="173"/>
      <c r="Q18" s="237"/>
      <c r="T18" s="237"/>
      <c r="W18" s="237"/>
      <c r="AE18" s="184"/>
      <c r="AF18" s="169">
        <f t="shared" ca="1" si="2"/>
        <v>0</v>
      </c>
      <c r="AG18" s="169" t="str">
        <f t="shared" ca="1" si="3"/>
        <v/>
      </c>
      <c r="AH18" s="169" t="str">
        <f t="shared" ca="1" si="19"/>
        <v/>
      </c>
      <c r="AJ18" s="169">
        <f t="shared" ca="1" si="20"/>
        <v>19</v>
      </c>
      <c r="AK18" s="169" t="str">
        <f t="shared" ca="1" si="21"/>
        <v>A-</v>
      </c>
      <c r="AL18" s="169">
        <f t="shared" ca="1" si="21"/>
        <v>20</v>
      </c>
      <c r="AM18" s="169" t="str">
        <f t="shared" ca="1" si="4"/>
        <v/>
      </c>
      <c r="AQ18" s="207" t="s">
        <v>227</v>
      </c>
      <c r="AR18" s="207" t="s">
        <v>139</v>
      </c>
      <c r="AS18" s="207">
        <v>20</v>
      </c>
      <c r="AT18" s="207" t="s">
        <v>228</v>
      </c>
      <c r="AV18" s="168">
        <f t="shared" ca="1" si="5"/>
        <v>2</v>
      </c>
      <c r="AW18" s="168">
        <f ca="1">COUNTIF( AV$7:AV18, AV18 )</f>
        <v>3</v>
      </c>
      <c r="AX18" s="208">
        <f t="shared" ca="1" si="22"/>
        <v>2.2999999999999998</v>
      </c>
      <c r="AY18" s="168">
        <f t="shared" ca="1" si="6"/>
        <v>4</v>
      </c>
      <c r="AZ18" s="169"/>
      <c r="BA18" s="169"/>
      <c r="BC18" s="168">
        <f t="shared" ca="1" si="24"/>
        <v>12</v>
      </c>
      <c r="BD18" s="209">
        <f t="shared" ca="1" si="8"/>
        <v>43</v>
      </c>
      <c r="BF18" s="173" t="str">
        <f t="shared" ca="1" si="23"/>
        <v>Xcel Energy Inc.</v>
      </c>
      <c r="BG18" s="173" t="str">
        <f t="shared" ca="1" si="23"/>
        <v>A-</v>
      </c>
      <c r="BH18" s="173">
        <f t="shared" ca="1" si="23"/>
        <v>20</v>
      </c>
      <c r="BI18" s="173" t="str">
        <f t="shared" ca="1" si="23"/>
        <v>XEL</v>
      </c>
    </row>
    <row r="19" spans="1:61" ht="13.8" x14ac:dyDescent="0.25">
      <c r="A19" s="223" t="s">
        <v>225</v>
      </c>
      <c r="B19" s="224" t="s">
        <v>140</v>
      </c>
      <c r="C19" s="224">
        <v>19</v>
      </c>
      <c r="D19" s="224" t="s">
        <v>226</v>
      </c>
      <c r="E19" s="225" t="str">
        <f t="shared" ca="1" si="9"/>
        <v>R</v>
      </c>
      <c r="F19" s="348"/>
      <c r="G19" s="349">
        <f t="shared" ca="1" si="1"/>
        <v>9</v>
      </c>
      <c r="H19" s="350"/>
      <c r="I19" s="237"/>
      <c r="K19" s="237"/>
      <c r="N19" s="237"/>
      <c r="O19" s="173"/>
      <c r="Q19" s="237"/>
      <c r="T19" s="237"/>
      <c r="W19" s="237"/>
      <c r="AE19" s="184"/>
      <c r="AF19" s="169">
        <f t="shared" ca="1" si="2"/>
        <v>1</v>
      </c>
      <c r="AG19" s="169" t="str">
        <f t="shared" ca="1" si="3"/>
        <v/>
      </c>
      <c r="AH19" s="169" t="str">
        <f t="shared" ca="1" si="19"/>
        <v/>
      </c>
      <c r="AJ19" s="169">
        <f t="shared" ca="1" si="20"/>
        <v>20</v>
      </c>
      <c r="AK19" s="169" t="str">
        <f t="shared" ca="1" si="21"/>
        <v>BBB+</v>
      </c>
      <c r="AL19" s="169">
        <f t="shared" ca="1" si="21"/>
        <v>19</v>
      </c>
      <c r="AM19" s="169" t="str">
        <f t="shared" ca="1" si="4"/>
        <v/>
      </c>
      <c r="AQ19" s="207" t="s">
        <v>258</v>
      </c>
      <c r="AR19" s="207" t="s">
        <v>140</v>
      </c>
      <c r="AS19" s="207">
        <v>19</v>
      </c>
      <c r="AT19" s="207" t="s">
        <v>194</v>
      </c>
      <c r="AV19" s="168">
        <f t="shared" ca="1" si="5"/>
        <v>13</v>
      </c>
      <c r="AW19" s="168">
        <f ca="1">COUNTIF( AV$7:AV19, AV19 )</f>
        <v>6</v>
      </c>
      <c r="AX19" s="208">
        <f t="shared" ca="1" si="22"/>
        <v>13.6</v>
      </c>
      <c r="AY19" s="168">
        <f t="shared" ca="1" si="6"/>
        <v>18</v>
      </c>
      <c r="AZ19" s="169"/>
      <c r="BA19" s="169"/>
      <c r="BC19" s="168">
        <f t="shared" ca="1" si="24"/>
        <v>13</v>
      </c>
      <c r="BD19" s="209">
        <f t="shared" ca="1" si="8"/>
        <v>3</v>
      </c>
      <c r="BF19" s="173" t="str">
        <f t="shared" ca="1" si="23"/>
        <v>Ameren Corporation</v>
      </c>
      <c r="BG19" s="173" t="str">
        <f t="shared" ca="1" si="23"/>
        <v>BBB+</v>
      </c>
      <c r="BH19" s="173">
        <f t="shared" ca="1" si="23"/>
        <v>19</v>
      </c>
      <c r="BI19" s="173" t="str">
        <f t="shared" ca="1" si="23"/>
        <v>AEE</v>
      </c>
    </row>
    <row r="20" spans="1:61" ht="13.8" x14ac:dyDescent="0.25">
      <c r="A20" s="223" t="s">
        <v>233</v>
      </c>
      <c r="B20" s="224" t="s">
        <v>140</v>
      </c>
      <c r="C20" s="224">
        <v>19</v>
      </c>
      <c r="D20" s="224" t="s">
        <v>234</v>
      </c>
      <c r="E20" s="225" t="str">
        <f t="shared" ca="1" si="9"/>
        <v>MR</v>
      </c>
      <c r="F20" s="348"/>
      <c r="G20" s="349">
        <f t="shared" ca="1" si="1"/>
        <v>11</v>
      </c>
      <c r="H20" s="350"/>
      <c r="I20" s="352"/>
      <c r="K20" s="352"/>
      <c r="N20" s="352"/>
      <c r="O20" s="173"/>
      <c r="Q20" s="352"/>
      <c r="T20" s="352"/>
      <c r="W20" s="352"/>
      <c r="AE20" s="184"/>
      <c r="AF20" s="169">
        <f t="shared" ca="1" si="2"/>
        <v>1</v>
      </c>
      <c r="AG20" s="169" t="str">
        <f t="shared" ca="1" si="3"/>
        <v/>
      </c>
      <c r="AH20" s="169" t="str">
        <f t="shared" ca="1" si="19"/>
        <v/>
      </c>
      <c r="AJ20" s="169">
        <f t="shared" ca="1" si="20"/>
        <v>21</v>
      </c>
      <c r="AK20" s="169" t="str">
        <f t="shared" ca="1" si="21"/>
        <v>BBB+</v>
      </c>
      <c r="AL20" s="169">
        <f t="shared" ca="1" si="21"/>
        <v>19</v>
      </c>
      <c r="AM20" s="169" t="str">
        <f t="shared" ca="1" si="4"/>
        <v/>
      </c>
      <c r="AQ20" s="207" t="s">
        <v>259</v>
      </c>
      <c r="AR20" s="207" t="s">
        <v>173</v>
      </c>
      <c r="AS20" s="207">
        <v>16</v>
      </c>
      <c r="AT20" s="207" t="s">
        <v>260</v>
      </c>
      <c r="AV20" s="168">
        <f t="shared" ca="1" si="5"/>
        <v>41</v>
      </c>
      <c r="AW20" s="168">
        <f ca="1">COUNTIF( AV$7:AV20, AV20 )</f>
        <v>1</v>
      </c>
      <c r="AX20" s="208">
        <f t="shared" ca="1" si="22"/>
        <v>41.1</v>
      </c>
      <c r="AY20" s="168">
        <f t="shared" ca="1" si="6"/>
        <v>41</v>
      </c>
      <c r="AZ20" s="169"/>
      <c r="BA20" s="169"/>
      <c r="BC20" s="168">
        <f t="shared" ca="1" si="24"/>
        <v>14</v>
      </c>
      <c r="BD20" s="209">
        <f t="shared" ca="1" si="8"/>
        <v>5</v>
      </c>
      <c r="BF20" s="173" t="str">
        <f t="shared" ca="1" si="23"/>
        <v>AVANGRID, Inc.</v>
      </c>
      <c r="BG20" s="173" t="str">
        <f t="shared" ca="1" si="23"/>
        <v>BBB+</v>
      </c>
      <c r="BH20" s="173">
        <f t="shared" ca="1" si="23"/>
        <v>19</v>
      </c>
      <c r="BI20" s="173" t="str">
        <f t="shared" ca="1" si="23"/>
        <v>AGR</v>
      </c>
    </row>
    <row r="21" spans="1:61" ht="13.8" x14ac:dyDescent="0.25">
      <c r="A21" s="223" t="s">
        <v>245</v>
      </c>
      <c r="B21" s="224" t="s">
        <v>140</v>
      </c>
      <c r="C21" s="224">
        <v>19</v>
      </c>
      <c r="D21" s="224" t="s">
        <v>246</v>
      </c>
      <c r="E21" s="225" t="str">
        <f t="shared" ca="1" si="9"/>
        <v>R</v>
      </c>
      <c r="F21" s="348"/>
      <c r="G21" s="349">
        <f t="shared" ca="1" si="1"/>
        <v>13</v>
      </c>
      <c r="H21" s="350"/>
      <c r="I21" s="237"/>
      <c r="K21" s="237"/>
      <c r="N21" s="237"/>
      <c r="Q21" s="237"/>
      <c r="T21" s="237"/>
      <c r="W21" s="237"/>
      <c r="AE21" s="184"/>
      <c r="AF21" s="169">
        <f t="shared" ca="1" si="2"/>
        <v>1</v>
      </c>
      <c r="AG21" s="169" t="str">
        <f t="shared" ca="1" si="3"/>
        <v/>
      </c>
      <c r="AH21" s="169" t="str">
        <f t="shared" ca="1" si="19"/>
        <v/>
      </c>
      <c r="AJ21" s="169">
        <f t="shared" ca="1" si="20"/>
        <v>22</v>
      </c>
      <c r="AK21" s="169" t="str">
        <f t="shared" ca="1" si="21"/>
        <v>BBB+</v>
      </c>
      <c r="AL21" s="169">
        <f t="shared" ca="1" si="21"/>
        <v>19</v>
      </c>
      <c r="AM21" s="169" t="str">
        <f t="shared" ca="1" si="4"/>
        <v/>
      </c>
      <c r="AQ21" s="207" t="s">
        <v>261</v>
      </c>
      <c r="AR21" s="207" t="s">
        <v>140</v>
      </c>
      <c r="AS21" s="207">
        <v>19</v>
      </c>
      <c r="AT21" s="207" t="s">
        <v>262</v>
      </c>
      <c r="AV21" s="168">
        <f t="shared" ca="1" si="5"/>
        <v>13</v>
      </c>
      <c r="AW21" s="168">
        <f ca="1">COUNTIF( AV$7:AV21, AV21 )</f>
        <v>7</v>
      </c>
      <c r="AX21" s="208">
        <f t="shared" ca="1" si="22"/>
        <v>13.7</v>
      </c>
      <c r="AY21" s="168">
        <f t="shared" ca="1" si="6"/>
        <v>19</v>
      </c>
      <c r="AZ21" s="169"/>
      <c r="BA21" s="169"/>
      <c r="BC21" s="168">
        <f t="shared" ca="1" si="24"/>
        <v>15</v>
      </c>
      <c r="BD21" s="209">
        <f t="shared" ca="1" si="8"/>
        <v>8</v>
      </c>
      <c r="BF21" s="173" t="str">
        <f t="shared" ca="1" si="23"/>
        <v>Black Hills Corporation</v>
      </c>
      <c r="BG21" s="173" t="str">
        <f t="shared" ca="1" si="23"/>
        <v>BBB+</v>
      </c>
      <c r="BH21" s="173">
        <f t="shared" ca="1" si="23"/>
        <v>19</v>
      </c>
      <c r="BI21" s="173" t="str">
        <f t="shared" ca="1" si="23"/>
        <v>BKH</v>
      </c>
    </row>
    <row r="22" spans="1:61" ht="13.8" x14ac:dyDescent="0.25">
      <c r="A22" s="223" t="s">
        <v>249</v>
      </c>
      <c r="B22" s="224" t="s">
        <v>140</v>
      </c>
      <c r="C22" s="224">
        <v>19</v>
      </c>
      <c r="D22" s="224" t="s">
        <v>250</v>
      </c>
      <c r="E22" s="225" t="str">
        <f t="shared" ca="1" si="9"/>
        <v>R</v>
      </c>
      <c r="F22" s="348"/>
      <c r="G22" s="349">
        <f t="shared" ca="1" si="1"/>
        <v>14</v>
      </c>
      <c r="H22" s="350"/>
      <c r="I22" s="237"/>
      <c r="K22" s="237"/>
      <c r="N22" s="237"/>
      <c r="Q22" s="237"/>
      <c r="T22" s="237"/>
      <c r="W22" s="237"/>
      <c r="AE22" s="184"/>
      <c r="AF22" s="169">
        <f t="shared" ca="1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20"/>
        <v>23</v>
      </c>
      <c r="AK22" s="169" t="str">
        <f t="shared" ca="1" si="21"/>
        <v>BBB+</v>
      </c>
      <c r="AL22" s="169">
        <f t="shared" ca="1" si="21"/>
        <v>19</v>
      </c>
      <c r="AM22" s="169" t="str">
        <f t="shared" ca="1" si="4"/>
        <v/>
      </c>
      <c r="AQ22" s="207" t="s">
        <v>263</v>
      </c>
      <c r="AR22" s="207" t="s">
        <v>140</v>
      </c>
      <c r="AS22" s="207">
        <v>19</v>
      </c>
      <c r="AT22" s="207" t="s">
        <v>264</v>
      </c>
      <c r="AV22" s="168">
        <f t="shared" ca="1" si="5"/>
        <v>13</v>
      </c>
      <c r="AW22" s="168">
        <f ca="1">COUNTIF( AV$7:AV22, AV22 )</f>
        <v>8</v>
      </c>
      <c r="AX22" s="208">
        <f t="shared" ca="1" si="22"/>
        <v>13.8</v>
      </c>
      <c r="AY22" s="168">
        <f t="shared" ca="1" si="6"/>
        <v>20</v>
      </c>
      <c r="AZ22" s="169"/>
      <c r="BA22" s="169"/>
      <c r="BC22" s="168">
        <f t="shared" ca="1" si="24"/>
        <v>16</v>
      </c>
      <c r="BD22" s="209">
        <f t="shared" ca="1" si="8"/>
        <v>9</v>
      </c>
      <c r="BF22" s="173" t="str">
        <f t="shared" ca="1" si="23"/>
        <v>CenterPoint Energy, Inc.</v>
      </c>
      <c r="BG22" s="173" t="str">
        <f t="shared" ca="1" si="23"/>
        <v>BBB+</v>
      </c>
      <c r="BH22" s="173">
        <f t="shared" ca="1" si="23"/>
        <v>19</v>
      </c>
      <c r="BI22" s="173" t="str">
        <f t="shared" ca="1" si="23"/>
        <v>CNP</v>
      </c>
    </row>
    <row r="23" spans="1:61" ht="13.8" x14ac:dyDescent="0.25">
      <c r="A23" s="223" t="s">
        <v>256</v>
      </c>
      <c r="B23" s="224" t="s">
        <v>140</v>
      </c>
      <c r="C23" s="224">
        <v>19</v>
      </c>
      <c r="D23" s="224" t="s">
        <v>257</v>
      </c>
      <c r="E23" s="225" t="str">
        <f t="shared" ca="1" si="9"/>
        <v>R</v>
      </c>
      <c r="F23" s="348"/>
      <c r="G23" s="349">
        <f t="shared" ca="1" si="1"/>
        <v>15</v>
      </c>
      <c r="H23" s="350"/>
      <c r="I23" s="237"/>
      <c r="K23" s="237"/>
      <c r="N23" s="237"/>
      <c r="Q23" s="237"/>
      <c r="T23" s="237"/>
      <c r="W23" s="237"/>
      <c r="AE23" s="184"/>
      <c r="AF23" s="169">
        <f t="shared" ca="1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20"/>
        <v>24</v>
      </c>
      <c r="AK23" s="169" t="str">
        <f t="shared" ca="1" si="21"/>
        <v>BBB+</v>
      </c>
      <c r="AL23" s="169">
        <f t="shared" ca="1" si="21"/>
        <v>19</v>
      </c>
      <c r="AM23" s="169" t="str">
        <f t="shared" ca="1" si="4"/>
        <v/>
      </c>
      <c r="AQ23" s="207" t="s">
        <v>265</v>
      </c>
      <c r="AR23" s="207" t="s">
        <v>141</v>
      </c>
      <c r="AS23" s="207">
        <v>18</v>
      </c>
      <c r="AT23" s="207" t="s">
        <v>266</v>
      </c>
      <c r="AV23" s="168">
        <f t="shared" ca="1" si="5"/>
        <v>30</v>
      </c>
      <c r="AW23" s="168">
        <f ca="1">COUNTIF( AV$7:AV23, AV23 )</f>
        <v>3</v>
      </c>
      <c r="AX23" s="208">
        <f t="shared" ca="1" si="22"/>
        <v>30.3</v>
      </c>
      <c r="AY23" s="168">
        <f t="shared" ca="1" si="6"/>
        <v>32</v>
      </c>
      <c r="AZ23" s="169"/>
      <c r="BA23" s="169"/>
      <c r="BC23" s="168">
        <f t="shared" ca="1" si="24"/>
        <v>17</v>
      </c>
      <c r="BD23" s="209">
        <f t="shared" ca="1" si="8"/>
        <v>11</v>
      </c>
      <c r="BF23" s="173" t="str">
        <f t="shared" ca="1" si="23"/>
        <v>CMS Energy Corporation</v>
      </c>
      <c r="BG23" s="173" t="str">
        <f t="shared" ca="1" si="23"/>
        <v>BBB+</v>
      </c>
      <c r="BH23" s="173">
        <f t="shared" ca="1" si="23"/>
        <v>19</v>
      </c>
      <c r="BI23" s="173" t="str">
        <f t="shared" ca="1" si="23"/>
        <v>CMS</v>
      </c>
    </row>
    <row r="24" spans="1:61" ht="13.8" x14ac:dyDescent="0.25">
      <c r="A24" s="223" t="s">
        <v>258</v>
      </c>
      <c r="B24" s="224" t="s">
        <v>140</v>
      </c>
      <c r="C24" s="224">
        <v>19</v>
      </c>
      <c r="D24" s="224" t="s">
        <v>194</v>
      </c>
      <c r="E24" s="225" t="str">
        <f t="shared" ca="1" si="9"/>
        <v>R</v>
      </c>
      <c r="F24" s="348"/>
      <c r="G24" s="349">
        <f t="shared" ca="1" si="1"/>
        <v>17</v>
      </c>
      <c r="H24" s="350"/>
      <c r="I24" s="237"/>
      <c r="J24" s="191"/>
      <c r="K24" s="237"/>
      <c r="N24" s="237"/>
      <c r="Q24" s="237"/>
      <c r="T24" s="237"/>
      <c r="W24" s="237"/>
      <c r="AE24" s="184"/>
      <c r="AF24" s="169">
        <f t="shared" ca="1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20"/>
        <v>25</v>
      </c>
      <c r="AK24" s="169" t="str">
        <f t="shared" ca="1" si="21"/>
        <v>BBB+</v>
      </c>
      <c r="AL24" s="169">
        <f t="shared" ca="1" si="21"/>
        <v>19</v>
      </c>
      <c r="AM24" s="169" t="str">
        <f t="shared" ca="1" si="4"/>
        <v/>
      </c>
      <c r="AQ24" s="207" t="s">
        <v>267</v>
      </c>
      <c r="AR24" s="207" t="s">
        <v>140</v>
      </c>
      <c r="AS24" s="207">
        <v>19</v>
      </c>
      <c r="AT24" s="207" t="s">
        <v>268</v>
      </c>
      <c r="AV24" s="168">
        <f t="shared" ca="1" si="5"/>
        <v>13</v>
      </c>
      <c r="AW24" s="168">
        <f ca="1">COUNTIF( AV$7:AV24, AV24 )</f>
        <v>9</v>
      </c>
      <c r="AX24" s="208">
        <f t="shared" ca="1" si="22"/>
        <v>13.9</v>
      </c>
      <c r="AY24" s="168">
        <f t="shared" ca="1" si="6"/>
        <v>21</v>
      </c>
      <c r="AZ24" s="169"/>
      <c r="BA24" s="169"/>
      <c r="BC24" s="168">
        <f t="shared" ca="1" si="24"/>
        <v>18</v>
      </c>
      <c r="BD24" s="209">
        <f t="shared" ca="1" si="8"/>
        <v>13</v>
      </c>
      <c r="BF24" s="173" t="str">
        <f t="shared" ca="1" si="23"/>
        <v>Dominion Energy, Inc.</v>
      </c>
      <c r="BG24" s="173" t="str">
        <f t="shared" ca="1" si="23"/>
        <v>BBB+</v>
      </c>
      <c r="BH24" s="173">
        <f t="shared" ca="1" si="23"/>
        <v>19</v>
      </c>
      <c r="BI24" s="173" t="str">
        <f t="shared" ca="1" si="23"/>
        <v>D</v>
      </c>
    </row>
    <row r="25" spans="1:61" ht="13.8" x14ac:dyDescent="0.25">
      <c r="A25" s="223" t="s">
        <v>261</v>
      </c>
      <c r="B25" s="224" t="s">
        <v>140</v>
      </c>
      <c r="C25" s="224">
        <v>19</v>
      </c>
      <c r="D25" s="224" t="s">
        <v>262</v>
      </c>
      <c r="E25" s="225" t="str">
        <f t="shared" ca="1" si="9"/>
        <v>MR</v>
      </c>
      <c r="F25" s="348"/>
      <c r="G25" s="349">
        <f t="shared" ca="1" si="1"/>
        <v>18</v>
      </c>
      <c r="H25" s="350"/>
      <c r="I25" s="237"/>
      <c r="J25" s="191"/>
      <c r="K25" s="237"/>
      <c r="N25" s="237"/>
      <c r="Q25" s="237"/>
      <c r="T25" s="237"/>
      <c r="W25" s="237"/>
      <c r="AE25" s="184"/>
      <c r="AF25" s="169">
        <f t="shared" ca="1" si="2"/>
        <v>1</v>
      </c>
      <c r="AG25" s="169" t="str">
        <f t="shared" ca="1" si="3"/>
        <v/>
      </c>
      <c r="AH25" s="169" t="str">
        <f t="shared" ca="1" si="19"/>
        <v/>
      </c>
      <c r="AJ25" s="169">
        <f t="shared" ca="1" si="20"/>
        <v>26</v>
      </c>
      <c r="AK25" s="169" t="str">
        <f t="shared" ca="1" si="21"/>
        <v>BBB+</v>
      </c>
      <c r="AL25" s="169">
        <f t="shared" ca="1" si="21"/>
        <v>19</v>
      </c>
      <c r="AM25" s="169" t="str">
        <f t="shared" ca="1" si="4"/>
        <v/>
      </c>
      <c r="AQ25" s="207" t="s">
        <v>230</v>
      </c>
      <c r="AR25" s="207" t="s">
        <v>139</v>
      </c>
      <c r="AS25" s="207">
        <v>20</v>
      </c>
      <c r="AT25" s="207" t="s">
        <v>231</v>
      </c>
      <c r="AV25" s="168">
        <f t="shared" ca="1" si="5"/>
        <v>2</v>
      </c>
      <c r="AW25" s="168">
        <f ca="1">COUNTIF( AV$7:AV25, AV25 )</f>
        <v>4</v>
      </c>
      <c r="AX25" s="208">
        <f t="shared" ca="1" si="22"/>
        <v>2.4</v>
      </c>
      <c r="AY25" s="168">
        <f t="shared" ca="1" si="6"/>
        <v>5</v>
      </c>
      <c r="AZ25" s="169"/>
      <c r="BA25" s="169"/>
      <c r="BC25" s="168">
        <f t="shared" ca="1" si="24"/>
        <v>19</v>
      </c>
      <c r="BD25" s="209">
        <f t="shared" ca="1" si="8"/>
        <v>15</v>
      </c>
      <c r="BF25" s="173" t="str">
        <f t="shared" ca="1" si="23"/>
        <v>DTE Energy Company</v>
      </c>
      <c r="BG25" s="173" t="str">
        <f t="shared" ca="1" si="23"/>
        <v>BBB+</v>
      </c>
      <c r="BH25" s="173">
        <f t="shared" ca="1" si="23"/>
        <v>19</v>
      </c>
      <c r="BI25" s="173" t="str">
        <f t="shared" ca="1" si="23"/>
        <v>DTE</v>
      </c>
    </row>
    <row r="26" spans="1:61" ht="13.8" x14ac:dyDescent="0.25">
      <c r="A26" s="223" t="s">
        <v>263</v>
      </c>
      <c r="B26" s="224" t="s">
        <v>140</v>
      </c>
      <c r="C26" s="224">
        <v>19</v>
      </c>
      <c r="D26" s="224" t="s">
        <v>264</v>
      </c>
      <c r="E26" s="225" t="str">
        <f t="shared" ca="1" si="9"/>
        <v>R</v>
      </c>
      <c r="F26" s="348"/>
      <c r="G26" s="349">
        <f t="shared" ca="1" si="1"/>
        <v>19</v>
      </c>
      <c r="H26" s="350"/>
      <c r="I26" s="237"/>
      <c r="J26" s="191"/>
      <c r="K26" s="237"/>
      <c r="N26" s="237"/>
      <c r="Q26" s="237"/>
      <c r="T26" s="237"/>
      <c r="W26" s="237"/>
      <c r="AE26" s="184"/>
      <c r="AF26" s="169">
        <f t="shared" ca="1" si="2"/>
        <v>1</v>
      </c>
      <c r="AG26" s="169" t="str">
        <f t="shared" ca="1" si="3"/>
        <v/>
      </c>
      <c r="AH26" s="169">
        <f t="shared" ca="1" si="19"/>
        <v>1</v>
      </c>
      <c r="AJ26" s="169">
        <f t="shared" ca="1" si="20"/>
        <v>11</v>
      </c>
      <c r="AK26" s="169" t="str">
        <f t="shared" ca="1" si="21"/>
        <v>A-</v>
      </c>
      <c r="AL26" s="169">
        <f t="shared" ca="1" si="21"/>
        <v>20</v>
      </c>
      <c r="AM26" s="169" t="str">
        <f t="shared" ca="1" si="4"/>
        <v>Change</v>
      </c>
      <c r="AQ26" s="207" t="s">
        <v>235</v>
      </c>
      <c r="AR26" s="207" t="s">
        <v>139</v>
      </c>
      <c r="AS26" s="207">
        <v>20</v>
      </c>
      <c r="AT26" s="207" t="s">
        <v>236</v>
      </c>
      <c r="AV26" s="168">
        <f t="shared" ca="1" si="5"/>
        <v>2</v>
      </c>
      <c r="AW26" s="168">
        <f ca="1">COUNTIF( AV$7:AV26, AV26 )</f>
        <v>5</v>
      </c>
      <c r="AX26" s="208">
        <f t="shared" ca="1" si="22"/>
        <v>2.5</v>
      </c>
      <c r="AY26" s="168">
        <f t="shared" ca="1" si="6"/>
        <v>6</v>
      </c>
      <c r="AZ26" s="169"/>
      <c r="BA26" s="169"/>
      <c r="BC26" s="168">
        <f t="shared" ca="1" si="24"/>
        <v>20</v>
      </c>
      <c r="BD26" s="209">
        <f t="shared" ca="1" si="8"/>
        <v>16</v>
      </c>
      <c r="BF26" s="173" t="str">
        <f t="shared" ca="1" si="23"/>
        <v>Duke Energy Corporation</v>
      </c>
      <c r="BG26" s="173" t="str">
        <f t="shared" ca="1" si="23"/>
        <v>BBB+</v>
      </c>
      <c r="BH26" s="173">
        <f t="shared" ca="1" si="23"/>
        <v>19</v>
      </c>
      <c r="BI26" s="173" t="str">
        <f t="shared" ca="1" si="23"/>
        <v>DUK</v>
      </c>
    </row>
    <row r="27" spans="1:61" ht="13.8" x14ac:dyDescent="0.25">
      <c r="A27" s="223" t="s">
        <v>267</v>
      </c>
      <c r="B27" s="224" t="s">
        <v>140</v>
      </c>
      <c r="C27" s="224">
        <v>19</v>
      </c>
      <c r="D27" s="224" t="s">
        <v>268</v>
      </c>
      <c r="E27" s="225" t="str">
        <f t="shared" ca="1" si="9"/>
        <v>R</v>
      </c>
      <c r="F27" s="348"/>
      <c r="G27" s="349">
        <f t="shared" ca="1" si="1"/>
        <v>21</v>
      </c>
      <c r="H27" s="350"/>
      <c r="I27" s="237"/>
      <c r="J27" s="191"/>
      <c r="K27" s="237"/>
      <c r="N27" s="237"/>
      <c r="Q27" s="237"/>
      <c r="T27" s="237"/>
      <c r="W27" s="237"/>
      <c r="AE27" s="184"/>
      <c r="AF27" s="169">
        <f t="shared" ca="1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20"/>
        <v>27</v>
      </c>
      <c r="AK27" s="169" t="str">
        <f t="shared" ca="1" si="21"/>
        <v>BBB+</v>
      </c>
      <c r="AL27" s="169">
        <f t="shared" ca="1" si="21"/>
        <v>19</v>
      </c>
      <c r="AM27" s="169" t="str">
        <f t="shared" ca="1" si="4"/>
        <v/>
      </c>
      <c r="AQ27" s="207" t="s">
        <v>269</v>
      </c>
      <c r="AR27" s="207" t="s">
        <v>140</v>
      </c>
      <c r="AS27" s="207">
        <v>19</v>
      </c>
      <c r="AT27" s="207" t="s">
        <v>270</v>
      </c>
      <c r="AV27" s="168">
        <f t="shared" ca="1" si="5"/>
        <v>13</v>
      </c>
      <c r="AW27" s="168">
        <f ca="1">COUNTIF( AV$7:AV27, AV27 )</f>
        <v>10</v>
      </c>
      <c r="AX27" s="208">
        <f t="shared" ca="1" si="22"/>
        <v>14</v>
      </c>
      <c r="AY27" s="168">
        <f t="shared" ca="1" si="6"/>
        <v>22</v>
      </c>
      <c r="AZ27" s="169"/>
      <c r="BA27" s="169"/>
      <c r="BC27" s="168">
        <f t="shared" ca="1" si="24"/>
        <v>21</v>
      </c>
      <c r="BD27" s="209">
        <f t="shared" ca="1" si="8"/>
        <v>18</v>
      </c>
      <c r="BF27" s="173" t="str">
        <f t="shared" ca="1" si="23"/>
        <v>Entergy Corporation</v>
      </c>
      <c r="BG27" s="173" t="str">
        <f t="shared" ca="1" si="23"/>
        <v>BBB+</v>
      </c>
      <c r="BH27" s="173">
        <f t="shared" ca="1" si="23"/>
        <v>19</v>
      </c>
      <c r="BI27" s="173" t="str">
        <f t="shared" ca="1" si="23"/>
        <v>ETR</v>
      </c>
    </row>
    <row r="28" spans="1:61" ht="13.8" x14ac:dyDescent="0.25">
      <c r="A28" s="223" t="s">
        <v>269</v>
      </c>
      <c r="B28" s="224" t="s">
        <v>140</v>
      </c>
      <c r="C28" s="224">
        <v>19</v>
      </c>
      <c r="D28" s="224" t="s">
        <v>270</v>
      </c>
      <c r="E28" s="225" t="str">
        <f t="shared" ca="1" si="9"/>
        <v>MR</v>
      </c>
      <c r="F28" s="348"/>
      <c r="G28" s="349">
        <f t="shared" ca="1" si="1"/>
        <v>24</v>
      </c>
      <c r="H28" s="350"/>
      <c r="I28" s="237"/>
      <c r="J28" s="191"/>
      <c r="K28" s="237"/>
      <c r="N28" s="237"/>
      <c r="Q28" s="237"/>
      <c r="T28" s="237"/>
      <c r="W28" s="237"/>
      <c r="AE28" s="178"/>
      <c r="AF28" s="169">
        <f t="shared" ca="1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20"/>
        <v>28</v>
      </c>
      <c r="AK28" s="169" t="str">
        <f t="shared" ca="1" si="21"/>
        <v>BBB+</v>
      </c>
      <c r="AL28" s="169">
        <f t="shared" ca="1" si="21"/>
        <v>19</v>
      </c>
      <c r="AM28" s="169" t="str">
        <f t="shared" ca="1" si="4"/>
        <v/>
      </c>
      <c r="AQ28" s="207" t="s">
        <v>275</v>
      </c>
      <c r="AR28" s="207" t="s">
        <v>175</v>
      </c>
      <c r="AS28" s="207">
        <v>15</v>
      </c>
      <c r="AT28" s="207" t="s">
        <v>276</v>
      </c>
      <c r="AV28" s="168">
        <f t="shared" ca="1" si="5"/>
        <v>42</v>
      </c>
      <c r="AW28" s="168">
        <f ca="1">COUNTIF( AV$7:AV28, AV28 )</f>
        <v>1</v>
      </c>
      <c r="AX28" s="208">
        <f t="shared" ca="1" si="22"/>
        <v>42.1</v>
      </c>
      <c r="AY28" s="168">
        <f t="shared" ca="1" si="6"/>
        <v>42</v>
      </c>
      <c r="AZ28" s="169"/>
      <c r="BA28" s="169"/>
      <c r="BC28" s="168">
        <f t="shared" ca="1" si="24"/>
        <v>22</v>
      </c>
      <c r="BD28" s="209">
        <f t="shared" ca="1" si="8"/>
        <v>21</v>
      </c>
      <c r="BF28" s="173" t="str">
        <f t="shared" ca="1" si="23"/>
        <v>Exelon Corporation</v>
      </c>
      <c r="BG28" s="173" t="str">
        <f t="shared" ca="1" si="23"/>
        <v>BBB+</v>
      </c>
      <c r="BH28" s="173">
        <f t="shared" ca="1" si="23"/>
        <v>19</v>
      </c>
      <c r="BI28" s="173" t="str">
        <f t="shared" ca="1" si="23"/>
        <v>EXC</v>
      </c>
    </row>
    <row r="29" spans="1:61" ht="13.8" x14ac:dyDescent="0.25">
      <c r="A29" s="223" t="s">
        <v>271</v>
      </c>
      <c r="B29" s="224" t="s">
        <v>140</v>
      </c>
      <c r="C29" s="224">
        <v>19</v>
      </c>
      <c r="D29" s="224" t="s">
        <v>272</v>
      </c>
      <c r="E29" s="225" t="str">
        <f t="shared" ca="1" si="9"/>
        <v>MR</v>
      </c>
      <c r="F29" s="348"/>
      <c r="G29" s="349">
        <f t="shared" ca="1" si="1"/>
        <v>28</v>
      </c>
      <c r="H29" s="350"/>
      <c r="I29" s="237"/>
      <c r="J29" s="191"/>
      <c r="K29" s="237"/>
      <c r="N29" s="237"/>
      <c r="Q29" s="237"/>
      <c r="T29" s="237"/>
      <c r="W29" s="237"/>
      <c r="AF29" s="169">
        <f t="shared" ca="1" si="2"/>
        <v>1</v>
      </c>
      <c r="AG29" s="169" t="str">
        <f t="shared" ca="1" si="3"/>
        <v/>
      </c>
      <c r="AH29" s="169" t="str">
        <f t="shared" ca="1" si="19"/>
        <v/>
      </c>
      <c r="AJ29" s="169">
        <f t="shared" ca="1" si="20"/>
        <v>29</v>
      </c>
      <c r="AK29" s="169" t="str">
        <f t="shared" ca="1" si="21"/>
        <v>BBB+</v>
      </c>
      <c r="AL29" s="169">
        <f t="shared" ca="1" si="21"/>
        <v>19</v>
      </c>
      <c r="AM29" s="169" t="str">
        <f t="shared" ca="1" si="4"/>
        <v/>
      </c>
      <c r="AQ29" s="207" t="s">
        <v>279</v>
      </c>
      <c r="AR29" s="207" t="s">
        <v>142</v>
      </c>
      <c r="AS29" s="207">
        <v>17</v>
      </c>
      <c r="AT29" s="207" t="s">
        <v>280</v>
      </c>
      <c r="AV29" s="168">
        <f t="shared" ca="1" si="5"/>
        <v>38</v>
      </c>
      <c r="AW29" s="168">
        <f ca="1">COUNTIF( AV$7:AV29, AV29 )</f>
        <v>2</v>
      </c>
      <c r="AX29" s="208">
        <f t="shared" ca="1" si="22"/>
        <v>38.200000000000003</v>
      </c>
      <c r="AY29" s="168">
        <f t="shared" ca="1" si="6"/>
        <v>39</v>
      </c>
      <c r="AZ29" s="169"/>
      <c r="BA29" s="169"/>
      <c r="BC29" s="168">
        <f t="shared" ca="1" si="24"/>
        <v>23</v>
      </c>
      <c r="BD29" s="209">
        <f t="shared" ca="1" si="8"/>
        <v>26</v>
      </c>
      <c r="BF29" s="173" t="str">
        <f t="shared" ca="1" si="23"/>
        <v>MDU Resources Group, Inc.</v>
      </c>
      <c r="BG29" s="173" t="str">
        <f t="shared" ca="1" si="23"/>
        <v>BBB+</v>
      </c>
      <c r="BH29" s="173">
        <f t="shared" ca="1" si="23"/>
        <v>19</v>
      </c>
      <c r="BI29" s="173" t="str">
        <f t="shared" ca="1" si="23"/>
        <v>MDU</v>
      </c>
    </row>
    <row r="30" spans="1:61" ht="13.8" x14ac:dyDescent="0.25">
      <c r="A30" s="223" t="s">
        <v>273</v>
      </c>
      <c r="B30" s="224" t="s">
        <v>140</v>
      </c>
      <c r="C30" s="224">
        <v>19</v>
      </c>
      <c r="D30" s="224" t="s">
        <v>274</v>
      </c>
      <c r="E30" s="225" t="str">
        <f t="shared" ca="1" si="9"/>
        <v>R</v>
      </c>
      <c r="F30" s="348"/>
      <c r="G30" s="349">
        <f t="shared" ca="1" si="1"/>
        <v>31</v>
      </c>
      <c r="H30" s="350"/>
      <c r="I30" s="237"/>
      <c r="J30" s="191"/>
      <c r="K30" s="237"/>
      <c r="N30" s="237"/>
      <c r="Q30" s="237"/>
      <c r="T30" s="237"/>
      <c r="W30" s="237"/>
      <c r="AF30" s="169">
        <f t="shared" ca="1" si="2"/>
        <v>1</v>
      </c>
      <c r="AG30" s="169" t="str">
        <f t="shared" ca="1" si="3"/>
        <v/>
      </c>
      <c r="AH30" s="169" t="str">
        <f t="shared" ca="1" si="19"/>
        <v/>
      </c>
      <c r="AJ30" s="169">
        <f t="shared" ca="1" si="20"/>
        <v>30</v>
      </c>
      <c r="AK30" s="169" t="str">
        <f t="shared" ca="1" si="21"/>
        <v>BBB+</v>
      </c>
      <c r="AL30" s="169">
        <f t="shared" ca="1" si="21"/>
        <v>19</v>
      </c>
      <c r="AM30" s="169" t="str">
        <f t="shared" ca="1" si="4"/>
        <v/>
      </c>
      <c r="AQ30" s="207" t="s">
        <v>283</v>
      </c>
      <c r="AR30" s="207" t="s">
        <v>141</v>
      </c>
      <c r="AS30" s="207">
        <v>18</v>
      </c>
      <c r="AT30" s="207" t="s">
        <v>284</v>
      </c>
      <c r="AV30" s="168">
        <f t="shared" ca="1" si="5"/>
        <v>30</v>
      </c>
      <c r="AW30" s="168">
        <f ca="1">COUNTIF( AV$7:AV30, AV30 )</f>
        <v>4</v>
      </c>
      <c r="AX30" s="208">
        <f t="shared" ca="1" si="22"/>
        <v>30.4</v>
      </c>
      <c r="AY30" s="168">
        <f t="shared" ca="1" si="6"/>
        <v>33</v>
      </c>
      <c r="AZ30" s="169"/>
      <c r="BA30" s="169"/>
      <c r="BC30" s="168">
        <f t="shared" ca="1" si="24"/>
        <v>24</v>
      </c>
      <c r="BD30" s="209">
        <f t="shared" ca="1" si="8"/>
        <v>28</v>
      </c>
      <c r="BF30" s="173" t="str">
        <f t="shared" ca="1" si="23"/>
        <v>NiSource Inc.</v>
      </c>
      <c r="BG30" s="173" t="str">
        <f t="shared" ca="1" si="23"/>
        <v>BBB+</v>
      </c>
      <c r="BH30" s="173">
        <f t="shared" ca="1" si="23"/>
        <v>19</v>
      </c>
      <c r="BI30" s="173" t="str">
        <f t="shared" ca="1" si="23"/>
        <v>NI</v>
      </c>
    </row>
    <row r="31" spans="1:61" ht="13.8" x14ac:dyDescent="0.25">
      <c r="A31" s="223" t="s">
        <v>277</v>
      </c>
      <c r="B31" s="224" t="s">
        <v>140</v>
      </c>
      <c r="C31" s="224">
        <v>19</v>
      </c>
      <c r="D31" s="224" t="s">
        <v>278</v>
      </c>
      <c r="E31" s="225" t="str">
        <f t="shared" ca="1" si="9"/>
        <v>R</v>
      </c>
      <c r="F31" s="348"/>
      <c r="G31" s="349">
        <f t="shared" ca="1" si="1"/>
        <v>33</v>
      </c>
      <c r="H31" s="350"/>
      <c r="I31" s="237"/>
      <c r="J31" s="191"/>
      <c r="K31" s="237"/>
      <c r="N31" s="237"/>
      <c r="O31" s="351"/>
      <c r="Q31" s="237"/>
      <c r="T31" s="237"/>
      <c r="W31" s="237"/>
      <c r="AF31" s="169">
        <f t="shared" ca="1" si="2"/>
        <v>1</v>
      </c>
      <c r="AG31" s="169" t="str">
        <f t="shared" ca="1" si="3"/>
        <v/>
      </c>
      <c r="AH31" s="169" t="str">
        <f t="shared" ca="1" si="19"/>
        <v/>
      </c>
      <c r="AJ31" s="169">
        <f t="shared" ca="1" si="20"/>
        <v>31</v>
      </c>
      <c r="AK31" s="169" t="str">
        <f t="shared" ca="1" si="21"/>
        <v>BBB+</v>
      </c>
      <c r="AL31" s="169">
        <f t="shared" ca="1" si="21"/>
        <v>19</v>
      </c>
      <c r="AM31" s="169" t="str">
        <f t="shared" ca="1" si="4"/>
        <v/>
      </c>
      <c r="AQ31" s="207" t="s">
        <v>287</v>
      </c>
      <c r="AR31" s="207" t="s">
        <v>141</v>
      </c>
      <c r="AS31" s="207">
        <v>18</v>
      </c>
      <c r="AT31" s="207" t="s">
        <v>288</v>
      </c>
      <c r="AV31" s="168">
        <f t="shared" ca="1" si="5"/>
        <v>30</v>
      </c>
      <c r="AW31" s="168">
        <f ca="1">COUNTIF( AV$7:AV31, AV31 )</f>
        <v>5</v>
      </c>
      <c r="AX31" s="208">
        <f t="shared" ca="1" si="22"/>
        <v>30.5</v>
      </c>
      <c r="AY31" s="168">
        <f t="shared" ca="1" si="6"/>
        <v>34</v>
      </c>
      <c r="AZ31" s="169"/>
      <c r="BA31" s="169"/>
      <c r="BC31" s="168">
        <f t="shared" ca="1" si="24"/>
        <v>25</v>
      </c>
      <c r="BD31" s="209">
        <f t="shared" ca="1" si="8"/>
        <v>30</v>
      </c>
      <c r="BF31" s="173" t="str">
        <f t="shared" ca="1" si="23"/>
        <v>OGE Energy Corp.</v>
      </c>
      <c r="BG31" s="173" t="str">
        <f t="shared" ca="1" si="23"/>
        <v>BBB+</v>
      </c>
      <c r="BH31" s="173">
        <f t="shared" ca="1" si="23"/>
        <v>19</v>
      </c>
      <c r="BI31" s="173" t="str">
        <f t="shared" ca="1" si="23"/>
        <v>OGE</v>
      </c>
    </row>
    <row r="32" spans="1:61" ht="13.8" x14ac:dyDescent="0.25">
      <c r="A32" s="223" t="s">
        <v>285</v>
      </c>
      <c r="B32" s="224" t="s">
        <v>140</v>
      </c>
      <c r="C32" s="224">
        <v>19</v>
      </c>
      <c r="D32" s="224" t="s">
        <v>286</v>
      </c>
      <c r="E32" s="225" t="str">
        <f t="shared" ca="1" si="9"/>
        <v>R</v>
      </c>
      <c r="F32" s="348"/>
      <c r="G32" s="349">
        <f t="shared" ca="1" si="1"/>
        <v>38</v>
      </c>
      <c r="H32" s="350"/>
      <c r="I32" s="237"/>
      <c r="J32" s="191"/>
      <c r="K32" s="237"/>
      <c r="N32" s="237"/>
      <c r="Q32" s="237"/>
      <c r="T32" s="237"/>
      <c r="W32" s="237"/>
      <c r="AF32" s="169">
        <f t="shared" ca="1" si="2"/>
        <v>1</v>
      </c>
      <c r="AG32" s="169" t="str">
        <f t="shared" ca="1" si="3"/>
        <v/>
      </c>
      <c r="AH32" s="169" t="str">
        <f t="shared" ca="1" si="19"/>
        <v/>
      </c>
      <c r="AJ32" s="169">
        <f t="shared" ca="1" si="20"/>
        <v>32</v>
      </c>
      <c r="AK32" s="169" t="str">
        <f t="shared" ca="1" si="21"/>
        <v>BBB+</v>
      </c>
      <c r="AL32" s="169">
        <f t="shared" ca="1" si="21"/>
        <v>19</v>
      </c>
      <c r="AM32" s="169" t="str">
        <f t="shared" ca="1" si="4"/>
        <v/>
      </c>
      <c r="AQ32" s="207" t="s">
        <v>271</v>
      </c>
      <c r="AR32" s="207" t="s">
        <v>140</v>
      </c>
      <c r="AS32" s="207">
        <v>19</v>
      </c>
      <c r="AT32" s="207" t="s">
        <v>272</v>
      </c>
      <c r="AV32" s="168">
        <f t="shared" ca="1" si="5"/>
        <v>13</v>
      </c>
      <c r="AW32" s="168">
        <f ca="1">COUNTIF( AV$7:AV32, AV32 )</f>
        <v>11</v>
      </c>
      <c r="AX32" s="208">
        <f t="shared" ca="1" si="22"/>
        <v>14.1</v>
      </c>
      <c r="AY32" s="168">
        <f t="shared" ca="1" si="6"/>
        <v>23</v>
      </c>
      <c r="AZ32" s="169"/>
      <c r="BA32" s="169"/>
      <c r="BC32" s="168">
        <f t="shared" ca="1" si="24"/>
        <v>26</v>
      </c>
      <c r="BD32" s="209">
        <f t="shared" ca="1" si="8"/>
        <v>35</v>
      </c>
      <c r="BF32" s="173" t="str">
        <f t="shared" ca="1" si="23"/>
        <v>Portland General Electric Company</v>
      </c>
      <c r="BG32" s="173" t="str">
        <f t="shared" ca="1" si="23"/>
        <v>BBB+</v>
      </c>
      <c r="BH32" s="173">
        <f t="shared" ca="1" si="23"/>
        <v>19</v>
      </c>
      <c r="BI32" s="173" t="str">
        <f t="shared" ca="1" si="23"/>
        <v>POR</v>
      </c>
    </row>
    <row r="33" spans="1:61" ht="13.8" x14ac:dyDescent="0.25">
      <c r="A33" s="223" t="s">
        <v>289</v>
      </c>
      <c r="B33" s="224" t="s">
        <v>140</v>
      </c>
      <c r="C33" s="224">
        <v>19</v>
      </c>
      <c r="D33" s="224" t="s">
        <v>290</v>
      </c>
      <c r="E33" s="225" t="str">
        <f t="shared" ca="1" si="9"/>
        <v>MR</v>
      </c>
      <c r="F33" s="348"/>
      <c r="G33" s="349">
        <f t="shared" ca="1" si="1"/>
        <v>40</v>
      </c>
      <c r="H33" s="350"/>
      <c r="I33" s="237"/>
      <c r="J33" s="191"/>
      <c r="K33" s="237"/>
      <c r="N33" s="237"/>
      <c r="Q33" s="237"/>
      <c r="T33" s="237"/>
      <c r="W33" s="237"/>
      <c r="AF33" s="169">
        <f t="shared" ca="1" si="2"/>
        <v>1</v>
      </c>
      <c r="AG33" s="169" t="str">
        <f t="shared" ca="1" si="3"/>
        <v/>
      </c>
      <c r="AH33" s="169" t="str">
        <f t="shared" ca="1" si="19"/>
        <v/>
      </c>
      <c r="AJ33" s="169">
        <f t="shared" ca="1" si="20"/>
        <v>33</v>
      </c>
      <c r="AK33" s="169" t="str">
        <f t="shared" ca="1" si="21"/>
        <v>BBB+</v>
      </c>
      <c r="AL33" s="169">
        <f t="shared" ca="1" si="21"/>
        <v>19</v>
      </c>
      <c r="AM33" s="169" t="str">
        <f t="shared" ca="1" si="4"/>
        <v/>
      </c>
      <c r="AQ33" s="207" t="s">
        <v>240</v>
      </c>
      <c r="AR33" s="207" t="s">
        <v>139</v>
      </c>
      <c r="AS33" s="207">
        <v>20</v>
      </c>
      <c r="AT33" s="207" t="s">
        <v>241</v>
      </c>
      <c r="AV33" s="168">
        <f t="shared" ca="1" si="5"/>
        <v>2</v>
      </c>
      <c r="AW33" s="168">
        <f ca="1">COUNTIF( AV$7:AV33, AV33 )</f>
        <v>6</v>
      </c>
      <c r="AX33" s="208">
        <f t="shared" ca="1" si="22"/>
        <v>2.6</v>
      </c>
      <c r="AY33" s="168">
        <f t="shared" ca="1" si="6"/>
        <v>7</v>
      </c>
      <c r="AZ33" s="169"/>
      <c r="BA33" s="169"/>
      <c r="BC33" s="168">
        <f t="shared" ca="1" si="24"/>
        <v>27</v>
      </c>
      <c r="BD33" s="209">
        <f t="shared" ca="1" si="8"/>
        <v>37</v>
      </c>
      <c r="BF33" s="173" t="str">
        <f t="shared" ca="1" si="23"/>
        <v>Public Service Enterprise Group Incorporated</v>
      </c>
      <c r="BG33" s="173" t="str">
        <f t="shared" ca="1" si="23"/>
        <v>BBB+</v>
      </c>
      <c r="BH33" s="173">
        <f t="shared" ca="1" si="23"/>
        <v>19</v>
      </c>
      <c r="BI33" s="173" t="str">
        <f t="shared" ca="1" si="23"/>
        <v>PEG</v>
      </c>
    </row>
    <row r="34" spans="1:61" ht="13.8" x14ac:dyDescent="0.25">
      <c r="A34" s="223" t="s">
        <v>291</v>
      </c>
      <c r="B34" s="224" t="s">
        <v>140</v>
      </c>
      <c r="C34" s="224">
        <v>19</v>
      </c>
      <c r="D34" s="224" t="s">
        <v>292</v>
      </c>
      <c r="E34" s="225" t="str">
        <f t="shared" ca="1" si="9"/>
        <v>R</v>
      </c>
      <c r="F34" s="348"/>
      <c r="G34" s="349">
        <f t="shared" ca="1" si="1"/>
        <v>41</v>
      </c>
      <c r="H34" s="350"/>
      <c r="I34" s="237"/>
      <c r="J34" s="191"/>
      <c r="K34" s="237"/>
      <c r="N34" s="237"/>
      <c r="Q34" s="237"/>
      <c r="T34" s="237"/>
      <c r="W34" s="237"/>
      <c r="AF34" s="169">
        <f t="shared" ca="1" si="2"/>
        <v>1</v>
      </c>
      <c r="AG34" s="169" t="str">
        <f t="shared" ca="1" si="3"/>
        <v/>
      </c>
      <c r="AH34" s="169" t="str">
        <f t="shared" ca="1" si="19"/>
        <v/>
      </c>
      <c r="AJ34" s="169">
        <f t="shared" ca="1" si="20"/>
        <v>34</v>
      </c>
      <c r="AK34" s="169" t="str">
        <f t="shared" ca="1" si="21"/>
        <v>BBB+</v>
      </c>
      <c r="AL34" s="169">
        <f t="shared" ca="1" si="21"/>
        <v>19</v>
      </c>
      <c r="AM34" s="169" t="str">
        <f t="shared" ca="1" si="4"/>
        <v/>
      </c>
      <c r="AQ34" s="207" t="s">
        <v>273</v>
      </c>
      <c r="AR34" s="207" t="s">
        <v>140</v>
      </c>
      <c r="AS34" s="207">
        <v>19</v>
      </c>
      <c r="AT34" s="207" t="s">
        <v>274</v>
      </c>
      <c r="AV34" s="168">
        <f t="shared" ca="1" si="5"/>
        <v>13</v>
      </c>
      <c r="AW34" s="168">
        <f ca="1">COUNTIF( AV$7:AV34, AV34 )</f>
        <v>12</v>
      </c>
      <c r="AX34" s="208">
        <f t="shared" ca="1" si="22"/>
        <v>14.2</v>
      </c>
      <c r="AY34" s="168">
        <f t="shared" ca="1" si="6"/>
        <v>24</v>
      </c>
      <c r="AZ34" s="169"/>
      <c r="BA34" s="169"/>
      <c r="BC34" s="168">
        <f t="shared" ca="1" si="24"/>
        <v>28</v>
      </c>
      <c r="BD34" s="209">
        <f t="shared" ca="1" si="8"/>
        <v>39</v>
      </c>
      <c r="BF34" s="173" t="str">
        <f t="shared" ca="1" si="23"/>
        <v>Sempra Energy</v>
      </c>
      <c r="BG34" s="173" t="str">
        <f t="shared" ca="1" si="23"/>
        <v>BBB+</v>
      </c>
      <c r="BH34" s="173">
        <f t="shared" ca="1" si="23"/>
        <v>19</v>
      </c>
      <c r="BI34" s="173" t="str">
        <f t="shared" ca="1" si="23"/>
        <v>SRE</v>
      </c>
    </row>
    <row r="35" spans="1:61" ht="13.8" x14ac:dyDescent="0.25">
      <c r="A35" s="223" t="s">
        <v>295</v>
      </c>
      <c r="B35" s="224" t="s">
        <v>140</v>
      </c>
      <c r="C35" s="224">
        <v>19</v>
      </c>
      <c r="D35" s="224" t="s">
        <v>296</v>
      </c>
      <c r="E35" s="225" t="str">
        <f t="shared" ca="1" si="9"/>
        <v>R</v>
      </c>
      <c r="F35" s="348"/>
      <c r="G35" s="349">
        <f t="shared" ca="1" si="1"/>
        <v>43</v>
      </c>
      <c r="H35" s="350"/>
      <c r="I35" s="237"/>
      <c r="K35" s="237"/>
      <c r="N35" s="237"/>
      <c r="Q35" s="237"/>
      <c r="T35" s="237"/>
      <c r="W35" s="237"/>
      <c r="AF35" s="169">
        <f t="shared" ca="1" si="2"/>
        <v>1</v>
      </c>
      <c r="AG35" s="169" t="str">
        <f t="shared" ca="1" si="3"/>
        <v/>
      </c>
      <c r="AH35" s="169" t="str">
        <f t="shared" ca="1" si="19"/>
        <v/>
      </c>
      <c r="AJ35" s="169">
        <f t="shared" ca="1" si="20"/>
        <v>35</v>
      </c>
      <c r="AK35" s="169" t="str">
        <f t="shared" ca="1" si="21"/>
        <v>BBB+</v>
      </c>
      <c r="AL35" s="169">
        <f t="shared" ca="1" si="21"/>
        <v>19</v>
      </c>
      <c r="AM35" s="169" t="str">
        <f t="shared" ca="1" si="4"/>
        <v/>
      </c>
      <c r="AQ35" s="207" t="s">
        <v>297</v>
      </c>
      <c r="AR35" s="207" t="s">
        <v>141</v>
      </c>
      <c r="AS35" s="207">
        <v>18</v>
      </c>
      <c r="AT35" s="207" t="s">
        <v>298</v>
      </c>
      <c r="AV35" s="168">
        <f t="shared" ca="1" si="5"/>
        <v>30</v>
      </c>
      <c r="AW35" s="168">
        <f ca="1">COUNTIF( AV$7:AV35, AV35 )</f>
        <v>6</v>
      </c>
      <c r="AX35" s="208">
        <f t="shared" ca="1" si="22"/>
        <v>30.6</v>
      </c>
      <c r="AY35" s="168">
        <f t="shared" ca="1" si="6"/>
        <v>35</v>
      </c>
      <c r="AZ35" s="169"/>
      <c r="BA35" s="169"/>
      <c r="BC35" s="168">
        <f t="shared" ca="1" si="24"/>
        <v>29</v>
      </c>
      <c r="BD35" s="209">
        <f t="shared" ca="1" si="8"/>
        <v>41</v>
      </c>
      <c r="BF35" s="173" t="str">
        <f t="shared" ca="1" si="23"/>
        <v>Unitil Corporation</v>
      </c>
      <c r="BG35" s="173" t="str">
        <f t="shared" ca="1" si="23"/>
        <v>BBB+</v>
      </c>
      <c r="BH35" s="173">
        <f t="shared" ca="1" si="23"/>
        <v>19</v>
      </c>
      <c r="BI35" s="173" t="str">
        <f t="shared" ca="1" si="23"/>
        <v>UTL</v>
      </c>
    </row>
    <row r="36" spans="1:61" ht="13.8" x14ac:dyDescent="0.25">
      <c r="A36" s="223" t="s">
        <v>217</v>
      </c>
      <c r="B36" s="224" t="s">
        <v>141</v>
      </c>
      <c r="C36" s="224">
        <v>18</v>
      </c>
      <c r="D36" s="224" t="s">
        <v>218</v>
      </c>
      <c r="E36" s="225" t="str">
        <f t="shared" ca="1" si="9"/>
        <v>MR</v>
      </c>
      <c r="F36" s="348"/>
      <c r="G36" s="349">
        <f t="shared" ca="1" si="1"/>
        <v>7</v>
      </c>
      <c r="H36" s="350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ca="1" si="2"/>
        <v>0</v>
      </c>
      <c r="AG36" s="169" t="str">
        <f t="shared" ca="1" si="3"/>
        <v/>
      </c>
      <c r="AH36" s="169" t="str">
        <f t="shared" ca="1" si="19"/>
        <v/>
      </c>
      <c r="AJ36" s="169">
        <f t="shared" ca="1" si="20"/>
        <v>36</v>
      </c>
      <c r="AK36" s="169" t="str">
        <f t="shared" ca="1" si="21"/>
        <v>BBB</v>
      </c>
      <c r="AL36" s="169">
        <f t="shared" ca="1" si="21"/>
        <v>18</v>
      </c>
      <c r="AM36" s="169" t="str">
        <f t="shared" ca="1" si="4"/>
        <v/>
      </c>
      <c r="AQ36" s="207" t="s">
        <v>277</v>
      </c>
      <c r="AR36" s="207" t="s">
        <v>140</v>
      </c>
      <c r="AS36" s="207">
        <v>19</v>
      </c>
      <c r="AT36" s="207" t="s">
        <v>278</v>
      </c>
      <c r="AV36" s="168">
        <f t="shared" ca="1" si="5"/>
        <v>13</v>
      </c>
      <c r="AW36" s="168">
        <f ca="1">COUNTIF( AV$7:AV36, AV36 )</f>
        <v>13</v>
      </c>
      <c r="AX36" s="208">
        <f t="shared" ca="1" si="22"/>
        <v>14.3</v>
      </c>
      <c r="AY36" s="168">
        <f t="shared" ca="1" si="6"/>
        <v>25</v>
      </c>
      <c r="AZ36" s="169"/>
      <c r="BA36" s="169"/>
      <c r="BC36" s="168">
        <f t="shared" ca="1" si="24"/>
        <v>30</v>
      </c>
      <c r="BD36" s="209">
        <f t="shared" ca="1" si="8"/>
        <v>1</v>
      </c>
      <c r="BF36" s="173" t="str">
        <f t="shared" ca="1" si="23"/>
        <v>ALLETE, Inc.</v>
      </c>
      <c r="BG36" s="173" t="str">
        <f t="shared" ca="1" si="23"/>
        <v>BBB</v>
      </c>
      <c r="BH36" s="173">
        <f t="shared" ca="1" si="23"/>
        <v>18</v>
      </c>
      <c r="BI36" s="173" t="str">
        <f t="shared" ca="1" si="23"/>
        <v>ALE</v>
      </c>
    </row>
    <row r="37" spans="1:61" ht="13.8" x14ac:dyDescent="0.25">
      <c r="A37" s="223" t="s">
        <v>238</v>
      </c>
      <c r="B37" s="224" t="s">
        <v>141</v>
      </c>
      <c r="C37" s="224">
        <v>18</v>
      </c>
      <c r="D37" s="224" t="s">
        <v>239</v>
      </c>
      <c r="E37" s="225" t="str">
        <f t="shared" ca="1" si="9"/>
        <v>R</v>
      </c>
      <c r="F37" s="348"/>
      <c r="G37" s="349">
        <f t="shared" ca="1" si="1"/>
        <v>12</v>
      </c>
      <c r="H37" s="350"/>
      <c r="I37" s="237"/>
      <c r="K37" s="237"/>
      <c r="L37" s="173"/>
      <c r="N37" s="237"/>
      <c r="Q37" s="237"/>
      <c r="T37" s="237"/>
      <c r="W37" s="237"/>
      <c r="AF37" s="169">
        <f t="shared" ca="1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20"/>
        <v>37</v>
      </c>
      <c r="AK37" s="169" t="str">
        <f t="shared" ca="1" si="21"/>
        <v>BBB</v>
      </c>
      <c r="AL37" s="169">
        <f t="shared" ca="1" si="21"/>
        <v>18</v>
      </c>
      <c r="AM37" s="169" t="str">
        <f t="shared" ca="1" si="4"/>
        <v/>
      </c>
      <c r="AQ37" s="207" t="s">
        <v>299</v>
      </c>
      <c r="AR37" s="207" t="s">
        <v>141</v>
      </c>
      <c r="AS37" s="207">
        <v>18</v>
      </c>
      <c r="AT37" s="207" t="s">
        <v>300</v>
      </c>
      <c r="AV37" s="168">
        <f t="shared" ca="1" si="5"/>
        <v>30</v>
      </c>
      <c r="AW37" s="168">
        <f ca="1">COUNTIF( AV$7:AV37, AV37 )</f>
        <v>7</v>
      </c>
      <c r="AX37" s="208">
        <f t="shared" ca="1" si="22"/>
        <v>30.7</v>
      </c>
      <c r="AY37" s="168">
        <f t="shared" ca="1" si="6"/>
        <v>36</v>
      </c>
      <c r="AZ37" s="169"/>
      <c r="BA37" s="169"/>
      <c r="BC37" s="168">
        <f t="shared" ca="1" si="24"/>
        <v>31</v>
      </c>
      <c r="BD37" s="209">
        <f t="shared" ca="1" si="8"/>
        <v>6</v>
      </c>
      <c r="BF37" s="173" t="str">
        <f t="shared" ca="1" si="23"/>
        <v>Avista Corporation</v>
      </c>
      <c r="BG37" s="173" t="str">
        <f t="shared" ca="1" si="23"/>
        <v>BBB</v>
      </c>
      <c r="BH37" s="173">
        <f t="shared" ca="1" si="23"/>
        <v>18</v>
      </c>
      <c r="BI37" s="173" t="str">
        <f t="shared" ca="1" si="23"/>
        <v>AVA</v>
      </c>
    </row>
    <row r="38" spans="1:61" ht="13.2" customHeight="1" x14ac:dyDescent="0.25">
      <c r="A38" s="223" t="s">
        <v>265</v>
      </c>
      <c r="B38" s="224" t="s">
        <v>141</v>
      </c>
      <c r="C38" s="224">
        <v>18</v>
      </c>
      <c r="D38" s="224" t="s">
        <v>266</v>
      </c>
      <c r="E38" s="225" t="str">
        <f t="shared" ca="1" si="9"/>
        <v>R</v>
      </c>
      <c r="F38" s="348"/>
      <c r="G38" s="349">
        <f t="shared" ca="1" si="1"/>
        <v>20</v>
      </c>
      <c r="H38" s="350"/>
      <c r="I38" s="237"/>
      <c r="J38" s="191"/>
      <c r="K38" s="237"/>
      <c r="L38" s="173"/>
      <c r="N38" s="237"/>
      <c r="Q38" s="237"/>
      <c r="T38" s="237"/>
      <c r="W38" s="237"/>
      <c r="AF38" s="169">
        <f t="shared" ca="1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20"/>
        <v>38</v>
      </c>
      <c r="AK38" s="169" t="str">
        <f t="shared" ca="1" si="21"/>
        <v>BBB</v>
      </c>
      <c r="AL38" s="169">
        <f t="shared" ca="1" si="21"/>
        <v>18</v>
      </c>
      <c r="AM38" s="169" t="str">
        <f t="shared" ca="1" si="4"/>
        <v/>
      </c>
      <c r="AQ38" s="207" t="s">
        <v>301</v>
      </c>
      <c r="AR38" s="207" t="s">
        <v>177</v>
      </c>
      <c r="AS38" s="207">
        <v>14</v>
      </c>
      <c r="AT38" s="207" t="s">
        <v>302</v>
      </c>
      <c r="AV38" s="168">
        <f t="shared" ca="1" si="5"/>
        <v>43</v>
      </c>
      <c r="AW38" s="168">
        <f ca="1">COUNTIF( AV$7:AV38, AV38 )</f>
        <v>1</v>
      </c>
      <c r="AX38" s="208">
        <f t="shared" ca="1" si="22"/>
        <v>43.1</v>
      </c>
      <c r="AY38" s="168">
        <f t="shared" ca="1" si="6"/>
        <v>43</v>
      </c>
      <c r="AZ38" s="169"/>
      <c r="BA38" s="169"/>
      <c r="BC38" s="168">
        <f t="shared" ca="1" si="24"/>
        <v>32</v>
      </c>
      <c r="BD38" s="209">
        <f t="shared" ca="1" si="8"/>
        <v>17</v>
      </c>
      <c r="BF38" s="173" t="str">
        <f t="shared" ca="1" si="23"/>
        <v>Edison International</v>
      </c>
      <c r="BG38" s="173" t="str">
        <f t="shared" ca="1" si="23"/>
        <v>BBB</v>
      </c>
      <c r="BH38" s="173">
        <f t="shared" ca="1" si="23"/>
        <v>18</v>
      </c>
      <c r="BI38" s="173" t="str">
        <f t="shared" ca="1" si="23"/>
        <v>EIX</v>
      </c>
    </row>
    <row r="39" spans="1:61" ht="13.8" x14ac:dyDescent="0.25">
      <c r="A39" s="223" t="s">
        <v>283</v>
      </c>
      <c r="B39" s="224" t="s">
        <v>141</v>
      </c>
      <c r="C39" s="224">
        <v>18</v>
      </c>
      <c r="D39" s="224" t="s">
        <v>284</v>
      </c>
      <c r="E39" s="225" t="str">
        <f t="shared" ca="1" si="9"/>
        <v>R</v>
      </c>
      <c r="F39" s="348"/>
      <c r="G39" s="349">
        <f t="shared" ca="1" si="1"/>
        <v>27</v>
      </c>
      <c r="H39" s="350"/>
      <c r="I39" s="237"/>
      <c r="K39" s="237"/>
      <c r="L39" s="173"/>
      <c r="N39" s="237"/>
      <c r="Q39" s="237"/>
      <c r="T39" s="237"/>
      <c r="W39" s="237"/>
      <c r="AF39" s="169">
        <f t="shared" ca="1" si="2"/>
        <v>0</v>
      </c>
      <c r="AG39" s="169" t="str">
        <f t="shared" ca="1" si="3"/>
        <v/>
      </c>
      <c r="AH39" s="169" t="str">
        <f t="shared" ca="1" si="19"/>
        <v/>
      </c>
      <c r="AJ39" s="169">
        <f t="shared" ca="1" si="20"/>
        <v>39</v>
      </c>
      <c r="AK39" s="169" t="str">
        <f t="shared" ca="1" si="21"/>
        <v>BBB</v>
      </c>
      <c r="AL39" s="169">
        <f t="shared" ca="1" si="21"/>
        <v>18</v>
      </c>
      <c r="AM39" s="169" t="str">
        <f t="shared" ca="1" si="4"/>
        <v/>
      </c>
      <c r="AQ39" s="207" t="s">
        <v>281</v>
      </c>
      <c r="AR39" s="207" t="s">
        <v>139</v>
      </c>
      <c r="AS39" s="207">
        <v>20</v>
      </c>
      <c r="AT39" s="207" t="s">
        <v>282</v>
      </c>
      <c r="AV39" s="168">
        <f t="shared" ca="1" si="5"/>
        <v>2</v>
      </c>
      <c r="AW39" s="168">
        <f ca="1">COUNTIF( AV$7:AV39, AV39 )</f>
        <v>7</v>
      </c>
      <c r="AX39" s="208">
        <f t="shared" ca="1" si="22"/>
        <v>2.7</v>
      </c>
      <c r="AY39" s="168">
        <f t="shared" ca="1" si="6"/>
        <v>8</v>
      </c>
      <c r="AZ39" s="169"/>
      <c r="BA39" s="169"/>
      <c r="BC39" s="168">
        <f t="shared" ca="1" si="24"/>
        <v>33</v>
      </c>
      <c r="BD39" s="209">
        <f t="shared" ca="1" si="8"/>
        <v>24</v>
      </c>
      <c r="BF39" s="173" t="str">
        <f t="shared" ca="1" si="23"/>
        <v>IDACORP, Inc.</v>
      </c>
      <c r="BG39" s="173" t="str">
        <f t="shared" ca="1" si="23"/>
        <v>BBB</v>
      </c>
      <c r="BH39" s="173">
        <f t="shared" ca="1" si="23"/>
        <v>18</v>
      </c>
      <c r="BI39" s="173" t="str">
        <f t="shared" ca="1" si="23"/>
        <v>IDA</v>
      </c>
    </row>
    <row r="40" spans="1:61" ht="13.8" x14ac:dyDescent="0.25">
      <c r="A40" s="223" t="s">
        <v>287</v>
      </c>
      <c r="B40" s="224" t="s">
        <v>141</v>
      </c>
      <c r="C40" s="224">
        <v>18</v>
      </c>
      <c r="D40" s="224" t="s">
        <v>288</v>
      </c>
      <c r="E40" s="225" t="str">
        <f t="shared" ca="1" si="9"/>
        <v>R</v>
      </c>
      <c r="F40" s="348"/>
      <c r="G40" s="349">
        <f t="shared" ca="1" si="1"/>
        <v>55</v>
      </c>
      <c r="H40" s="350"/>
      <c r="I40" s="237"/>
      <c r="J40" s="191"/>
      <c r="K40" s="237"/>
      <c r="L40" s="173"/>
      <c r="N40" s="237"/>
      <c r="Q40" s="237"/>
      <c r="T40" s="237"/>
      <c r="W40" s="237"/>
      <c r="AF40" s="169">
        <f t="shared" ca="1" si="2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20"/>
        <v>43</v>
      </c>
      <c r="AK40" s="169" t="str">
        <f t="shared" ca="1" si="21"/>
        <v>BBB</v>
      </c>
      <c r="AL40" s="169">
        <f t="shared" ca="1" si="21"/>
        <v>18</v>
      </c>
      <c r="AM40" s="169" t="str">
        <f t="shared" ca="1" si="4"/>
        <v/>
      </c>
      <c r="AQ40" s="207" t="s">
        <v>303</v>
      </c>
      <c r="AR40" s="207" t="s">
        <v>141</v>
      </c>
      <c r="AS40" s="207">
        <v>18</v>
      </c>
      <c r="AT40" s="207" t="s">
        <v>304</v>
      </c>
      <c r="AV40" s="168">
        <f t="shared" ca="1" si="5"/>
        <v>30</v>
      </c>
      <c r="AW40" s="168">
        <f ca="1">COUNTIF( AV$7:AV40, AV40 )</f>
        <v>8</v>
      </c>
      <c r="AX40" s="208">
        <f t="shared" ca="1" si="22"/>
        <v>30.8</v>
      </c>
      <c r="AY40" s="168">
        <f t="shared" ca="1" si="6"/>
        <v>37</v>
      </c>
      <c r="AZ40" s="169"/>
      <c r="BA40" s="169"/>
      <c r="BC40" s="168">
        <f t="shared" ca="1" si="24"/>
        <v>34</v>
      </c>
      <c r="BD40" s="209">
        <f t="shared" ca="1" si="8"/>
        <v>25</v>
      </c>
      <c r="BF40" s="173" t="str">
        <f t="shared" ca="1" si="23"/>
        <v>IPALCO Enterprises, Inc.</v>
      </c>
      <c r="BG40" s="173" t="str">
        <f t="shared" ca="1" si="23"/>
        <v>BBB</v>
      </c>
      <c r="BH40" s="173">
        <f t="shared" ca="1" si="23"/>
        <v>18</v>
      </c>
      <c r="BI40" s="173" t="str">
        <f t="shared" ca="1" si="23"/>
        <v>**IPALCO</v>
      </c>
    </row>
    <row r="41" spans="1:61" ht="13.8" x14ac:dyDescent="0.25">
      <c r="A41" s="223" t="s">
        <v>297</v>
      </c>
      <c r="B41" s="224" t="s">
        <v>141</v>
      </c>
      <c r="C41" s="224">
        <v>18</v>
      </c>
      <c r="D41" s="224" t="s">
        <v>298</v>
      </c>
      <c r="E41" s="225" t="str">
        <f t="shared" ca="1" si="9"/>
        <v>R</v>
      </c>
      <c r="F41" s="348"/>
      <c r="G41" s="349">
        <f t="shared" ca="1" si="1"/>
        <v>32</v>
      </c>
      <c r="H41" s="350"/>
      <c r="I41" s="237"/>
      <c r="J41" s="191"/>
      <c r="K41" s="237"/>
      <c r="L41" s="173"/>
      <c r="N41" s="237"/>
      <c r="Q41" s="237"/>
      <c r="T41" s="237"/>
      <c r="W41" s="237"/>
      <c r="AF41" s="169">
        <f t="shared" ca="1" si="2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20"/>
        <v>40</v>
      </c>
      <c r="AK41" s="169" t="str">
        <f t="shared" ca="1" si="21"/>
        <v>BBB</v>
      </c>
      <c r="AL41" s="169">
        <f t="shared" ca="1" si="21"/>
        <v>18</v>
      </c>
      <c r="AM41" s="169" t="str">
        <f t="shared" ca="1" si="4"/>
        <v/>
      </c>
      <c r="AQ41" s="207" t="s">
        <v>285</v>
      </c>
      <c r="AR41" s="207" t="s">
        <v>140</v>
      </c>
      <c r="AS41" s="207">
        <v>19</v>
      </c>
      <c r="AT41" s="207" t="s">
        <v>286</v>
      </c>
      <c r="AV41" s="168">
        <f t="shared" ca="1" si="5"/>
        <v>13</v>
      </c>
      <c r="AW41" s="168">
        <f ca="1">COUNTIF( AV$7:AV41, AV41 )</f>
        <v>14</v>
      </c>
      <c r="AX41" s="208">
        <f t="shared" ca="1" si="22"/>
        <v>14.4</v>
      </c>
      <c r="AY41" s="168">
        <f t="shared" ca="1" si="6"/>
        <v>26</v>
      </c>
      <c r="AZ41" s="169"/>
      <c r="BA41" s="169"/>
      <c r="BC41" s="168">
        <f t="shared" ca="1" si="24"/>
        <v>35</v>
      </c>
      <c r="BD41" s="209">
        <f t="shared" ca="1" si="8"/>
        <v>29</v>
      </c>
      <c r="BF41" s="173" t="str">
        <f t="shared" ca="1" si="23"/>
        <v>NorthWestern Corporation</v>
      </c>
      <c r="BG41" s="173" t="str">
        <f t="shared" ca="1" si="23"/>
        <v>BBB</v>
      </c>
      <c r="BH41" s="173">
        <f t="shared" ca="1" si="23"/>
        <v>18</v>
      </c>
      <c r="BI41" s="173" t="str">
        <f t="shared" ca="1" si="23"/>
        <v>NWE</v>
      </c>
    </row>
    <row r="42" spans="1:61" ht="13.8" x14ac:dyDescent="0.25">
      <c r="A42" s="223" t="s">
        <v>299</v>
      </c>
      <c r="B42" s="224" t="s">
        <v>141</v>
      </c>
      <c r="C42" s="224">
        <v>18</v>
      </c>
      <c r="D42" s="224" t="s">
        <v>300</v>
      </c>
      <c r="E42" s="225" t="str">
        <f t="shared" ca="1" si="9"/>
        <v>R</v>
      </c>
      <c r="F42" s="348"/>
      <c r="G42" s="349">
        <f t="shared" ca="1" si="1"/>
        <v>34</v>
      </c>
      <c r="H42" s="350"/>
      <c r="I42" s="237"/>
      <c r="J42" s="191"/>
      <c r="K42" s="237"/>
      <c r="L42" s="173"/>
      <c r="N42" s="237"/>
      <c r="Q42" s="237"/>
      <c r="T42" s="237"/>
      <c r="W42" s="237"/>
      <c r="AF42" s="169">
        <f t="shared" ca="1" si="2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20"/>
        <v>41</v>
      </c>
      <c r="AK42" s="169" t="str">
        <f t="shared" ca="1" si="21"/>
        <v>BBB</v>
      </c>
      <c r="AL42" s="169">
        <f t="shared" ca="1" si="21"/>
        <v>18</v>
      </c>
      <c r="AM42" s="169" t="str">
        <f t="shared" ca="1" si="4"/>
        <v/>
      </c>
      <c r="AQ42" s="207" t="s">
        <v>243</v>
      </c>
      <c r="AR42" s="207" t="s">
        <v>139</v>
      </c>
      <c r="AS42" s="207">
        <v>20</v>
      </c>
      <c r="AT42" s="207" t="s">
        <v>244</v>
      </c>
      <c r="AV42" s="168">
        <f t="shared" ca="1" si="5"/>
        <v>2</v>
      </c>
      <c r="AW42" s="168">
        <f ca="1">COUNTIF( AV$7:AV42, AV42 )</f>
        <v>8</v>
      </c>
      <c r="AX42" s="208">
        <f t="shared" ca="1" si="22"/>
        <v>2.8</v>
      </c>
      <c r="AY42" s="168">
        <f t="shared" ca="1" si="6"/>
        <v>9</v>
      </c>
      <c r="AZ42" s="169"/>
      <c r="BA42" s="169"/>
      <c r="BC42" s="168">
        <f t="shared" ca="1" si="24"/>
        <v>36</v>
      </c>
      <c r="BD42" s="209">
        <f t="shared" ca="1" si="8"/>
        <v>31</v>
      </c>
      <c r="BF42" s="173" t="str">
        <f t="shared" ca="1" si="23"/>
        <v>Otter Tail Corporation</v>
      </c>
      <c r="BG42" s="173" t="str">
        <f t="shared" ca="1" si="23"/>
        <v>BBB</v>
      </c>
      <c r="BH42" s="173">
        <f t="shared" ca="1" si="23"/>
        <v>18</v>
      </c>
      <c r="BI42" s="173" t="str">
        <f t="shared" ca="1" si="23"/>
        <v>OTTR</v>
      </c>
    </row>
    <row r="43" spans="1:61" ht="13.8" x14ac:dyDescent="0.25">
      <c r="A43" s="223" t="s">
        <v>303</v>
      </c>
      <c r="B43" s="224" t="s">
        <v>141</v>
      </c>
      <c r="C43" s="224">
        <v>18</v>
      </c>
      <c r="D43" s="224" t="s">
        <v>304</v>
      </c>
      <c r="E43" s="225" t="str">
        <f t="shared" ca="1" si="9"/>
        <v>R</v>
      </c>
      <c r="F43" s="348"/>
      <c r="G43" s="349">
        <f t="shared" ca="1" si="1"/>
        <v>37</v>
      </c>
      <c r="H43" s="350"/>
      <c r="I43" s="237"/>
      <c r="J43" s="191"/>
      <c r="K43" s="237"/>
      <c r="N43" s="237"/>
      <c r="Q43" s="237"/>
      <c r="T43" s="237"/>
      <c r="W43" s="237"/>
      <c r="AF43" s="169">
        <f t="shared" ca="1" si="2"/>
        <v>0</v>
      </c>
      <c r="AG43" s="169" t="str">
        <f t="shared" ca="1" si="3"/>
        <v/>
      </c>
      <c r="AH43" s="169" t="str">
        <f t="shared" ca="1" si="19"/>
        <v/>
      </c>
      <c r="AJ43" s="169">
        <f t="shared" ca="1" si="20"/>
        <v>42</v>
      </c>
      <c r="AK43" s="169" t="str">
        <f t="shared" ca="1" si="21"/>
        <v>BBB</v>
      </c>
      <c r="AL43" s="169">
        <f t="shared" ca="1" si="21"/>
        <v>18</v>
      </c>
      <c r="AM43" s="169" t="str">
        <f t="shared" ca="1" si="4"/>
        <v/>
      </c>
      <c r="AQ43" s="207" t="s">
        <v>289</v>
      </c>
      <c r="AR43" s="207" t="s">
        <v>140</v>
      </c>
      <c r="AS43" s="207">
        <v>19</v>
      </c>
      <c r="AT43" s="207" t="s">
        <v>290</v>
      </c>
      <c r="AV43" s="168">
        <f t="shared" ca="1" si="5"/>
        <v>13</v>
      </c>
      <c r="AW43" s="168">
        <f ca="1">COUNTIF( AV$7:AV43, AV43 )</f>
        <v>15</v>
      </c>
      <c r="AX43" s="208">
        <f t="shared" ca="1" si="22"/>
        <v>14.5</v>
      </c>
      <c r="AY43" s="168">
        <f t="shared" ca="1" si="6"/>
        <v>27</v>
      </c>
      <c r="AZ43" s="169"/>
      <c r="BA43" s="169"/>
      <c r="BC43" s="168">
        <f t="shared" ca="1" si="24"/>
        <v>37</v>
      </c>
      <c r="BD43" s="209">
        <f t="shared" ca="1" si="8"/>
        <v>34</v>
      </c>
      <c r="BF43" s="173" t="str">
        <f t="shared" ca="1" si="23"/>
        <v>PNM Resources, Inc.</v>
      </c>
      <c r="BG43" s="173" t="str">
        <f t="shared" ca="1" si="23"/>
        <v>BBB</v>
      </c>
      <c r="BH43" s="173">
        <f t="shared" ca="1" si="23"/>
        <v>18</v>
      </c>
      <c r="BI43" s="173" t="str">
        <f t="shared" ca="1" si="23"/>
        <v>PNM</v>
      </c>
    </row>
    <row r="44" spans="1:61" ht="13.8" x14ac:dyDescent="0.25">
      <c r="A44" s="223" t="s">
        <v>254</v>
      </c>
      <c r="B44" s="224" t="s">
        <v>142</v>
      </c>
      <c r="C44" s="224">
        <v>17</v>
      </c>
      <c r="D44" s="224" t="s">
        <v>255</v>
      </c>
      <c r="E44" s="225" t="str">
        <f t="shared" ca="1" si="9"/>
        <v>R</v>
      </c>
      <c r="F44" s="348"/>
      <c r="G44" s="349">
        <f t="shared" ca="1" si="1"/>
        <v>53</v>
      </c>
      <c r="H44" s="350"/>
      <c r="I44" s="237"/>
      <c r="J44" s="191"/>
      <c r="K44" s="237"/>
      <c r="N44" s="237"/>
      <c r="Q44" s="237"/>
      <c r="T44" s="237"/>
      <c r="W44" s="237"/>
      <c r="AF44" s="169">
        <f t="shared" ca="1" si="2"/>
        <v>1</v>
      </c>
      <c r="AG44" s="169" t="str">
        <f t="shared" ca="1" si="3"/>
        <v/>
      </c>
      <c r="AH44" s="169" t="str">
        <f t="shared" ca="1" si="19"/>
        <v/>
      </c>
      <c r="AJ44" s="169">
        <f t="shared" ca="1" si="20"/>
        <v>45</v>
      </c>
      <c r="AK44" s="169" t="str">
        <f t="shared" ca="1" si="21"/>
        <v>BBB-</v>
      </c>
      <c r="AL44" s="169">
        <f t="shared" ca="1" si="21"/>
        <v>17</v>
      </c>
      <c r="AM44" s="169" t="str">
        <f t="shared" ca="1" si="4"/>
        <v/>
      </c>
      <c r="AQ44" s="207" t="s">
        <v>305</v>
      </c>
      <c r="AR44" s="207" t="s">
        <v>142</v>
      </c>
      <c r="AS44" s="207">
        <v>17</v>
      </c>
      <c r="AT44" s="207" t="s">
        <v>306</v>
      </c>
      <c r="AV44" s="168">
        <f t="shared" ca="1" si="5"/>
        <v>38</v>
      </c>
      <c r="AW44" s="168">
        <f ca="1">COUNTIF( AV$7:AV44, AV44 )</f>
        <v>3</v>
      </c>
      <c r="AX44" s="208">
        <f t="shared" ca="1" si="22"/>
        <v>38.299999999999997</v>
      </c>
      <c r="AY44" s="168">
        <f t="shared" ca="1" si="6"/>
        <v>40</v>
      </c>
      <c r="AZ44" s="169"/>
      <c r="BA44" s="169"/>
      <c r="BC44" s="168">
        <f t="shared" ca="1" si="24"/>
        <v>38</v>
      </c>
      <c r="BD44" s="209">
        <f t="shared" ca="1" si="8"/>
        <v>10</v>
      </c>
      <c r="BF44" s="173" t="str">
        <f t="shared" ca="1" si="23"/>
        <v>Cleco Corporation</v>
      </c>
      <c r="BG44" s="173" t="str">
        <f t="shared" ca="1" si="23"/>
        <v>BBB-</v>
      </c>
      <c r="BH44" s="173">
        <f t="shared" ca="1" si="23"/>
        <v>17</v>
      </c>
      <c r="BI44" s="173" t="str">
        <f t="shared" ca="1" si="23"/>
        <v>**CNL</v>
      </c>
    </row>
    <row r="45" spans="1:61" ht="13.8" x14ac:dyDescent="0.25">
      <c r="A45" s="223" t="s">
        <v>279</v>
      </c>
      <c r="B45" s="224" t="s">
        <v>142</v>
      </c>
      <c r="C45" s="224">
        <v>17</v>
      </c>
      <c r="D45" s="224" t="s">
        <v>280</v>
      </c>
      <c r="E45" s="225" t="str">
        <f t="shared" ca="1" si="9"/>
        <v>MR</v>
      </c>
      <c r="F45" s="348"/>
      <c r="G45" s="349">
        <f t="shared" ca="1" si="1"/>
        <v>26</v>
      </c>
      <c r="H45" s="350"/>
      <c r="I45" s="237"/>
      <c r="J45" s="191"/>
      <c r="K45" s="237"/>
      <c r="N45" s="237"/>
      <c r="Q45" s="237"/>
      <c r="T45" s="237"/>
      <c r="W45" s="237"/>
      <c r="AF45" s="169">
        <f t="shared" ca="1" si="2"/>
        <v>1</v>
      </c>
      <c r="AG45" s="169" t="str">
        <f t="shared" ca="1" si="3"/>
        <v/>
      </c>
      <c r="AH45" s="169" t="str">
        <f t="shared" ca="1" si="19"/>
        <v/>
      </c>
      <c r="AJ45" s="169">
        <f t="shared" ca="1" si="20"/>
        <v>44</v>
      </c>
      <c r="AK45" s="169" t="str">
        <f t="shared" ca="1" si="21"/>
        <v>BBB-</v>
      </c>
      <c r="AL45" s="169">
        <f t="shared" ca="1" si="21"/>
        <v>17</v>
      </c>
      <c r="AM45" s="169" t="str">
        <f t="shared" ca="1" si="4"/>
        <v/>
      </c>
      <c r="AQ45" s="207" t="s">
        <v>291</v>
      </c>
      <c r="AR45" s="207" t="s">
        <v>140</v>
      </c>
      <c r="AS45" s="207">
        <v>19</v>
      </c>
      <c r="AT45" s="207" t="s">
        <v>292</v>
      </c>
      <c r="AV45" s="168">
        <f t="shared" ca="1" si="5"/>
        <v>13</v>
      </c>
      <c r="AW45" s="168">
        <f ca="1">COUNTIF( AV$7:AV45, AV45 )</f>
        <v>16</v>
      </c>
      <c r="AX45" s="208">
        <f t="shared" ca="1" si="22"/>
        <v>14.6</v>
      </c>
      <c r="AY45" s="168">
        <f t="shared" ca="1" si="6"/>
        <v>28</v>
      </c>
      <c r="AZ45" s="169"/>
      <c r="BA45" s="169"/>
      <c r="BC45" s="168">
        <f t="shared" ca="1" si="24"/>
        <v>39</v>
      </c>
      <c r="BD45" s="209">
        <f t="shared" ca="1" si="8"/>
        <v>23</v>
      </c>
      <c r="BF45" s="173" t="str">
        <f t="shared" ca="1" si="23"/>
        <v>Hawaiian Electric Industries, Inc.</v>
      </c>
      <c r="BG45" s="173" t="str">
        <f t="shared" ca="1" si="23"/>
        <v>BBB-</v>
      </c>
      <c r="BH45" s="173">
        <f t="shared" ca="1" si="23"/>
        <v>17</v>
      </c>
      <c r="BI45" s="173" t="str">
        <f t="shared" ca="1" si="23"/>
        <v>HE</v>
      </c>
    </row>
    <row r="46" spans="1:61" ht="13.8" x14ac:dyDescent="0.25">
      <c r="A46" s="223" t="s">
        <v>305</v>
      </c>
      <c r="B46" s="224" t="s">
        <v>142</v>
      </c>
      <c r="C46" s="224">
        <v>17</v>
      </c>
      <c r="D46" s="224" t="s">
        <v>306</v>
      </c>
      <c r="E46" s="225" t="str">
        <f t="shared" ca="1" si="9"/>
        <v>R</v>
      </c>
      <c r="F46" s="348"/>
      <c r="G46" s="349">
        <f t="shared" ca="1" si="1"/>
        <v>57</v>
      </c>
      <c r="H46" s="350"/>
      <c r="I46" s="191"/>
      <c r="K46" s="191"/>
      <c r="N46" s="351"/>
      <c r="W46" s="191"/>
      <c r="AF46" s="169">
        <f t="shared" ca="1" si="2"/>
        <v>1</v>
      </c>
      <c r="AG46" s="169" t="str">
        <f t="shared" ca="1" si="3"/>
        <v/>
      </c>
      <c r="AH46" s="169" t="str">
        <f t="shared" ca="1" si="19"/>
        <v/>
      </c>
      <c r="AJ46" s="169">
        <f t="shared" ca="1" si="20"/>
        <v>46</v>
      </c>
      <c r="AK46" s="169" t="str">
        <f t="shared" ca="1" si="21"/>
        <v>BBB-</v>
      </c>
      <c r="AL46" s="169">
        <f t="shared" ca="1" si="21"/>
        <v>17</v>
      </c>
      <c r="AM46" s="169" t="str">
        <f t="shared" ca="1" si="4"/>
        <v/>
      </c>
      <c r="AQ46" s="207" t="s">
        <v>293</v>
      </c>
      <c r="AR46" s="207" t="s">
        <v>139</v>
      </c>
      <c r="AS46" s="207">
        <v>20</v>
      </c>
      <c r="AT46" s="207" t="s">
        <v>294</v>
      </c>
      <c r="AV46" s="168">
        <f t="shared" ca="1" si="5"/>
        <v>2</v>
      </c>
      <c r="AW46" s="168">
        <f ca="1">COUNTIF( AV$7:AV46, AV46 )</f>
        <v>9</v>
      </c>
      <c r="AX46" s="208">
        <f t="shared" ca="1" si="22"/>
        <v>2.9</v>
      </c>
      <c r="AY46" s="168">
        <f t="shared" ca="1" si="6"/>
        <v>10</v>
      </c>
      <c r="AZ46" s="169"/>
      <c r="BA46" s="169"/>
      <c r="BC46" s="168">
        <f t="shared" ca="1" si="24"/>
        <v>40</v>
      </c>
      <c r="BD46" s="209">
        <f t="shared" ca="1" si="8"/>
        <v>38</v>
      </c>
      <c r="BF46" s="173" t="str">
        <f t="shared" ca="1" si="23"/>
        <v>Puget Energy, Inc.</v>
      </c>
      <c r="BG46" s="173" t="str">
        <f t="shared" ca="1" si="23"/>
        <v>BBB-</v>
      </c>
      <c r="BH46" s="173">
        <f t="shared" ca="1" si="23"/>
        <v>17</v>
      </c>
      <c r="BI46" s="173" t="str">
        <f t="shared" ca="1" si="23"/>
        <v>**PSD</v>
      </c>
    </row>
    <row r="47" spans="1:61" ht="13.8" x14ac:dyDescent="0.25">
      <c r="A47" s="223" t="s">
        <v>259</v>
      </c>
      <c r="B47" s="224" t="s">
        <v>173</v>
      </c>
      <c r="C47" s="224">
        <v>16</v>
      </c>
      <c r="D47" s="224" t="s">
        <v>260</v>
      </c>
      <c r="E47" s="225" t="str">
        <f t="shared" ca="1" si="9"/>
        <v>R</v>
      </c>
      <c r="F47" s="348"/>
      <c r="G47" s="349">
        <f t="shared" ca="1" si="1"/>
        <v>54</v>
      </c>
      <c r="H47" s="350"/>
      <c r="I47" s="350"/>
      <c r="J47" s="187" t="s">
        <v>307</v>
      </c>
      <c r="K47" s="191"/>
      <c r="M47" s="351"/>
      <c r="N47" s="351"/>
      <c r="AF47" s="169">
        <f t="shared" ca="1" si="2"/>
        <v>0</v>
      </c>
      <c r="AG47" s="169" t="str">
        <f t="shared" ca="1" si="3"/>
        <v/>
      </c>
      <c r="AH47" s="169" t="str">
        <f t="shared" ca="1" si="19"/>
        <v/>
      </c>
      <c r="AJ47" s="169">
        <f t="shared" ca="1" si="20"/>
        <v>47</v>
      </c>
      <c r="AK47" s="169" t="str">
        <f t="shared" ca="1" si="21"/>
        <v>BB+</v>
      </c>
      <c r="AL47" s="169">
        <f t="shared" ca="1" si="21"/>
        <v>16</v>
      </c>
      <c r="AM47" s="169" t="str">
        <f t="shared" ca="1" si="4"/>
        <v/>
      </c>
      <c r="AQ47" s="207" t="s">
        <v>295</v>
      </c>
      <c r="AR47" s="207" t="s">
        <v>140</v>
      </c>
      <c r="AS47" s="207">
        <v>19</v>
      </c>
      <c r="AT47" s="207" t="s">
        <v>296</v>
      </c>
      <c r="AV47" s="168">
        <f t="shared" ca="1" si="5"/>
        <v>13</v>
      </c>
      <c r="AW47" s="168">
        <f ca="1">COUNTIF( AV$7:AV47, AV47 )</f>
        <v>17</v>
      </c>
      <c r="AX47" s="208">
        <f t="shared" ca="1" si="22"/>
        <v>14.7</v>
      </c>
      <c r="AY47" s="168">
        <f t="shared" ca="1" si="6"/>
        <v>29</v>
      </c>
      <c r="AZ47" s="169"/>
      <c r="BA47" s="169"/>
      <c r="BC47" s="168">
        <f t="shared" ca="1" si="24"/>
        <v>41</v>
      </c>
      <c r="BD47" s="209">
        <f t="shared" ca="1" si="8"/>
        <v>14</v>
      </c>
      <c r="BF47" s="173" t="str">
        <f t="shared" ca="1" si="23"/>
        <v>DPL Inc.</v>
      </c>
      <c r="BG47" s="173" t="str">
        <f t="shared" ca="1" si="23"/>
        <v>BB+</v>
      </c>
      <c r="BH47" s="173">
        <f t="shared" ca="1" si="23"/>
        <v>16</v>
      </c>
      <c r="BI47" s="173" t="str">
        <f t="shared" ca="1" si="23"/>
        <v>**DPL</v>
      </c>
    </row>
    <row r="48" spans="1:61" ht="13.8" x14ac:dyDescent="0.25">
      <c r="A48" s="223" t="s">
        <v>275</v>
      </c>
      <c r="B48" s="224" t="s">
        <v>175</v>
      </c>
      <c r="C48" s="224">
        <v>15</v>
      </c>
      <c r="D48" s="224" t="s">
        <v>276</v>
      </c>
      <c r="E48" s="225" t="str">
        <f t="shared" ca="1" si="9"/>
        <v>R</v>
      </c>
      <c r="F48" s="348"/>
      <c r="G48" s="349">
        <f t="shared" ca="1" si="1"/>
        <v>25</v>
      </c>
      <c r="H48" s="350"/>
      <c r="I48" s="350"/>
      <c r="K48" s="191"/>
      <c r="M48" s="351"/>
      <c r="N48" s="351"/>
      <c r="AF48" s="169">
        <f t="shared" ca="1" si="2"/>
        <v>1</v>
      </c>
      <c r="AG48" s="169" t="str">
        <f t="shared" ca="1" si="3"/>
        <v/>
      </c>
      <c r="AH48" s="169" t="str">
        <f t="shared" ca="1" si="19"/>
        <v/>
      </c>
      <c r="AJ48" s="169">
        <f t="shared" ca="1" si="20"/>
        <v>48</v>
      </c>
      <c r="AK48" s="169" t="str">
        <f t="shared" ca="1" si="21"/>
        <v>BB</v>
      </c>
      <c r="AL48" s="169">
        <f t="shared" ca="1" si="21"/>
        <v>15</v>
      </c>
      <c r="AM48" s="169" t="str">
        <f t="shared" ca="1" si="4"/>
        <v/>
      </c>
      <c r="AQ48" s="207" t="s">
        <v>247</v>
      </c>
      <c r="AR48" s="207" t="s">
        <v>139</v>
      </c>
      <c r="AS48" s="207">
        <v>20</v>
      </c>
      <c r="AT48" s="207" t="s">
        <v>248</v>
      </c>
      <c r="AV48" s="168">
        <f t="shared" ca="1" si="5"/>
        <v>2</v>
      </c>
      <c r="AW48" s="168">
        <f ca="1">COUNTIF( AV$7:AV48, AV48 )</f>
        <v>10</v>
      </c>
      <c r="AX48" s="208">
        <f t="shared" ca="1" si="22"/>
        <v>3</v>
      </c>
      <c r="AY48" s="168">
        <f t="shared" ca="1" si="6"/>
        <v>11</v>
      </c>
      <c r="AZ48" s="169"/>
      <c r="BA48" s="169"/>
      <c r="BC48" s="168">
        <f t="shared" ca="1" si="24"/>
        <v>42</v>
      </c>
      <c r="BD48" s="209">
        <f t="shared" ca="1" si="8"/>
        <v>22</v>
      </c>
      <c r="BF48" s="173" t="str">
        <f t="shared" ca="1" si="23"/>
        <v>FirstEnergy Corp.</v>
      </c>
      <c r="BG48" s="173" t="str">
        <f t="shared" ca="1" si="23"/>
        <v>BB</v>
      </c>
      <c r="BH48" s="173">
        <f t="shared" ca="1" si="23"/>
        <v>15</v>
      </c>
      <c r="BI48" s="173" t="str">
        <f t="shared" ca="1" si="23"/>
        <v>FE</v>
      </c>
    </row>
    <row r="49" spans="1:61" ht="13.8" x14ac:dyDescent="0.25">
      <c r="A49" s="223" t="s">
        <v>301</v>
      </c>
      <c r="B49" s="224" t="s">
        <v>177</v>
      </c>
      <c r="C49" s="224">
        <v>14</v>
      </c>
      <c r="D49" s="224" t="s">
        <v>302</v>
      </c>
      <c r="E49" s="225" t="str">
        <f t="shared" ca="1" si="9"/>
        <v>R</v>
      </c>
      <c r="F49" s="348"/>
      <c r="G49" s="349">
        <f t="shared" ca="1" si="1"/>
        <v>35</v>
      </c>
      <c r="H49" s="350"/>
      <c r="I49" s="350"/>
      <c r="J49" s="191"/>
      <c r="K49" s="191"/>
      <c r="M49" s="351"/>
      <c r="N49" s="351"/>
      <c r="AF49" s="169">
        <f t="shared" ca="1" si="2"/>
        <v>0</v>
      </c>
      <c r="AG49" s="169" t="str">
        <f t="shared" ca="1" si="3"/>
        <v/>
      </c>
      <c r="AH49" s="169" t="str">
        <f t="shared" ca="1" si="19"/>
        <v/>
      </c>
      <c r="AJ49" s="169">
        <f t="shared" ca="1" si="20"/>
        <v>49</v>
      </c>
      <c r="AK49" s="169" t="str">
        <f t="shared" ca="1" si="21"/>
        <v>BB-</v>
      </c>
      <c r="AL49" s="169">
        <f t="shared" ca="1" si="21"/>
        <v>14</v>
      </c>
      <c r="AM49" s="169" t="str">
        <f t="shared" ca="1" si="4"/>
        <v/>
      </c>
      <c r="AQ49" s="207" t="s">
        <v>251</v>
      </c>
      <c r="AR49" s="207" t="s">
        <v>139</v>
      </c>
      <c r="AS49" s="207">
        <v>20</v>
      </c>
      <c r="AT49" s="207" t="s">
        <v>252</v>
      </c>
      <c r="AV49" s="168">
        <f t="shared" ca="1" si="5"/>
        <v>2</v>
      </c>
      <c r="AW49" s="168">
        <f ca="1">COUNTIF( AV$7:AV49, AV49 )</f>
        <v>11</v>
      </c>
      <c r="AX49" s="208">
        <f t="shared" ca="1" si="22"/>
        <v>3.1</v>
      </c>
      <c r="AY49" s="168">
        <f t="shared" ca="1" si="6"/>
        <v>12</v>
      </c>
      <c r="AZ49" s="169"/>
      <c r="BA49" s="169"/>
      <c r="BC49" s="168">
        <f t="shared" ca="1" si="24"/>
        <v>43</v>
      </c>
      <c r="BD49" s="209">
        <f t="shared" ca="1" si="8"/>
        <v>32</v>
      </c>
      <c r="BF49" s="173" t="str">
        <f t="shared" ca="1" si="23"/>
        <v>PG&amp;E Corporation</v>
      </c>
      <c r="BG49" s="173" t="str">
        <f t="shared" ca="1" si="23"/>
        <v>BB-</v>
      </c>
      <c r="BH49" s="173">
        <f t="shared" ca="1" si="23"/>
        <v>14</v>
      </c>
      <c r="BI49" s="173" t="str">
        <f t="shared" ca="1" si="23"/>
        <v>PCG</v>
      </c>
    </row>
    <row r="50" spans="1:61" ht="13.8" x14ac:dyDescent="0.25">
      <c r="A50" s="223"/>
      <c r="B50" s="224"/>
      <c r="C50" s="224"/>
      <c r="D50" s="224"/>
      <c r="E50" s="225"/>
      <c r="F50" s="348"/>
      <c r="G50" s="349"/>
      <c r="H50" s="350"/>
      <c r="I50" s="350"/>
      <c r="J50" s="191"/>
      <c r="K50" s="191"/>
      <c r="M50" s="351"/>
      <c r="N50" s="351"/>
      <c r="AF50" s="169">
        <f t="shared" ca="1" si="2"/>
        <v>0</v>
      </c>
      <c r="AG50" s="169" t="str">
        <f t="shared" ca="1" si="3"/>
        <v/>
      </c>
      <c r="AH50" s="169" t="str">
        <f t="shared" ca="1" si="19"/>
        <v/>
      </c>
      <c r="AJ50" s="169" t="e">
        <f t="shared" ca="1" si="20"/>
        <v>#N/A</v>
      </c>
      <c r="AK50" s="169" t="str">
        <f t="shared" ca="1" si="21"/>
        <v/>
      </c>
      <c r="AL50" s="169" t="str">
        <f t="shared" ca="1" si="21"/>
        <v/>
      </c>
      <c r="AM50" s="169" t="str">
        <f t="shared" ca="1" si="4"/>
        <v/>
      </c>
      <c r="AQ50" s="207"/>
      <c r="AR50" s="207"/>
      <c r="AS50" s="207"/>
      <c r="AT50" s="207"/>
      <c r="AV50" s="168">
        <f t="shared" ca="1" si="5"/>
        <v>99</v>
      </c>
      <c r="AW50" s="168">
        <f ca="1">COUNTIF( AV$7:AV50, AV50 )</f>
        <v>1</v>
      </c>
      <c r="AX50" s="208">
        <f t="shared" ca="1" si="22"/>
        <v>99.1</v>
      </c>
      <c r="AY50" s="168">
        <f t="shared" ca="1" si="6"/>
        <v>44</v>
      </c>
      <c r="AZ50" s="169"/>
      <c r="BA50" s="169"/>
      <c r="BC50" s="168">
        <f t="shared" ca="1" si="24"/>
        <v>44</v>
      </c>
      <c r="BD50" s="209">
        <f t="shared" ca="1" si="8"/>
        <v>44</v>
      </c>
      <c r="BF50" s="173">
        <f t="shared" ca="1" si="23"/>
        <v>0</v>
      </c>
      <c r="BG50" s="173">
        <f t="shared" ca="1" si="23"/>
        <v>0</v>
      </c>
      <c r="BH50" s="173">
        <f t="shared" ca="1" si="23"/>
        <v>0</v>
      </c>
      <c r="BI50" s="173">
        <f t="shared" ca="1" si="23"/>
        <v>0</v>
      </c>
    </row>
    <row r="51" spans="1:61" ht="13.8" x14ac:dyDescent="0.25">
      <c r="A51" s="223"/>
      <c r="B51" s="224"/>
      <c r="C51" s="224"/>
      <c r="D51" s="224"/>
      <c r="E51" s="225"/>
      <c r="F51" s="348"/>
      <c r="G51" s="349"/>
      <c r="H51" s="350"/>
      <c r="I51" s="350"/>
      <c r="J51" s="191"/>
      <c r="K51" s="191"/>
      <c r="M51" s="351"/>
      <c r="N51" s="351"/>
      <c r="AF51" s="169">
        <f t="shared" ca="1" si="2"/>
        <v>0</v>
      </c>
      <c r="AG51" s="169" t="str">
        <f t="shared" ca="1" si="3"/>
        <v/>
      </c>
      <c r="AH51" s="169" t="str">
        <f t="shared" ca="1" si="19"/>
        <v/>
      </c>
      <c r="AJ51" s="169" t="e">
        <f t="shared" ca="1" si="20"/>
        <v>#N/A</v>
      </c>
      <c r="AK51" s="169" t="str">
        <f t="shared" ca="1" si="21"/>
        <v/>
      </c>
      <c r="AL51" s="169" t="str">
        <f t="shared" ca="1" si="21"/>
        <v/>
      </c>
      <c r="AM51" s="169" t="str">
        <f t="shared" ca="1" si="4"/>
        <v/>
      </c>
      <c r="AQ51" s="207"/>
      <c r="AR51" s="207"/>
      <c r="AS51" s="207"/>
      <c r="AT51" s="207"/>
      <c r="AV51" s="168">
        <f t="shared" ca="1" si="5"/>
        <v>99</v>
      </c>
      <c r="AW51" s="168">
        <f ca="1">COUNTIF( AV$7:AV51, AV51 )</f>
        <v>2</v>
      </c>
      <c r="AX51" s="208">
        <f t="shared" ca="1" si="22"/>
        <v>99.2</v>
      </c>
      <c r="AY51" s="168">
        <f t="shared" ca="1" si="6"/>
        <v>45</v>
      </c>
      <c r="AZ51" s="169"/>
      <c r="BA51" s="169"/>
      <c r="BC51" s="168">
        <f t="shared" ca="1" si="24"/>
        <v>45</v>
      </c>
      <c r="BD51" s="209">
        <f t="shared" ca="1" si="8"/>
        <v>45</v>
      </c>
      <c r="BF51" s="173">
        <f t="shared" ref="BF51:BI63" ca="1" si="25">OFFSET( AQ$6, $BD52, 0 )</f>
        <v>0</v>
      </c>
      <c r="BG51" s="173">
        <f t="shared" ca="1" si="25"/>
        <v>0</v>
      </c>
      <c r="BH51" s="173">
        <f t="shared" ca="1" si="25"/>
        <v>0</v>
      </c>
      <c r="BI51" s="173">
        <f t="shared" ca="1" si="25"/>
        <v>0</v>
      </c>
    </row>
    <row r="52" spans="1:61" ht="13.8" x14ac:dyDescent="0.25">
      <c r="A52" s="223"/>
      <c r="B52" s="224"/>
      <c r="C52" s="224"/>
      <c r="D52" s="224"/>
      <c r="E52" s="225"/>
      <c r="F52" s="348"/>
      <c r="G52" s="349"/>
      <c r="H52" s="350"/>
      <c r="I52" s="350"/>
      <c r="J52" s="191"/>
      <c r="K52" s="191"/>
      <c r="AF52" s="169">
        <f t="shared" ca="1" si="2"/>
        <v>0</v>
      </c>
      <c r="AG52" s="169" t="str">
        <f t="shared" ca="1" si="3"/>
        <v/>
      </c>
      <c r="AH52" s="169" t="str">
        <f t="shared" ca="1" si="19"/>
        <v/>
      </c>
      <c r="AJ52" s="169" t="e">
        <f t="shared" ca="1" si="20"/>
        <v>#N/A</v>
      </c>
      <c r="AK52" s="169" t="str">
        <f t="shared" ca="1" si="21"/>
        <v/>
      </c>
      <c r="AL52" s="169" t="str">
        <f t="shared" ca="1" si="21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ca="1" si="5"/>
        <v>99</v>
      </c>
      <c r="AW52" s="168">
        <f ca="1">COUNTIF( AV$7:AV52, AV52 )</f>
        <v>3</v>
      </c>
      <c r="AX52" s="208">
        <f t="shared" ca="1" si="22"/>
        <v>99.3</v>
      </c>
      <c r="AY52" s="168">
        <f t="shared" ca="1" si="6"/>
        <v>46</v>
      </c>
      <c r="AZ52" s="169"/>
      <c r="BA52" s="169"/>
      <c r="BC52" s="168">
        <f t="shared" ca="1" si="24"/>
        <v>46</v>
      </c>
      <c r="BD52" s="209">
        <f t="shared" ca="1" si="8"/>
        <v>46</v>
      </c>
      <c r="BF52" s="173">
        <f t="shared" ca="1" si="25"/>
        <v>0</v>
      </c>
      <c r="BG52" s="173">
        <f t="shared" ca="1" si="25"/>
        <v>0</v>
      </c>
      <c r="BH52" s="173">
        <f t="shared" ca="1" si="25"/>
        <v>0</v>
      </c>
      <c r="BI52" s="173">
        <f t="shared" ca="1" si="25"/>
        <v>0</v>
      </c>
    </row>
    <row r="53" spans="1:61" ht="13.8" x14ac:dyDescent="0.25">
      <c r="A53" s="223"/>
      <c r="B53" s="224"/>
      <c r="C53" s="224"/>
      <c r="D53" s="224"/>
      <c r="E53" s="225"/>
      <c r="F53" s="348"/>
      <c r="G53" s="349" t="str">
        <f t="shared" ca="1" si="1"/>
        <v/>
      </c>
      <c r="H53" s="350"/>
      <c r="I53" s="350"/>
      <c r="J53" s="191"/>
      <c r="K53" s="191"/>
      <c r="AF53" s="169">
        <f t="shared" ca="1" si="2"/>
        <v>0</v>
      </c>
      <c r="AG53" s="169" t="str">
        <f t="shared" ca="1" si="3"/>
        <v/>
      </c>
      <c r="AH53" s="169" t="str">
        <f t="shared" ca="1" si="19"/>
        <v/>
      </c>
      <c r="AJ53" s="169" t="e">
        <f t="shared" ca="1" si="20"/>
        <v>#N/A</v>
      </c>
      <c r="AK53" s="169" t="str">
        <f t="shared" ca="1" si="21"/>
        <v/>
      </c>
      <c r="AL53" s="169" t="str">
        <f t="shared" ca="1" si="21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ca="1" si="5"/>
        <v>99</v>
      </c>
      <c r="AW53" s="168">
        <f ca="1">COUNTIF( AV$7:AV53, AV53 )</f>
        <v>4</v>
      </c>
      <c r="AX53" s="208">
        <f t="shared" ca="1" si="22"/>
        <v>99.4</v>
      </c>
      <c r="AY53" s="168">
        <f t="shared" ca="1" si="6"/>
        <v>47</v>
      </c>
      <c r="AZ53" s="169"/>
      <c r="BA53" s="169"/>
      <c r="BC53" s="168">
        <f t="shared" ca="1" si="24"/>
        <v>47</v>
      </c>
      <c r="BD53" s="209">
        <f t="shared" ca="1" si="8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ht="13.8" x14ac:dyDescent="0.25">
      <c r="A54" s="223"/>
      <c r="B54" s="224"/>
      <c r="C54" s="224"/>
      <c r="D54" s="224"/>
      <c r="E54" s="225"/>
      <c r="F54" s="348"/>
      <c r="G54" s="349" t="str">
        <f t="shared" ca="1" si="1"/>
        <v/>
      </c>
      <c r="H54" s="350"/>
      <c r="I54" s="350"/>
      <c r="J54" s="191"/>
      <c r="K54" s="191"/>
      <c r="AF54" s="169">
        <f t="shared" ca="1" si="2"/>
        <v>0</v>
      </c>
      <c r="AG54" s="169" t="str">
        <f t="shared" ca="1" si="3"/>
        <v/>
      </c>
      <c r="AH54" s="169" t="str">
        <f t="shared" ca="1" si="19"/>
        <v/>
      </c>
      <c r="AJ54" s="169" t="e">
        <f t="shared" ca="1" si="20"/>
        <v>#N/A</v>
      </c>
      <c r="AK54" s="169" t="str">
        <f t="shared" ca="1" si="21"/>
        <v/>
      </c>
      <c r="AL54" s="169" t="str">
        <f t="shared" ca="1" si="21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ca="1" si="5"/>
        <v>99</v>
      </c>
      <c r="AW54" s="168">
        <f ca="1">COUNTIF( AV$7:AV54, AV54 )</f>
        <v>5</v>
      </c>
      <c r="AX54" s="208">
        <f t="shared" ca="1" si="22"/>
        <v>99.5</v>
      </c>
      <c r="AY54" s="168">
        <f t="shared" ca="1" si="6"/>
        <v>48</v>
      </c>
      <c r="AZ54" s="169"/>
      <c r="BA54" s="169"/>
      <c r="BC54" s="168">
        <f t="shared" ca="1" si="24"/>
        <v>48</v>
      </c>
      <c r="BD54" s="209">
        <f t="shared" ca="1" si="8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3.8" x14ac:dyDescent="0.25">
      <c r="A55" s="223"/>
      <c r="B55" s="224"/>
      <c r="C55" s="224"/>
      <c r="D55" s="224"/>
      <c r="E55" s="225"/>
      <c r="F55" s="348"/>
      <c r="G55" s="349" t="str">
        <f t="shared" ca="1" si="1"/>
        <v/>
      </c>
      <c r="H55" s="350"/>
      <c r="I55" s="350"/>
      <c r="J55" s="191"/>
      <c r="K55" s="191"/>
      <c r="AF55" s="169">
        <f t="shared" ca="1" si="2"/>
        <v>0</v>
      </c>
      <c r="AG55" s="169" t="str">
        <f t="shared" ca="1" si="3"/>
        <v/>
      </c>
      <c r="AH55" s="169" t="str">
        <f t="shared" ca="1" si="19"/>
        <v/>
      </c>
      <c r="AJ55" s="169" t="e">
        <f t="shared" ca="1" si="20"/>
        <v>#N/A</v>
      </c>
      <c r="AK55" s="169" t="str">
        <f t="shared" ca="1" si="21"/>
        <v/>
      </c>
      <c r="AL55" s="169" t="str">
        <f t="shared" ca="1" si="21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ca="1" si="5"/>
        <v>99</v>
      </c>
      <c r="AW55" s="168">
        <f ca="1">COUNTIF( AV$7:AV55, AV55 )</f>
        <v>6</v>
      </c>
      <c r="AX55" s="208">
        <f t="shared" ca="1" si="22"/>
        <v>99.6</v>
      </c>
      <c r="AY55" s="168">
        <f t="shared" ca="1" si="6"/>
        <v>49</v>
      </c>
      <c r="AZ55" s="169"/>
      <c r="BA55" s="169"/>
      <c r="BC55" s="168">
        <f t="shared" ca="1" si="24"/>
        <v>49</v>
      </c>
      <c r="BD55" s="209">
        <f t="shared" ca="1" si="8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3.8" x14ac:dyDescent="0.25">
      <c r="A56" s="223"/>
      <c r="B56" s="224"/>
      <c r="C56" s="224"/>
      <c r="D56" s="224"/>
      <c r="E56" s="225"/>
      <c r="F56" s="348"/>
      <c r="G56" s="349" t="str">
        <f t="shared" ca="1" si="1"/>
        <v/>
      </c>
      <c r="H56" s="350"/>
      <c r="I56" s="350"/>
      <c r="J56" s="191"/>
      <c r="K56" s="191"/>
      <c r="AF56" s="169">
        <f t="shared" ca="1" si="2"/>
        <v>0</v>
      </c>
      <c r="AG56" s="169" t="str">
        <f t="shared" ca="1" si="3"/>
        <v/>
      </c>
      <c r="AH56" s="169" t="str">
        <f t="shared" ca="1" si="19"/>
        <v/>
      </c>
      <c r="AJ56" s="169" t="e">
        <f t="shared" ca="1" si="20"/>
        <v>#N/A</v>
      </c>
      <c r="AK56" s="169" t="str">
        <f t="shared" ca="1" si="21"/>
        <v/>
      </c>
      <c r="AL56" s="169" t="str">
        <f t="shared" ca="1" si="21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ca="1" si="5"/>
        <v>99</v>
      </c>
      <c r="AW56" s="168">
        <f ca="1">COUNTIF( AV$7:AV56, AV56 )</f>
        <v>7</v>
      </c>
      <c r="AX56" s="208">
        <f t="shared" ca="1" si="22"/>
        <v>99.7</v>
      </c>
      <c r="AY56" s="168">
        <f t="shared" ca="1" si="6"/>
        <v>50</v>
      </c>
      <c r="AZ56" s="169"/>
      <c r="BA56" s="169"/>
      <c r="BC56" s="168">
        <f t="shared" ca="1" si="24"/>
        <v>50</v>
      </c>
      <c r="BD56" s="209">
        <f t="shared" ca="1" si="8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8" x14ac:dyDescent="0.25">
      <c r="A57" s="223"/>
      <c r="B57" s="224"/>
      <c r="C57" s="224"/>
      <c r="D57" s="224"/>
      <c r="E57" s="225"/>
      <c r="F57" s="348"/>
      <c r="G57" s="349" t="str">
        <f t="shared" ca="1" si="1"/>
        <v/>
      </c>
      <c r="H57" s="350"/>
      <c r="I57" s="350"/>
      <c r="J57" s="191"/>
      <c r="K57" s="191"/>
      <c r="AF57" s="169">
        <f t="shared" ca="1" si="2"/>
        <v>0</v>
      </c>
      <c r="AG57" s="169" t="str">
        <f t="shared" ca="1" si="3"/>
        <v/>
      </c>
      <c r="AH57" s="169" t="str">
        <f t="shared" ca="1" si="19"/>
        <v/>
      </c>
      <c r="AJ57" s="169" t="e">
        <f t="shared" ca="1" si="20"/>
        <v>#N/A</v>
      </c>
      <c r="AK57" s="169" t="str">
        <f t="shared" ca="1" si="21"/>
        <v/>
      </c>
      <c r="AL57" s="169" t="str">
        <f t="shared" ca="1" si="21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ca="1" si="5"/>
        <v>99</v>
      </c>
      <c r="AW57" s="168">
        <f ca="1">COUNTIF( AV$7:AV57, AV57 )</f>
        <v>8</v>
      </c>
      <c r="AX57" s="208">
        <f t="shared" ca="1" si="22"/>
        <v>99.8</v>
      </c>
      <c r="AY57" s="168">
        <f t="shared" ca="1" si="6"/>
        <v>51</v>
      </c>
      <c r="AZ57" s="169"/>
      <c r="BA57" s="169"/>
      <c r="BC57" s="168">
        <f t="shared" ca="1" si="24"/>
        <v>51</v>
      </c>
      <c r="BD57" s="209">
        <f t="shared" ca="1" si="8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8" x14ac:dyDescent="0.25">
      <c r="A58" s="223"/>
      <c r="B58" s="224"/>
      <c r="C58" s="224"/>
      <c r="D58" s="224"/>
      <c r="E58" s="225"/>
      <c r="F58" s="348"/>
      <c r="G58" s="349" t="str">
        <f t="shared" ca="1" si="1"/>
        <v/>
      </c>
      <c r="H58" s="350"/>
      <c r="I58" s="350"/>
      <c r="J58" s="191"/>
      <c r="K58" s="191"/>
      <c r="AF58" s="169">
        <f t="shared" ca="1" si="2"/>
        <v>0</v>
      </c>
      <c r="AG58" s="169" t="str">
        <f t="shared" ca="1" si="3"/>
        <v/>
      </c>
      <c r="AH58" s="169" t="str">
        <f t="shared" ca="1" si="19"/>
        <v/>
      </c>
      <c r="AJ58" s="169" t="e">
        <f t="shared" ca="1" si="20"/>
        <v>#N/A</v>
      </c>
      <c r="AK58" s="169" t="str">
        <f t="shared" ca="1" si="21"/>
        <v/>
      </c>
      <c r="AL58" s="169" t="str">
        <f t="shared" ca="1" si="21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ca="1" si="5"/>
        <v>99</v>
      </c>
      <c r="AW58" s="168">
        <f ca="1">COUNTIF( AV$7:AV58, AV58 )</f>
        <v>9</v>
      </c>
      <c r="AX58" s="208">
        <f t="shared" ca="1" si="22"/>
        <v>99.9</v>
      </c>
      <c r="AY58" s="168">
        <f t="shared" ca="1" si="6"/>
        <v>52</v>
      </c>
      <c r="AZ58" s="169"/>
      <c r="BA58" s="169"/>
      <c r="BC58" s="168">
        <f t="shared" ca="1" si="24"/>
        <v>52</v>
      </c>
      <c r="BD58" s="209">
        <f t="shared" ca="1" si="8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8" x14ac:dyDescent="0.25">
      <c r="A59" s="223"/>
      <c r="B59" s="224"/>
      <c r="C59" s="224"/>
      <c r="D59" s="224"/>
      <c r="E59" s="225" t="str">
        <f t="shared" ca="1" si="9"/>
        <v/>
      </c>
      <c r="F59" s="348"/>
      <c r="G59" s="349" t="str">
        <f t="shared" ca="1" si="1"/>
        <v/>
      </c>
      <c r="H59" s="350"/>
      <c r="I59" s="350"/>
      <c r="J59" s="191"/>
      <c r="K59" s="191"/>
      <c r="AF59" s="169">
        <f t="shared" ca="1" si="2"/>
        <v>0</v>
      </c>
      <c r="AG59" s="169" t="str">
        <f t="shared" ca="1" si="3"/>
        <v/>
      </c>
      <c r="AH59" s="169" t="str">
        <f t="shared" ca="1" si="19"/>
        <v/>
      </c>
      <c r="AJ59" s="169" t="e">
        <f t="shared" ca="1" si="20"/>
        <v>#N/A</v>
      </c>
      <c r="AK59" s="169" t="str">
        <f t="shared" ca="1" si="21"/>
        <v/>
      </c>
      <c r="AL59" s="169" t="str">
        <f t="shared" ca="1" si="21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ca="1" si="5"/>
        <v>99</v>
      </c>
      <c r="AW59" s="168">
        <f ca="1">COUNTIF( AV$7:AV59, AV59 )</f>
        <v>10</v>
      </c>
      <c r="AX59" s="208">
        <f t="shared" ca="1" si="22"/>
        <v>100</v>
      </c>
      <c r="AY59" s="168">
        <f t="shared" ca="1" si="6"/>
        <v>53</v>
      </c>
      <c r="AZ59" s="169"/>
      <c r="BA59" s="169"/>
      <c r="BC59" s="168">
        <f t="shared" ca="1" si="24"/>
        <v>53</v>
      </c>
      <c r="BD59" s="209">
        <f t="shared" ca="1" si="8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" thickBot="1" x14ac:dyDescent="0.3">
      <c r="A60" s="192"/>
      <c r="B60" s="193"/>
      <c r="C60" s="193"/>
      <c r="D60" s="193"/>
      <c r="E60" s="194" t="str">
        <f t="shared" ca="1" si="9"/>
        <v/>
      </c>
      <c r="F60" s="350"/>
      <c r="G60" s="353" t="str">
        <f t="shared" ca="1" si="1"/>
        <v/>
      </c>
      <c r="H60" s="350"/>
      <c r="I60" s="350"/>
      <c r="AF60" s="169">
        <f t="shared" ca="1" si="2"/>
        <v>0</v>
      </c>
      <c r="AG60" s="169" t="str">
        <f t="shared" ca="1" si="3"/>
        <v/>
      </c>
      <c r="AH60" s="169" t="str">
        <f t="shared" ca="1" si="19"/>
        <v/>
      </c>
      <c r="AJ60" s="169" t="e">
        <f t="shared" ca="1" si="20"/>
        <v>#N/A</v>
      </c>
      <c r="AK60" s="169" t="str">
        <f t="shared" ca="1" si="21"/>
        <v/>
      </c>
      <c r="AL60" s="169" t="str">
        <f t="shared" ca="1" si="21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ca="1" si="5"/>
        <v>99</v>
      </c>
      <c r="AW60" s="168">
        <f ca="1">COUNTIF( AV$7:AV60, AV60 )</f>
        <v>11</v>
      </c>
      <c r="AX60" s="208">
        <f t="shared" ca="1" si="22"/>
        <v>100.1</v>
      </c>
      <c r="AY60" s="168">
        <f t="shared" ca="1" si="6"/>
        <v>54</v>
      </c>
      <c r="AZ60" s="169"/>
      <c r="BA60" s="169"/>
      <c r="BC60" s="168">
        <f t="shared" ca="1" si="24"/>
        <v>54</v>
      </c>
      <c r="BD60" s="209">
        <f t="shared" ca="1" si="8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8" x14ac:dyDescent="0.25">
      <c r="A61" s="226" t="s">
        <v>308</v>
      </c>
      <c r="B61" s="227" t="s">
        <v>162</v>
      </c>
      <c r="C61" s="227">
        <v>23</v>
      </c>
      <c r="D61" s="227" t="s">
        <v>309</v>
      </c>
      <c r="E61" s="228" t="str">
        <f t="shared" ca="1" si="9"/>
        <v>R</v>
      </c>
      <c r="F61" s="354"/>
      <c r="G61" s="355">
        <f t="shared" ca="1" si="1"/>
        <v>29</v>
      </c>
      <c r="H61" s="350"/>
      <c r="I61" s="350"/>
      <c r="AF61" s="169">
        <f t="shared" ca="1" si="2"/>
        <v>1</v>
      </c>
      <c r="AG61" s="169" t="str">
        <f t="shared" ca="1" si="3"/>
        <v/>
      </c>
      <c r="AH61" s="169" t="str">
        <f t="shared" ca="1" si="19"/>
        <v/>
      </c>
      <c r="AJ61" s="169">
        <f t="shared" ca="1" si="20"/>
        <v>61</v>
      </c>
      <c r="AK61" s="169" t="str">
        <f t="shared" ca="1" si="21"/>
        <v>AA-</v>
      </c>
      <c r="AL61" s="169">
        <f t="shared" ca="1" si="21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ca="1" si="5"/>
        <v>99</v>
      </c>
      <c r="AW61" s="168">
        <f ca="1">COUNTIF( AV$7:AV61, AV61 )</f>
        <v>12</v>
      </c>
      <c r="AX61" s="208">
        <f t="shared" ca="1" si="22"/>
        <v>100.2</v>
      </c>
      <c r="AY61" s="168">
        <f t="shared" ca="1" si="6"/>
        <v>55</v>
      </c>
      <c r="AZ61" s="169"/>
      <c r="BA61" s="169"/>
      <c r="BC61" s="168">
        <f t="shared" ca="1" si="24"/>
        <v>55</v>
      </c>
      <c r="BD61" s="209">
        <f t="shared" ca="1" si="8"/>
        <v>55</v>
      </c>
      <c r="BF61" s="173">
        <f ca="1">OFFSET( AQ$6, $BD62, 0 )</f>
        <v>0</v>
      </c>
      <c r="BG61" s="173">
        <f ca="1">OFFSET( AR$6, $BD62, 0 )</f>
        <v>0</v>
      </c>
      <c r="BH61" s="173">
        <f ca="1">OFFSET( AS$6, $BD62, 0 )</f>
        <v>0</v>
      </c>
      <c r="BI61" s="173">
        <f ca="1">OFFSET( AT$6, $BD62, 0 )</f>
        <v>0</v>
      </c>
    </row>
    <row r="62" spans="1:61" ht="13.8" x14ac:dyDescent="0.25">
      <c r="A62" s="223"/>
      <c r="B62" s="224"/>
      <c r="C62" s="224"/>
      <c r="D62" s="224"/>
      <c r="E62" s="225"/>
      <c r="F62" s="348"/>
      <c r="G62" s="349" t="str">
        <f t="shared" ca="1" si="1"/>
        <v/>
      </c>
      <c r="H62" s="350"/>
      <c r="I62" s="350"/>
      <c r="AF62" s="169">
        <f ca="1">IF( LEN( C62 ) = 0, 0, IF( C62 = C61, AF61, IF( AF61 = 1, 0, 1 ) ) )</f>
        <v>0</v>
      </c>
      <c r="AG62" s="169" t="str">
        <f t="shared" ca="1" si="3"/>
        <v/>
      </c>
      <c r="AH62" s="169" t="str">
        <f t="shared" ca="1" si="19"/>
        <v/>
      </c>
      <c r="AJ62" s="169" t="e">
        <f t="shared" ca="1" si="20"/>
        <v>#N/A</v>
      </c>
      <c r="AK62" s="169" t="str">
        <f t="shared" ca="1" si="21"/>
        <v/>
      </c>
      <c r="AL62" s="169" t="str">
        <f t="shared" ca="1" si="21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ca="1" si="5"/>
        <v>99</v>
      </c>
      <c r="AW62" s="168">
        <f ca="1">COUNTIF( AV$7:AV62, AV62 )</f>
        <v>13</v>
      </c>
      <c r="AX62" s="208">
        <f t="shared" ca="1" si="22"/>
        <v>100.3</v>
      </c>
      <c r="AY62" s="168">
        <f t="shared" ca="1" si="6"/>
        <v>56</v>
      </c>
      <c r="AZ62" s="169"/>
      <c r="BA62" s="169"/>
      <c r="BC62" s="168">
        <f t="shared" ca="1" si="24"/>
        <v>56</v>
      </c>
      <c r="BD62" s="209">
        <f t="shared" ca="1" si="8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/>
      <c r="B63" s="229"/>
      <c r="C63" s="224"/>
      <c r="D63" s="224"/>
      <c r="E63" s="225"/>
      <c r="F63" s="348"/>
      <c r="G63" s="349"/>
      <c r="H63" s="350"/>
      <c r="I63" s="350"/>
      <c r="AF63" s="169">
        <f t="shared" ca="1" si="2"/>
        <v>0</v>
      </c>
      <c r="AG63" s="169" t="str">
        <f t="shared" ca="1" si="3"/>
        <v/>
      </c>
      <c r="AH63" s="169" t="str">
        <f t="shared" ca="1" si="19"/>
        <v/>
      </c>
      <c r="AJ63" s="169" t="e">
        <f t="shared" ca="1" si="20"/>
        <v>#N/A</v>
      </c>
      <c r="AK63" s="169" t="str">
        <f t="shared" ca="1" si="21"/>
        <v/>
      </c>
      <c r="AL63" s="169" t="str">
        <f t="shared" ca="1" si="21"/>
        <v/>
      </c>
      <c r="AM63" s="169" t="str">
        <f t="shared" ca="1" si="4"/>
        <v/>
      </c>
      <c r="AU63" s="207"/>
      <c r="AV63" s="168">
        <f t="shared" ca="1" si="5"/>
        <v>99</v>
      </c>
      <c r="AW63" s="168">
        <f ca="1">COUNTIF( AV$7:AV63, AV63 )</f>
        <v>14</v>
      </c>
      <c r="AX63" s="208">
        <f t="shared" ca="1" si="22"/>
        <v>100.4</v>
      </c>
      <c r="AY63" s="168">
        <f t="shared" ca="1" si="6"/>
        <v>57</v>
      </c>
      <c r="AZ63" s="169"/>
      <c r="BA63" s="169"/>
      <c r="BC63" s="168">
        <f t="shared" ca="1" si="24"/>
        <v>57</v>
      </c>
      <c r="BD63" s="209">
        <f t="shared" ca="1" si="8"/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/>
      <c r="B64" s="229"/>
      <c r="C64" s="224"/>
      <c r="D64" s="224"/>
      <c r="E64" s="225"/>
      <c r="F64" s="348"/>
      <c r="G64" s="349"/>
      <c r="H64" s="350"/>
      <c r="I64" s="350"/>
      <c r="AF64" s="169">
        <f t="shared" ca="1" si="2"/>
        <v>0</v>
      </c>
      <c r="AG64" s="169" t="str">
        <f t="shared" ca="1" si="3"/>
        <v/>
      </c>
      <c r="AH64" s="169" t="str">
        <f t="shared" ca="1" si="19"/>
        <v/>
      </c>
      <c r="AJ64" s="169" t="e">
        <f t="shared" ca="1" si="20"/>
        <v>#N/A</v>
      </c>
      <c r="AK64" s="169" t="str">
        <f t="shared" ca="1" si="21"/>
        <v/>
      </c>
      <c r="AL64" s="169" t="str">
        <f t="shared" ca="1" si="21"/>
        <v/>
      </c>
      <c r="AM64" s="169" t="str">
        <f t="shared" ca="1" si="4"/>
        <v/>
      </c>
      <c r="AQ64" s="207" t="s">
        <v>308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61" ht="13.8" x14ac:dyDescent="0.25">
      <c r="A65" s="223"/>
      <c r="B65" s="229"/>
      <c r="C65" s="224"/>
      <c r="D65" s="224"/>
      <c r="E65" s="225"/>
      <c r="F65" s="348"/>
      <c r="G65" s="349"/>
      <c r="H65" s="350"/>
      <c r="I65" s="350"/>
      <c r="N65" s="168" t="s">
        <v>310</v>
      </c>
      <c r="AF65" s="169">
        <f t="shared" ca="1" si="2"/>
        <v>0</v>
      </c>
      <c r="AG65" s="169" t="str">
        <f ca="1">IF( LEN( $C65 ) = 0, "", IF( $C65 &gt; $AL65, 1, "" ) )</f>
        <v/>
      </c>
      <c r="AH65" s="169" t="str">
        <f t="shared" ca="1" si="19"/>
        <v/>
      </c>
      <c r="AJ65" s="169" t="e">
        <f t="shared" ca="1" si="20"/>
        <v>#N/A</v>
      </c>
      <c r="AK65" s="169" t="str">
        <f t="shared" ca="1" si="21"/>
        <v/>
      </c>
      <c r="AL65" s="169" t="str">
        <f t="shared" ca="1" si="21"/>
        <v/>
      </c>
      <c r="AM65" s="169" t="str">
        <f t="shared" ca="1" si="4"/>
        <v/>
      </c>
      <c r="AU65" s="207"/>
      <c r="AZ65" s="169"/>
      <c r="BA65" s="169"/>
      <c r="BF65" s="169"/>
    </row>
    <row r="66" spans="1:61" ht="13.8" x14ac:dyDescent="0.25">
      <c r="A66" s="195"/>
      <c r="B66" s="196"/>
      <c r="C66" s="185"/>
      <c r="D66" s="185"/>
      <c r="E66" s="182"/>
      <c r="F66" s="350"/>
      <c r="H66" s="350"/>
      <c r="I66" s="350"/>
      <c r="AF66" s="169">
        <f t="shared" ca="1" si="2"/>
        <v>0</v>
      </c>
      <c r="AG66" s="169" t="str">
        <f t="shared" ref="AG66:AG67" ca="1" si="26">IF( LEN( $C66 ) = 0, "", IF( $C66 &gt; $AL66, 1, "" ) )</f>
        <v/>
      </c>
      <c r="AH66" s="169" t="str">
        <f t="shared" ca="1" si="19"/>
        <v/>
      </c>
      <c r="AJ66" s="169" t="e">
        <f t="shared" ca="1" si="20"/>
        <v>#N/A</v>
      </c>
      <c r="AK66" s="169" t="str">
        <f t="shared" ca="1" si="21"/>
        <v/>
      </c>
      <c r="AL66" s="169" t="str">
        <f t="shared" ca="1" si="21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61" ht="14.4" thickBot="1" x14ac:dyDescent="0.3">
      <c r="A67" s="197"/>
      <c r="B67" s="198"/>
      <c r="C67" s="248"/>
      <c r="D67" s="198"/>
      <c r="E67" s="199"/>
      <c r="F67" s="350"/>
      <c r="H67" s="350"/>
      <c r="I67" s="350"/>
      <c r="AF67" s="169">
        <f t="shared" ca="1" si="2"/>
        <v>0</v>
      </c>
      <c r="AG67" s="169" t="str">
        <f t="shared" ca="1" si="26"/>
        <v/>
      </c>
      <c r="AH67" s="169" t="str">
        <f t="shared" ca="1" si="19"/>
        <v/>
      </c>
      <c r="AJ67" s="169" t="e">
        <f t="shared" ca="1" si="20"/>
        <v>#N/A</v>
      </c>
      <c r="AK67" s="169" t="str">
        <f t="shared" ca="1" si="21"/>
        <v/>
      </c>
      <c r="AL67" s="169" t="str">
        <f t="shared" ca="1" si="21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61" ht="13.8" x14ac:dyDescent="0.25">
      <c r="A68" s="200" t="s">
        <v>311</v>
      </c>
      <c r="B68" s="189" t="str">
        <f ca="1">OFFSET( Scale!$H$5, ROUND( C68, 0 ) - 1, 1 )</f>
        <v>BBB+</v>
      </c>
      <c r="C68" s="201">
        <f ca="1">AVERAGE(C7:C65)</f>
        <v>18.795454545454547</v>
      </c>
      <c r="D68" s="201"/>
      <c r="E68" s="201"/>
      <c r="F68" s="350"/>
      <c r="H68" s="350"/>
      <c r="I68" s="350"/>
      <c r="J68" s="351"/>
      <c r="K68" s="351"/>
      <c r="AX68" s="208"/>
      <c r="AZ68" s="169"/>
      <c r="BA68" s="169"/>
      <c r="BD68" s="209"/>
      <c r="BF68" s="169"/>
    </row>
    <row r="69" spans="1:61" x14ac:dyDescent="0.25">
      <c r="A69" s="202"/>
      <c r="B69" s="202"/>
      <c r="F69" s="350"/>
      <c r="H69" s="350"/>
      <c r="I69" s="350"/>
      <c r="AX69" s="208"/>
      <c r="AZ69" s="169"/>
      <c r="BA69" s="169"/>
      <c r="BD69" s="209"/>
    </row>
    <row r="70" spans="1:61" x14ac:dyDescent="0.25">
      <c r="A70" s="202"/>
      <c r="B70" s="202"/>
      <c r="F70" s="173"/>
      <c r="H70" s="173"/>
      <c r="I70" s="173"/>
      <c r="J70" s="351"/>
      <c r="K70" s="351"/>
    </row>
    <row r="71" spans="1:61" x14ac:dyDescent="0.25">
      <c r="A71" s="203" t="s">
        <v>312</v>
      </c>
      <c r="F71" s="173"/>
      <c r="H71" s="173"/>
      <c r="I71" s="173"/>
    </row>
    <row r="72" spans="1:61" x14ac:dyDescent="0.25">
      <c r="A72" s="203" t="s">
        <v>313</v>
      </c>
      <c r="B72" s="173"/>
      <c r="D72" s="173"/>
      <c r="E72" s="173"/>
      <c r="F72" s="204"/>
      <c r="H72" s="204"/>
      <c r="I72" s="204"/>
    </row>
    <row r="73" spans="1:61" x14ac:dyDescent="0.25">
      <c r="A73" s="205" t="s">
        <v>314</v>
      </c>
      <c r="B73" s="173"/>
      <c r="D73" s="173"/>
      <c r="E73" s="173"/>
      <c r="F73" s="204"/>
      <c r="H73" s="204"/>
      <c r="I73" s="204"/>
      <c r="AQ73" s="207"/>
      <c r="AR73" s="207"/>
      <c r="AS73" s="207"/>
    </row>
    <row r="74" spans="1:61" x14ac:dyDescent="0.25">
      <c r="A74" s="203" t="s">
        <v>315</v>
      </c>
      <c r="D74" s="204"/>
      <c r="F74" s="206"/>
      <c r="H74" s="206"/>
      <c r="I74" s="206"/>
      <c r="AQ74" s="207"/>
      <c r="AR74" s="207"/>
      <c r="AS74" s="207"/>
    </row>
    <row r="75" spans="1:61" x14ac:dyDescent="0.25">
      <c r="A75" s="203" t="s">
        <v>316</v>
      </c>
      <c r="D75" s="204"/>
      <c r="F75" s="206"/>
      <c r="H75" s="206"/>
      <c r="I75" s="206"/>
      <c r="AQ75" s="207"/>
      <c r="AR75" s="207"/>
      <c r="AS75" s="207"/>
    </row>
    <row r="76" spans="1:61" x14ac:dyDescent="0.25">
      <c r="A76" s="203"/>
      <c r="AQ76" s="207"/>
      <c r="AR76" s="207"/>
      <c r="AS76" s="207"/>
    </row>
    <row r="77" spans="1:61" x14ac:dyDescent="0.25">
      <c r="C77" s="190">
        <f ca="1">SUMPRODUCT( L8:L13, Y8:Y13 ) / L14</f>
        <v>18.818181818181817</v>
      </c>
      <c r="E77" s="191"/>
      <c r="G77" s="353"/>
      <c r="J77" s="173"/>
      <c r="K77" s="173"/>
      <c r="AQ77" s="207"/>
      <c r="AR77" s="207"/>
      <c r="AS77" s="207"/>
      <c r="AT77" s="173"/>
      <c r="BF77" s="173"/>
      <c r="BG77" s="173"/>
      <c r="BH77" s="173"/>
      <c r="BI77" s="173"/>
    </row>
    <row r="78" spans="1:61" s="173" customFormat="1" ht="13.8" x14ac:dyDescent="0.2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168"/>
      <c r="AR78" s="168"/>
      <c r="AS78" s="168"/>
      <c r="AT78" s="168"/>
      <c r="BF78" s="168"/>
      <c r="BG78" s="168"/>
      <c r="BH78" s="168"/>
      <c r="BI78" s="168"/>
    </row>
  </sheetData>
  <sortState ref="AQ7:AT51">
    <sortCondition ref="AQ7:AQ51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415" priority="31" stopIfTrue="1">
      <formula>IF( $AH7 = 1, TRUE, FALSE )</formula>
    </cfRule>
    <cfRule type="expression" dxfId="1414" priority="32" stopIfTrue="1">
      <formula>IF( $AG7 = 1, TRUE, FALSE )</formula>
    </cfRule>
    <cfRule type="expression" dxfId="1413" priority="33" stopIfTrue="1">
      <formula>IF( $AF7 = 1, TRUE, FALSE )</formula>
    </cfRule>
  </conditionalFormatting>
  <conditionalFormatting sqref="A67:E67">
    <cfRule type="expression" dxfId="1412" priority="34" stopIfTrue="1">
      <formula>IF( $AH67 = 1, TRUE, FALSE )</formula>
    </cfRule>
    <cfRule type="expression" dxfId="1411" priority="35" stopIfTrue="1">
      <formula>IF( $AG67 = 1, TRUE, FALSE )</formula>
    </cfRule>
    <cfRule type="expression" dxfId="1410" priority="36" stopIfTrue="1">
      <formula>IF( $AF67 = 1, TRUE, FALSE )</formula>
    </cfRule>
  </conditionalFormatting>
  <conditionalFormatting sqref="A66:E66">
    <cfRule type="expression" dxfId="1409" priority="28" stopIfTrue="1">
      <formula>IF( $AH66 = 1, TRUE, FALSE )</formula>
    </cfRule>
    <cfRule type="expression" dxfId="1408" priority="29" stopIfTrue="1">
      <formula>IF( $AG66 = 1, TRUE, FALSE )</formula>
    </cfRule>
    <cfRule type="expression" dxfId="1407" priority="30" stopIfTrue="1">
      <formula>IF( $AF66 = 1, TRUE, FALSE )</formula>
    </cfRule>
  </conditionalFormatting>
  <conditionalFormatting sqref="A8:D33 B7:D7 A35:D58">
    <cfRule type="expression" dxfId="1406" priority="25" stopIfTrue="1">
      <formula>IF( $AH7 = 1, TRUE, FALSE )</formula>
    </cfRule>
    <cfRule type="expression" dxfId="1405" priority="26" stopIfTrue="1">
      <formula>IF( $AG7 = 1, TRUE, FALSE )</formula>
    </cfRule>
    <cfRule type="expression" dxfId="1404" priority="27" stopIfTrue="1">
      <formula>IF( $AF7 = 1, TRUE, FALSE )</formula>
    </cfRule>
  </conditionalFormatting>
  <conditionalFormatting sqref="A59:D59">
    <cfRule type="expression" dxfId="1403" priority="22" stopIfTrue="1">
      <formula>IF( $AH59 = 1, TRUE, FALSE )</formula>
    </cfRule>
    <cfRule type="expression" dxfId="1402" priority="23" stopIfTrue="1">
      <formula>IF( $AG59 = 1, TRUE, FALSE )</formula>
    </cfRule>
    <cfRule type="expression" dxfId="1401" priority="24" stopIfTrue="1">
      <formula>IF( $AF59 = 1, TRUE, FALSE )</formula>
    </cfRule>
  </conditionalFormatting>
  <conditionalFormatting sqref="A61:D65">
    <cfRule type="expression" dxfId="1400" priority="19" stopIfTrue="1">
      <formula>IF( $AH61 = 1, TRUE, FALSE )</formula>
    </cfRule>
    <cfRule type="expression" dxfId="1399" priority="20" stopIfTrue="1">
      <formula>IF( $AG61 = 1, TRUE, FALSE )</formula>
    </cfRule>
    <cfRule type="expression" dxfId="1398" priority="21" stopIfTrue="1">
      <formula>IF( $AF61 = 1, TRUE, FALSE )</formula>
    </cfRule>
  </conditionalFormatting>
  <conditionalFormatting sqref="U8:U12">
    <cfRule type="cellIs" dxfId="1397" priority="18" operator="equal">
      <formula>0</formula>
    </cfRule>
  </conditionalFormatting>
  <conditionalFormatting sqref="O8:O12 Q8:Q12">
    <cfRule type="cellIs" dxfId="1396" priority="17" operator="equal">
      <formula>0</formula>
    </cfRule>
  </conditionalFormatting>
  <conditionalFormatting sqref="V8:V12">
    <cfRule type="cellIs" dxfId="1395" priority="16" operator="equal">
      <formula>0</formula>
    </cfRule>
  </conditionalFormatting>
  <conditionalFormatting sqref="S8:S12">
    <cfRule type="cellIs" dxfId="1394" priority="14" operator="equal">
      <formula>0</formula>
    </cfRule>
  </conditionalFormatting>
  <conditionalFormatting sqref="R8:R12">
    <cfRule type="cellIs" dxfId="1393" priority="15" operator="equal">
      <formula>0</formula>
    </cfRule>
  </conditionalFormatting>
  <conditionalFormatting sqref="P8:P12">
    <cfRule type="cellIs" dxfId="1392" priority="13" operator="equal">
      <formula>0</formula>
    </cfRule>
  </conditionalFormatting>
  <conditionalFormatting sqref="M8:M12">
    <cfRule type="cellIs" dxfId="1391" priority="12" operator="equal">
      <formula>0</formula>
    </cfRule>
  </conditionalFormatting>
  <conditionalFormatting sqref="T8:T12">
    <cfRule type="cellIs" dxfId="1390" priority="11" operator="equal">
      <formula>0</formula>
    </cfRule>
  </conditionalFormatting>
  <conditionalFormatting sqref="N8:N12">
    <cfRule type="cellIs" dxfId="1389" priority="10" operator="equal">
      <formula>0</formula>
    </cfRule>
  </conditionalFormatting>
  <conditionalFormatting sqref="K8:K12">
    <cfRule type="cellIs" dxfId="1388" priority="9" operator="equal">
      <formula>0</formula>
    </cfRule>
  </conditionalFormatting>
  <conditionalFormatting sqref="I8:I12">
    <cfRule type="cellIs" dxfId="1387" priority="8" operator="equal">
      <formula>0</formula>
    </cfRule>
  </conditionalFormatting>
  <conditionalFormatting sqref="W8:W12">
    <cfRule type="cellIs" dxfId="1386" priority="7" operator="equal">
      <formula>0</formula>
    </cfRule>
  </conditionalFormatting>
  <conditionalFormatting sqref="A7">
    <cfRule type="expression" dxfId="1385" priority="4" stopIfTrue="1">
      <formula>IF( $AH7 = 1, TRUE, FALSE )</formula>
    </cfRule>
    <cfRule type="expression" dxfId="1384" priority="5" stopIfTrue="1">
      <formula>IF( $AG7 = 1, TRUE, FALSE )</formula>
    </cfRule>
    <cfRule type="expression" dxfId="1383" priority="6" stopIfTrue="1">
      <formula>IF( $AF7 = 1, TRUE, FALSE )</formula>
    </cfRule>
  </conditionalFormatting>
  <conditionalFormatting sqref="A34:D34">
    <cfRule type="expression" dxfId="1382" priority="1" stopIfTrue="1">
      <formula>IF( $AH34 = 1, TRUE, FALSE )</formula>
    </cfRule>
    <cfRule type="expression" dxfId="1381" priority="2" stopIfTrue="1">
      <formula>IF( $AG34 = 1, TRUE, FALSE )</formula>
    </cfRule>
    <cfRule type="expression" dxfId="1380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hidden="1" customWidth="1" outlineLevel="1"/>
    <col min="23" max="23" width="2" style="168" hidden="1" customWidth="1" outlineLevel="1"/>
    <col min="24" max="24" width="4.109375" style="168" customWidth="1" collapsed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15.88671875" style="169" hidden="1" customWidth="1" outlineLevel="1" collapsed="1"/>
    <col min="37" max="38" width="15.88671875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-- 2020 Q4</v>
      </c>
      <c r="G1" s="175" t="s">
        <v>195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 x14ac:dyDescent="0.25">
      <c r="A2" s="167"/>
      <c r="E2" s="171" t="str">
        <f>G2</f>
        <v>Reg_Percent_2019</v>
      </c>
      <c r="G2" s="172" t="s">
        <v>323</v>
      </c>
      <c r="AJ2" s="173" t="str">
        <f>AJ4 &amp; AJ3</f>
        <v>'Credit_2020Q3'!d:d</v>
      </c>
      <c r="AK2" s="173" t="str">
        <f>AK4 &amp; AK3</f>
        <v>'Credit_2020Q3'!b1</v>
      </c>
      <c r="AL2" s="173" t="str">
        <f>AL4 &amp; AL3</f>
        <v>'Credit_2020Q3'!c1</v>
      </c>
      <c r="AQ2" s="169"/>
    </row>
    <row r="3" spans="1:61" ht="18" hidden="1" outlineLevel="1" x14ac:dyDescent="0.25">
      <c r="A3" s="167"/>
      <c r="E3" s="174" t="str">
        <f>"'" &amp; E2 &amp; "'!"</f>
        <v>'Reg_Percent_2019'!</v>
      </c>
      <c r="G3" s="168" t="str">
        <f>"'" &amp; G2 &amp; "'!"</f>
        <v>'Reg_Percent_2019'!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205</v>
      </c>
      <c r="AK3" s="149" t="s">
        <v>206</v>
      </c>
      <c r="AL3" s="149" t="s">
        <v>207</v>
      </c>
      <c r="AQ3" s="169"/>
    </row>
    <row r="4" spans="1:61" ht="18" hidden="1" outlineLevel="1" x14ac:dyDescent="0.25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>$AQ$5</f>
        <v>'Credit_2020Q3'!</v>
      </c>
      <c r="AK4" s="169" t="str">
        <f t="shared" ref="AK4:AL4" si="0">$AQ$5</f>
        <v>'Credit_2020Q3'!</v>
      </c>
      <c r="AL4" s="169" t="str">
        <f t="shared" si="0"/>
        <v>'Credit_2020Q3'!</v>
      </c>
      <c r="AQ4" s="169"/>
    </row>
    <row r="5" spans="1:61" ht="13.8" collapsed="1" x14ac:dyDescent="0.25">
      <c r="E5" s="176" t="s">
        <v>209</v>
      </c>
      <c r="G5" s="170" t="s">
        <v>199</v>
      </c>
      <c r="I5" s="230"/>
      <c r="J5" s="389" t="s">
        <v>210</v>
      </c>
      <c r="K5" s="230"/>
      <c r="L5" s="391" t="str">
        <f>"All Companies" &amp; CHAR( 10 ) &amp; "("&amp; L14 &amp; ")"</f>
        <v>All Companies
(44)</v>
      </c>
      <c r="M5" s="391"/>
      <c r="N5" s="230"/>
      <c r="O5" s="389" t="str">
        <f ca="1">"Regulated" &amp; CHAR( 10 ) &amp; "(" &amp; O14 &amp; ")"</f>
        <v>Regulated
(34)</v>
      </c>
      <c r="P5" s="393"/>
      <c r="Q5" s="230"/>
      <c r="R5" s="389" t="str">
        <f ca="1">"Mostly Regulated" &amp; CHAR( 10 ) &amp; "(" &amp; R14 &amp; ")"</f>
        <v>Mostly Regulated
(10)</v>
      </c>
      <c r="S5" s="393"/>
      <c r="T5" s="230"/>
      <c r="U5" s="389" t="str">
        <f ca="1">"Diversified" &amp; CHAR( 10 ) &amp; "(" &amp; U14 &amp; ")"</f>
        <v>Diversified
(0)</v>
      </c>
      <c r="V5" s="393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324</v>
      </c>
    </row>
    <row r="6" spans="1:61" ht="28.5" customHeight="1" x14ac:dyDescent="0.25">
      <c r="A6" s="219" t="s">
        <v>212</v>
      </c>
      <c r="B6" s="220" t="s">
        <v>325</v>
      </c>
      <c r="C6" s="249" t="s">
        <v>214</v>
      </c>
      <c r="D6" s="221"/>
      <c r="E6" s="222">
        <f ca="1">INDIRECT( E3 &amp; G1 )</f>
        <v>43830</v>
      </c>
      <c r="I6" s="231"/>
      <c r="J6" s="390"/>
      <c r="K6" s="231"/>
      <c r="L6" s="392"/>
      <c r="M6" s="392"/>
      <c r="N6" s="231"/>
      <c r="O6" s="390"/>
      <c r="P6" s="390"/>
      <c r="Q6" s="231"/>
      <c r="R6" s="390" t="s">
        <v>136</v>
      </c>
      <c r="S6" s="390"/>
      <c r="T6" s="231"/>
      <c r="U6" s="390"/>
      <c r="V6" s="390"/>
      <c r="W6" s="231"/>
      <c r="AE6" s="178"/>
      <c r="AJ6" s="179"/>
    </row>
    <row r="7" spans="1:61" ht="13.8" x14ac:dyDescent="0.25">
      <c r="A7" s="223" t="s">
        <v>215</v>
      </c>
      <c r="B7" s="224" t="s">
        <v>166</v>
      </c>
      <c r="C7" s="224">
        <v>21</v>
      </c>
      <c r="D7" s="224" t="s">
        <v>216</v>
      </c>
      <c r="E7" s="225" t="str">
        <f ca="1">IF( LEN( $G7 ) = 0, "", OFFSET( INDIRECT( E$3 &amp; E$4 ), $G7 - 1, 0 ) )</f>
        <v>MR</v>
      </c>
      <c r="F7" s="348"/>
      <c r="G7" s="349">
        <f t="shared" ref="G7:G62" ca="1" si="1">IF( LEN( $D7 ) = 0, "", MATCH( $D7, INDIRECT( G$3 &amp; G$4 ), 0 ) )</f>
        <v>56</v>
      </c>
      <c r="H7" s="350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217</v>
      </c>
      <c r="AR7" s="207" t="s">
        <v>141</v>
      </c>
      <c r="AS7" s="207">
        <v>18</v>
      </c>
      <c r="AT7" s="207" t="s">
        <v>218</v>
      </c>
      <c r="AV7" s="168">
        <f t="shared" ref="AV7:AV63" si="5">IF( LEN( AS7 ) = 0, 99, RANK( AS7, $AS$7:$AS$62 ) )</f>
        <v>30</v>
      </c>
      <c r="AW7" s="168">
        <f>COUNTIF( AV7:AV$7, AV7 )</f>
        <v>1</v>
      </c>
      <c r="AX7" s="208">
        <f>AV7 + AW7 / 10</f>
        <v>30.1</v>
      </c>
      <c r="AY7" s="168">
        <f t="shared" ref="AY7:AY63" si="6">RANK( AX7, $AX$7:$AX$63, 1 )</f>
        <v>30</v>
      </c>
      <c r="AZ7" s="169"/>
      <c r="BA7" s="169"/>
      <c r="BC7" s="168">
        <f t="shared" ref="BC7" ca="1" si="7">OFFSET( BC7, -1, 0 ) + 1</f>
        <v>1</v>
      </c>
      <c r="BD7" s="209">
        <f t="shared" ref="BD7:BD63" ca="1" si="8">MATCH( BC7, $AY$7:$AY$63, 0 )</f>
        <v>7</v>
      </c>
      <c r="BF7" s="173" t="str">
        <f ca="1">OFFSET( AQ$6, $BD7, 0 )</f>
        <v>Berkshire Energy Holdings Company</v>
      </c>
      <c r="BG7" s="173" t="str">
        <f ca="1">OFFSET( AR$6, $BD7, 0 )</f>
        <v>A</v>
      </c>
      <c r="BH7" s="173">
        <f ca="1">OFFSET( AS$6, $BD7, 0 )</f>
        <v>21</v>
      </c>
      <c r="BI7" s="173" t="str">
        <f ca="1">OFFSET( AT$6, $BD7, 0 )</f>
        <v>**BRK</v>
      </c>
    </row>
    <row r="8" spans="1:61" ht="13.8" x14ac:dyDescent="0.25">
      <c r="A8" s="223" t="s">
        <v>219</v>
      </c>
      <c r="B8" s="224" t="s">
        <v>139</v>
      </c>
      <c r="C8" s="224">
        <v>20</v>
      </c>
      <c r="D8" s="224" t="s">
        <v>220</v>
      </c>
      <c r="E8" s="225" t="str">
        <f t="shared" ref="E8:E61" ca="1" si="9">IF( LEN( $G8 ) = 0, "", OFFSET( INDIRECT( E$3 &amp; E$4 ), $G8 - 1, 0 ) )</f>
        <v>R</v>
      </c>
      <c r="F8" s="348"/>
      <c r="G8" s="349">
        <f t="shared" ca="1" si="1"/>
        <v>8</v>
      </c>
      <c r="H8" s="350"/>
      <c r="I8" s="233"/>
      <c r="J8" s="213" t="s">
        <v>137</v>
      </c>
      <c r="K8" s="233"/>
      <c r="L8" s="213">
        <f t="shared" ref="L8:L13" si="10">COUNTIF($C$7:$C$67,$X8)</f>
        <v>2</v>
      </c>
      <c r="M8" s="214">
        <f t="shared" ref="M8:M13" si="11">IF( L8 = 0, "", L8/L$14 )</f>
        <v>4.5454545454545456E-2</v>
      </c>
      <c r="N8" s="233"/>
      <c r="O8" s="213">
        <f t="shared" ref="O8:O13" ca="1" si="12">COUNTIFS( $E$7:$E$66, O$3, $C$7:$C$66, $X8 )</f>
        <v>1</v>
      </c>
      <c r="P8" s="214">
        <f t="shared" ref="P8:P13" ca="1" si="13">IF( O8 = 0, "", O8/O$14 )</f>
        <v>2.9411764705882353E-2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0.1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8">SUM(O8, R8, U8)</f>
        <v>2</v>
      </c>
      <c r="AC8" s="351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ref="AJ8:AJ67" ca="1" si="20">MATCH( $D8, INDIRECT( AJ$2 ), 0 )</f>
        <v>8</v>
      </c>
      <c r="AK8" s="169" t="str">
        <f t="shared" ref="AK8:AL67" ca="1" si="21">IF( ISNA( $AJ8 ), "", OFFSET( INDIRECT( AK$2 ), $AJ8-1, 0 ) )</f>
        <v>A-</v>
      </c>
      <c r="AL8" s="169">
        <f t="shared" ca="1" si="21"/>
        <v>20</v>
      </c>
      <c r="AM8" s="169" t="str">
        <f t="shared" ca="1" si="4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si="5"/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si="6"/>
        <v>2</v>
      </c>
      <c r="AZ8" s="169"/>
      <c r="BA8" s="169"/>
      <c r="BC8" s="168">
        <f ca="1">OFFSET( BC8, -1, 0 ) + 1</f>
        <v>2</v>
      </c>
      <c r="BD8" s="209">
        <f t="shared" ca="1" si="8"/>
        <v>2</v>
      </c>
      <c r="BF8" s="173" t="str">
        <f t="shared" ref="BF8:BI50" ca="1" si="23">OFFSET( AQ$6, $BD8, 0 )</f>
        <v>Alliant Energy Corporation</v>
      </c>
      <c r="BG8" s="173" t="str">
        <f t="shared" ca="1" si="23"/>
        <v>A-</v>
      </c>
      <c r="BH8" s="173">
        <f t="shared" ca="1" si="23"/>
        <v>20</v>
      </c>
      <c r="BI8" s="173" t="str">
        <f t="shared" ca="1" si="23"/>
        <v>LNT</v>
      </c>
    </row>
    <row r="9" spans="1:61" ht="13.8" x14ac:dyDescent="0.25">
      <c r="A9" s="223" t="s">
        <v>222</v>
      </c>
      <c r="B9" s="224" t="s">
        <v>139</v>
      </c>
      <c r="C9" s="224">
        <v>20</v>
      </c>
      <c r="D9" s="224" t="s">
        <v>223</v>
      </c>
      <c r="E9" s="225" t="str">
        <f t="shared" ca="1" si="9"/>
        <v>R</v>
      </c>
      <c r="F9" s="348"/>
      <c r="G9" s="349">
        <f t="shared" ca="1" si="1"/>
        <v>10</v>
      </c>
      <c r="H9" s="350"/>
      <c r="I9" s="234"/>
      <c r="J9" s="215" t="s">
        <v>139</v>
      </c>
      <c r="K9" s="234"/>
      <c r="L9" s="215">
        <f t="shared" si="10"/>
        <v>12</v>
      </c>
      <c r="M9" s="216">
        <f t="shared" si="11"/>
        <v>0.27272727272727271</v>
      </c>
      <c r="N9" s="234"/>
      <c r="O9" s="215">
        <f t="shared" ca="1" si="12"/>
        <v>11</v>
      </c>
      <c r="P9" s="216">
        <f t="shared" ca="1" si="13"/>
        <v>0.3235294117647059</v>
      </c>
      <c r="Q9" s="234"/>
      <c r="R9" s="215">
        <f t="shared" ca="1" si="14"/>
        <v>1</v>
      </c>
      <c r="S9" s="216">
        <f t="shared" ca="1" si="15"/>
        <v>0.1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8"/>
        <v>12</v>
      </c>
      <c r="AC9" s="351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9"/>
        <v/>
      </c>
      <c r="AJ9" s="169">
        <f t="shared" ca="1" si="20"/>
        <v>9</v>
      </c>
      <c r="AK9" s="169" t="str">
        <f t="shared" ca="1" si="21"/>
        <v>A-</v>
      </c>
      <c r="AL9" s="169">
        <f t="shared" ca="1" si="21"/>
        <v>20</v>
      </c>
      <c r="AM9" s="169" t="str">
        <f t="shared" ca="1" si="4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si="5"/>
        <v>14</v>
      </c>
      <c r="AW9" s="168">
        <f>COUNTIF( AV$7:AV9, AV9 )</f>
        <v>1</v>
      </c>
      <c r="AX9" s="208">
        <f t="shared" si="22"/>
        <v>14.1</v>
      </c>
      <c r="AY9" s="168">
        <f t="shared" si="6"/>
        <v>14</v>
      </c>
      <c r="AZ9" s="169"/>
      <c r="BA9" s="169"/>
      <c r="BC9" s="168">
        <f t="shared" ref="BC9:BC63" ca="1" si="24">OFFSET( BC9, -1, 0 ) + 1</f>
        <v>3</v>
      </c>
      <c r="BD9" s="209">
        <f t="shared" ca="1" si="8"/>
        <v>4</v>
      </c>
      <c r="BF9" s="173" t="str">
        <f t="shared" ca="1" si="23"/>
        <v>American Electric Power Company, Inc.</v>
      </c>
      <c r="BG9" s="173" t="str">
        <f t="shared" ca="1" si="23"/>
        <v>A-</v>
      </c>
      <c r="BH9" s="173">
        <f t="shared" ca="1" si="23"/>
        <v>20</v>
      </c>
      <c r="BI9" s="173" t="str">
        <f t="shared" ca="1" si="23"/>
        <v>AEP</v>
      </c>
    </row>
    <row r="10" spans="1:61" ht="13.8" x14ac:dyDescent="0.25">
      <c r="A10" s="223" t="s">
        <v>227</v>
      </c>
      <c r="B10" s="224" t="s">
        <v>139</v>
      </c>
      <c r="C10" s="224">
        <v>20</v>
      </c>
      <c r="D10" s="224" t="s">
        <v>228</v>
      </c>
      <c r="E10" s="225" t="str">
        <f t="shared" ca="1" si="9"/>
        <v>R</v>
      </c>
      <c r="F10" s="348"/>
      <c r="G10" s="349">
        <f t="shared" ca="1" si="1"/>
        <v>16</v>
      </c>
      <c r="H10" s="350"/>
      <c r="I10" s="234"/>
      <c r="J10" s="215" t="s">
        <v>140</v>
      </c>
      <c r="K10" s="234"/>
      <c r="L10" s="215">
        <f t="shared" si="10"/>
        <v>16</v>
      </c>
      <c r="M10" s="216">
        <f t="shared" si="11"/>
        <v>0.36363636363636365</v>
      </c>
      <c r="N10" s="234"/>
      <c r="O10" s="215">
        <f t="shared" ca="1" si="12"/>
        <v>10</v>
      </c>
      <c r="P10" s="216">
        <f t="shared" ca="1" si="13"/>
        <v>0.29411764705882354</v>
      </c>
      <c r="Q10" s="234"/>
      <c r="R10" s="215">
        <f t="shared" ca="1" si="14"/>
        <v>6</v>
      </c>
      <c r="S10" s="216">
        <f t="shared" ca="1" si="15"/>
        <v>0.6</v>
      </c>
      <c r="T10" s="234"/>
      <c r="U10" s="215">
        <f t="shared" ca="1" si="16"/>
        <v>0</v>
      </c>
      <c r="V10" s="216" t="str">
        <f t="shared" ca="1" si="17"/>
        <v/>
      </c>
      <c r="W10" s="234"/>
      <c r="X10" s="186" t="s">
        <v>229</v>
      </c>
      <c r="Y10" s="186">
        <v>19</v>
      </c>
      <c r="Z10" s="186">
        <v>1</v>
      </c>
      <c r="AA10" s="185">
        <f t="shared" ca="1" si="18"/>
        <v>16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20"/>
        <v>10</v>
      </c>
      <c r="AK10" s="169" t="str">
        <f t="shared" ca="1" si="21"/>
        <v>A-</v>
      </c>
      <c r="AL10" s="169">
        <f t="shared" ca="1" si="21"/>
        <v>20</v>
      </c>
      <c r="AM10" s="169" t="str">
        <f t="shared" ca="1" si="4"/>
        <v/>
      </c>
      <c r="AQ10" s="207" t="s">
        <v>222</v>
      </c>
      <c r="AR10" s="207" t="s">
        <v>139</v>
      </c>
      <c r="AS10" s="207">
        <v>20</v>
      </c>
      <c r="AT10" s="207" t="s">
        <v>223</v>
      </c>
      <c r="AV10" s="168">
        <f t="shared" si="5"/>
        <v>2</v>
      </c>
      <c r="AW10" s="168">
        <f>COUNTIF( AV$7:AV10, AV10 )</f>
        <v>2</v>
      </c>
      <c r="AX10" s="208">
        <f t="shared" si="22"/>
        <v>2.2000000000000002</v>
      </c>
      <c r="AY10" s="168">
        <f t="shared" si="6"/>
        <v>3</v>
      </c>
      <c r="AZ10" s="169"/>
      <c r="BA10" s="169"/>
      <c r="BC10" s="168">
        <f t="shared" ca="1" si="24"/>
        <v>4</v>
      </c>
      <c r="BD10" s="209">
        <f t="shared" ca="1" si="8"/>
        <v>12</v>
      </c>
      <c r="BF10" s="173" t="str">
        <f t="shared" ca="1" si="23"/>
        <v>Consolidated Edison, Inc.</v>
      </c>
      <c r="BG10" s="173" t="str">
        <f t="shared" ca="1" si="23"/>
        <v>A-</v>
      </c>
      <c r="BH10" s="173">
        <f t="shared" ca="1" si="23"/>
        <v>20</v>
      </c>
      <c r="BI10" s="173" t="str">
        <f t="shared" ca="1" si="23"/>
        <v>ED</v>
      </c>
    </row>
    <row r="11" spans="1:61" ht="13.8" x14ac:dyDescent="0.25">
      <c r="A11" s="223" t="s">
        <v>263</v>
      </c>
      <c r="B11" s="224" t="s">
        <v>139</v>
      </c>
      <c r="C11" s="224">
        <v>20</v>
      </c>
      <c r="D11" s="224" t="s">
        <v>264</v>
      </c>
      <c r="E11" s="225" t="str">
        <f t="shared" ca="1" si="9"/>
        <v>R</v>
      </c>
      <c r="F11" s="348"/>
      <c r="G11" s="349">
        <f t="shared" ca="1" si="1"/>
        <v>19</v>
      </c>
      <c r="H11" s="350"/>
      <c r="I11" s="234"/>
      <c r="J11" s="215" t="s">
        <v>141</v>
      </c>
      <c r="K11" s="234"/>
      <c r="L11" s="215">
        <f t="shared" si="10"/>
        <v>8</v>
      </c>
      <c r="M11" s="216">
        <f t="shared" si="11"/>
        <v>0.18181818181818182</v>
      </c>
      <c r="N11" s="234"/>
      <c r="O11" s="215">
        <f t="shared" ca="1" si="12"/>
        <v>7</v>
      </c>
      <c r="P11" s="216">
        <f t="shared" ca="1" si="13"/>
        <v>0.20588235294117646</v>
      </c>
      <c r="Q11" s="234"/>
      <c r="R11" s="215">
        <f t="shared" ca="1" si="14"/>
        <v>1</v>
      </c>
      <c r="S11" s="216">
        <f t="shared" ca="1" si="15"/>
        <v>0.1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8"/>
        <v>8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20"/>
        <v>11</v>
      </c>
      <c r="AK11" s="169" t="str">
        <f t="shared" ca="1" si="21"/>
        <v>A-</v>
      </c>
      <c r="AL11" s="169">
        <f t="shared" ca="1" si="21"/>
        <v>20</v>
      </c>
      <c r="AM11" s="169" t="str">
        <f t="shared" ca="1" si="4"/>
        <v/>
      </c>
      <c r="AQ11" s="207" t="s">
        <v>233</v>
      </c>
      <c r="AR11" s="207" t="s">
        <v>140</v>
      </c>
      <c r="AS11" s="207">
        <v>19</v>
      </c>
      <c r="AT11" s="207" t="s">
        <v>234</v>
      </c>
      <c r="AV11" s="168">
        <f t="shared" si="5"/>
        <v>14</v>
      </c>
      <c r="AW11" s="168">
        <f>COUNTIF( AV$7:AV11, AV11 )</f>
        <v>2</v>
      </c>
      <c r="AX11" s="208">
        <f t="shared" si="22"/>
        <v>14.2</v>
      </c>
      <c r="AY11" s="168">
        <f t="shared" si="6"/>
        <v>15</v>
      </c>
      <c r="AZ11" s="169"/>
      <c r="BA11" s="169"/>
      <c r="BC11" s="168">
        <f t="shared" ca="1" si="24"/>
        <v>5</v>
      </c>
      <c r="BD11" s="209">
        <f t="shared" ca="1" si="8"/>
        <v>16</v>
      </c>
      <c r="BF11" s="173" t="str">
        <f t="shared" ca="1" si="23"/>
        <v>Duke Energy Corporation</v>
      </c>
      <c r="BG11" s="173" t="str">
        <f t="shared" ca="1" si="23"/>
        <v>A-</v>
      </c>
      <c r="BH11" s="173">
        <f t="shared" ca="1" si="23"/>
        <v>20</v>
      </c>
      <c r="BI11" s="173" t="str">
        <f t="shared" ca="1" si="23"/>
        <v>DUK</v>
      </c>
    </row>
    <row r="12" spans="1:61" ht="13.8" x14ac:dyDescent="0.25">
      <c r="A12" s="223" t="s">
        <v>230</v>
      </c>
      <c r="B12" s="224" t="s">
        <v>139</v>
      </c>
      <c r="C12" s="224">
        <v>20</v>
      </c>
      <c r="D12" s="224" t="s">
        <v>231</v>
      </c>
      <c r="E12" s="225" t="str">
        <f t="shared" ca="1" si="9"/>
        <v>R</v>
      </c>
      <c r="F12" s="348"/>
      <c r="G12" s="349">
        <f t="shared" ca="1" si="1"/>
        <v>23</v>
      </c>
      <c r="H12" s="350"/>
      <c r="I12" s="234"/>
      <c r="J12" s="215" t="s">
        <v>142</v>
      </c>
      <c r="K12" s="234"/>
      <c r="L12" s="215">
        <f t="shared" si="10"/>
        <v>3</v>
      </c>
      <c r="M12" s="216">
        <f t="shared" si="11"/>
        <v>6.8181818181818177E-2</v>
      </c>
      <c r="N12" s="234"/>
      <c r="O12" s="215">
        <f t="shared" ca="1" si="12"/>
        <v>2</v>
      </c>
      <c r="P12" s="216">
        <f t="shared" ca="1" si="13"/>
        <v>5.8823529411764705E-2</v>
      </c>
      <c r="Q12" s="234"/>
      <c r="R12" s="215">
        <f t="shared" ca="1" si="14"/>
        <v>1</v>
      </c>
      <c r="S12" s="216">
        <f t="shared" ca="1" si="15"/>
        <v>0.1</v>
      </c>
      <c r="T12" s="234"/>
      <c r="U12" s="215">
        <f t="shared" ca="1" si="16"/>
        <v>0</v>
      </c>
      <c r="V12" s="216" t="str">
        <f t="shared" ca="1" si="17"/>
        <v/>
      </c>
      <c r="W12" s="234"/>
      <c r="X12" s="186" t="s">
        <v>237</v>
      </c>
      <c r="Y12" s="186">
        <v>17</v>
      </c>
      <c r="Z12" s="186">
        <v>1</v>
      </c>
      <c r="AA12" s="185">
        <f t="shared" ca="1" si="18"/>
        <v>3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20"/>
        <v>12</v>
      </c>
      <c r="AK12" s="169" t="str">
        <f t="shared" ca="1" si="21"/>
        <v>A-</v>
      </c>
      <c r="AL12" s="169">
        <f t="shared" ca="1" si="21"/>
        <v>20</v>
      </c>
      <c r="AM12" s="169" t="str">
        <f t="shared" ca="1" si="4"/>
        <v/>
      </c>
      <c r="AQ12" s="207" t="s">
        <v>238</v>
      </c>
      <c r="AR12" s="207" t="s">
        <v>141</v>
      </c>
      <c r="AS12" s="207">
        <v>18</v>
      </c>
      <c r="AT12" s="207" t="s">
        <v>239</v>
      </c>
      <c r="AV12" s="168">
        <f t="shared" si="5"/>
        <v>30</v>
      </c>
      <c r="AW12" s="168">
        <f>COUNTIF( AV$7:AV12, AV12 )</f>
        <v>2</v>
      </c>
      <c r="AX12" s="208">
        <f t="shared" si="22"/>
        <v>30.2</v>
      </c>
      <c r="AY12" s="168">
        <f t="shared" si="6"/>
        <v>31</v>
      </c>
      <c r="AZ12" s="169"/>
      <c r="BA12" s="169"/>
      <c r="BC12" s="168">
        <f t="shared" ca="1" si="24"/>
        <v>6</v>
      </c>
      <c r="BD12" s="209">
        <f t="shared" ca="1" si="8"/>
        <v>19</v>
      </c>
      <c r="BF12" s="173" t="str">
        <f t="shared" ca="1" si="23"/>
        <v>Evergy, Inc.</v>
      </c>
      <c r="BG12" s="173" t="str">
        <f t="shared" ca="1" si="23"/>
        <v>A-</v>
      </c>
      <c r="BH12" s="173">
        <f t="shared" ca="1" si="23"/>
        <v>20</v>
      </c>
      <c r="BI12" s="173" t="str">
        <f t="shared" ca="1" si="23"/>
        <v>EVRG</v>
      </c>
    </row>
    <row r="13" spans="1:61" ht="13.8" x14ac:dyDescent="0.25">
      <c r="A13" s="223" t="s">
        <v>235</v>
      </c>
      <c r="B13" s="224" t="s">
        <v>139</v>
      </c>
      <c r="C13" s="224">
        <v>20</v>
      </c>
      <c r="D13" s="224" t="s">
        <v>236</v>
      </c>
      <c r="E13" s="225" t="str">
        <f t="shared" ca="1" si="9"/>
        <v>R</v>
      </c>
      <c r="F13" s="348"/>
      <c r="G13" s="349">
        <f t="shared" ca="1" si="1"/>
        <v>24</v>
      </c>
      <c r="H13" s="350"/>
      <c r="I13" s="235"/>
      <c r="J13" s="217" t="s">
        <v>143</v>
      </c>
      <c r="K13" s="235"/>
      <c r="L13" s="217">
        <f t="shared" si="10"/>
        <v>3</v>
      </c>
      <c r="M13" s="218">
        <f t="shared" si="11"/>
        <v>6.8181818181818177E-2</v>
      </c>
      <c r="N13" s="235"/>
      <c r="O13" s="217">
        <f t="shared" ca="1" si="12"/>
        <v>3</v>
      </c>
      <c r="P13" s="218">
        <f t="shared" ca="1" si="13"/>
        <v>8.8235294117647065E-2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0</v>
      </c>
      <c r="V13" s="218" t="str">
        <f t="shared" ca="1" si="17"/>
        <v/>
      </c>
      <c r="W13" s="235"/>
      <c r="X13" s="186" t="s">
        <v>242</v>
      </c>
      <c r="Y13" s="186">
        <v>16</v>
      </c>
      <c r="Z13" s="186">
        <v>1</v>
      </c>
      <c r="AA13" s="188">
        <f t="shared" ca="1" si="18"/>
        <v>3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9"/>
        <v/>
      </c>
      <c r="AJ13" s="169">
        <f t="shared" ca="1" si="20"/>
        <v>13</v>
      </c>
      <c r="AK13" s="169" t="str">
        <f t="shared" ca="1" si="21"/>
        <v>A-</v>
      </c>
      <c r="AL13" s="169">
        <f t="shared" ca="1" si="21"/>
        <v>20</v>
      </c>
      <c r="AM13" s="169" t="str">
        <f t="shared" ca="1" si="4"/>
        <v/>
      </c>
      <c r="AQ13" s="207" t="s">
        <v>215</v>
      </c>
      <c r="AR13" s="207" t="s">
        <v>166</v>
      </c>
      <c r="AS13" s="207">
        <v>21</v>
      </c>
      <c r="AT13" s="207" t="s">
        <v>216</v>
      </c>
      <c r="AV13" s="168">
        <f t="shared" si="5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6"/>
        <v>1</v>
      </c>
      <c r="AZ13" s="169"/>
      <c r="BA13" s="169"/>
      <c r="BC13" s="168">
        <f t="shared" ca="1" si="24"/>
        <v>7</v>
      </c>
      <c r="BD13" s="209">
        <f t="shared" ca="1" si="8"/>
        <v>20</v>
      </c>
      <c r="BF13" s="173" t="str">
        <f t="shared" ca="1" si="23"/>
        <v>Eversource Energy</v>
      </c>
      <c r="BG13" s="173" t="str">
        <f t="shared" ca="1" si="23"/>
        <v>A-</v>
      </c>
      <c r="BH13" s="173">
        <f t="shared" ca="1" si="23"/>
        <v>20</v>
      </c>
      <c r="BI13" s="173" t="str">
        <f t="shared" ca="1" si="23"/>
        <v>ES</v>
      </c>
    </row>
    <row r="14" spans="1:61" ht="13.8" x14ac:dyDescent="0.25">
      <c r="A14" s="223" t="s">
        <v>240</v>
      </c>
      <c r="B14" s="224" t="s">
        <v>139</v>
      </c>
      <c r="C14" s="224">
        <v>20</v>
      </c>
      <c r="D14" s="224" t="s">
        <v>241</v>
      </c>
      <c r="E14" s="225" t="str">
        <f t="shared" ca="1" si="9"/>
        <v>MR</v>
      </c>
      <c r="F14" s="348"/>
      <c r="G14" s="349">
        <f t="shared" ca="1" si="1"/>
        <v>31</v>
      </c>
      <c r="H14" s="350"/>
      <c r="I14" s="236"/>
      <c r="J14" s="211" t="s">
        <v>144</v>
      </c>
      <c r="K14" s="236"/>
      <c r="L14" s="211">
        <f>SUM(L8:L13)</f>
        <v>44</v>
      </c>
      <c r="M14" s="212">
        <f>L14/L$14</f>
        <v>1</v>
      </c>
      <c r="N14" s="236"/>
      <c r="O14" s="211">
        <f ca="1">SUM(O8:O13)</f>
        <v>34</v>
      </c>
      <c r="P14" s="212">
        <f ca="1">O14/O$14</f>
        <v>1</v>
      </c>
      <c r="Q14" s="236"/>
      <c r="R14" s="211">
        <f ca="1">SUM(R8:R13)</f>
        <v>10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18.84090909090909</v>
      </c>
      <c r="Z14" s="190"/>
      <c r="AA14" s="189">
        <f ca="1">SUM(AA8:AA13)</f>
        <v>44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20"/>
        <v>14</v>
      </c>
      <c r="AK14" s="169" t="str">
        <f t="shared" ca="1" si="21"/>
        <v>A-</v>
      </c>
      <c r="AL14" s="169">
        <f t="shared" ca="1" si="21"/>
        <v>20</v>
      </c>
      <c r="AM14" s="169" t="str">
        <f t="shared" ca="1" si="4"/>
        <v/>
      </c>
      <c r="AQ14" s="207" t="s">
        <v>245</v>
      </c>
      <c r="AR14" s="207" t="s">
        <v>140</v>
      </c>
      <c r="AS14" s="207">
        <v>19</v>
      </c>
      <c r="AT14" s="207" t="s">
        <v>246</v>
      </c>
      <c r="AV14" s="168">
        <f t="shared" si="5"/>
        <v>14</v>
      </c>
      <c r="AW14" s="168">
        <f>COUNTIF( AV$7:AV14, AV14 )</f>
        <v>3</v>
      </c>
      <c r="AX14" s="208">
        <f t="shared" si="22"/>
        <v>14.3</v>
      </c>
      <c r="AY14" s="168">
        <f t="shared" si="6"/>
        <v>16</v>
      </c>
      <c r="AZ14" s="169"/>
      <c r="BA14" s="169"/>
      <c r="BC14" s="168">
        <f t="shared" ca="1" si="24"/>
        <v>8</v>
      </c>
      <c r="BD14" s="209">
        <f t="shared" ca="1" si="8"/>
        <v>27</v>
      </c>
      <c r="BF14" s="173" t="str">
        <f t="shared" ca="1" si="23"/>
        <v>NextEra Energy, Inc.</v>
      </c>
      <c r="BG14" s="173" t="str">
        <f t="shared" ca="1" si="23"/>
        <v>A-</v>
      </c>
      <c r="BH14" s="173">
        <f t="shared" ca="1" si="23"/>
        <v>20</v>
      </c>
      <c r="BI14" s="173" t="str">
        <f t="shared" ca="1" si="23"/>
        <v>NEE</v>
      </c>
    </row>
    <row r="15" spans="1:61" ht="13.8" x14ac:dyDescent="0.25">
      <c r="A15" s="223" t="s">
        <v>281</v>
      </c>
      <c r="B15" s="224" t="s">
        <v>139</v>
      </c>
      <c r="C15" s="224">
        <v>20</v>
      </c>
      <c r="D15" s="224" t="s">
        <v>282</v>
      </c>
      <c r="E15" s="225" t="str">
        <f t="shared" ca="1" si="9"/>
        <v>R</v>
      </c>
      <c r="F15" s="348"/>
      <c r="G15" s="349">
        <f t="shared" ca="1" si="1"/>
        <v>37</v>
      </c>
      <c r="H15" s="350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9"/>
        <v/>
      </c>
      <c r="AJ15" s="169">
        <f t="shared" ca="1" si="20"/>
        <v>15</v>
      </c>
      <c r="AK15" s="169" t="str">
        <f t="shared" ca="1" si="21"/>
        <v>A-</v>
      </c>
      <c r="AL15" s="169">
        <f t="shared" ca="1" si="21"/>
        <v>20</v>
      </c>
      <c r="AM15" s="169" t="str">
        <f t="shared" ca="1" si="4"/>
        <v/>
      </c>
      <c r="AQ15" s="207" t="s">
        <v>249</v>
      </c>
      <c r="AR15" s="207" t="s">
        <v>140</v>
      </c>
      <c r="AS15" s="207">
        <v>19</v>
      </c>
      <c r="AT15" s="207" t="s">
        <v>250</v>
      </c>
      <c r="AV15" s="168">
        <f t="shared" si="5"/>
        <v>14</v>
      </c>
      <c r="AW15" s="168">
        <f>COUNTIF( AV$7:AV15, AV15 )</f>
        <v>4</v>
      </c>
      <c r="AX15" s="208">
        <f t="shared" si="22"/>
        <v>14.4</v>
      </c>
      <c r="AY15" s="168">
        <f t="shared" si="6"/>
        <v>17</v>
      </c>
      <c r="AZ15" s="169"/>
      <c r="BA15" s="169"/>
      <c r="BC15" s="168">
        <f t="shared" ca="1" si="24"/>
        <v>9</v>
      </c>
      <c r="BD15" s="209">
        <f t="shared" ca="1" si="8"/>
        <v>33</v>
      </c>
      <c r="BF15" s="173" t="str">
        <f t="shared" ca="1" si="23"/>
        <v>Pinnacle West Capital Corporation</v>
      </c>
      <c r="BG15" s="173" t="str">
        <f t="shared" ca="1" si="23"/>
        <v>A-</v>
      </c>
      <c r="BH15" s="173">
        <f t="shared" ca="1" si="23"/>
        <v>20</v>
      </c>
      <c r="BI15" s="173" t="str">
        <f t="shared" ca="1" si="23"/>
        <v>PNW</v>
      </c>
    </row>
    <row r="16" spans="1:61" ht="13.8" x14ac:dyDescent="0.25">
      <c r="A16" s="223" t="s">
        <v>243</v>
      </c>
      <c r="B16" s="224" t="s">
        <v>139</v>
      </c>
      <c r="C16" s="224">
        <v>20</v>
      </c>
      <c r="D16" s="224" t="s">
        <v>244</v>
      </c>
      <c r="E16" s="225" t="str">
        <f t="shared" ca="1" si="9"/>
        <v>R</v>
      </c>
      <c r="F16" s="348"/>
      <c r="G16" s="349">
        <f t="shared" ca="1" si="1"/>
        <v>40</v>
      </c>
      <c r="H16" s="350"/>
      <c r="I16" s="232"/>
      <c r="J16" s="210" t="s">
        <v>253</v>
      </c>
      <c r="K16" s="232"/>
      <c r="L16" s="386">
        <f t="array" ref="L16">SUM( IF( LEN( $C$7:$C$65 ) = 0, 0, $C$7:$C$65 ) ) / SUM( IF( LEN( $C$7:$C$65 ) = 0, 0, 1  ) )</f>
        <v>18.818181818181817</v>
      </c>
      <c r="M16" s="387"/>
      <c r="N16" s="232"/>
      <c r="O16" s="386">
        <f t="array" aca="1" ref="O16" ca="1">SUM( IF( LEN( $C$7:$C$65 ) = 0, 0, IF( $E$7:$E$65 = O3, $C$7:$C$65, 0 ) ) ) / SUM( IF( LEN( $C$7:$C$65 ) = 0, 0, IF( $E$7:$E$65 = O3, 1, 0 ) ) )</f>
        <v>18.764705882352942</v>
      </c>
      <c r="P16" s="387"/>
      <c r="Q16" s="232"/>
      <c r="R16" s="386">
        <f t="array" aca="1" ref="R16" ca="1">SUM( IF( LEN( $C$7:$C$65 ) = 0, 0, IF( $E$7:$E$65 = R3, $C$7:$C$65, 0 ) ) ) / SUM( IF( LEN( $C$7:$C$65 ) = 0, 0, IF( $E$7:$E$65 = R3, 1, 0 ) ) )</f>
        <v>19</v>
      </c>
      <c r="S16" s="387"/>
      <c r="T16" s="232"/>
      <c r="U16" s="386" t="e">
        <f t="array" aca="1" ref="U16" ca="1">SUM( IF( LEN( $C$7:$C$65 ) = 0, 0, IF( $E$7:$E$65 = U3, $C$7:$C$65, 0 ) ) ) / SUM( IF( LEN( $C$7:$C$65 ) = 0, 0, IF( $E$7:$E$65 = U3, 1, 0 ) ) )</f>
        <v>#DIV/0!</v>
      </c>
      <c r="V16" s="388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9"/>
        <v/>
      </c>
      <c r="AJ16" s="169">
        <f t="shared" ca="1" si="20"/>
        <v>16</v>
      </c>
      <c r="AK16" s="169" t="str">
        <f t="shared" ca="1" si="21"/>
        <v>A-</v>
      </c>
      <c r="AL16" s="169">
        <f t="shared" ca="1" si="21"/>
        <v>20</v>
      </c>
      <c r="AM16" s="169" t="str">
        <f t="shared" ca="1" si="4"/>
        <v/>
      </c>
      <c r="AQ16" s="207" t="s">
        <v>254</v>
      </c>
      <c r="AR16" s="207" t="s">
        <v>142</v>
      </c>
      <c r="AS16" s="207">
        <v>17</v>
      </c>
      <c r="AT16" s="207" t="s">
        <v>255</v>
      </c>
      <c r="AV16" s="168">
        <f t="shared" si="5"/>
        <v>38</v>
      </c>
      <c r="AW16" s="168">
        <f>COUNTIF( AV$7:AV16, AV16 )</f>
        <v>1</v>
      </c>
      <c r="AX16" s="208">
        <f t="shared" si="22"/>
        <v>38.1</v>
      </c>
      <c r="AY16" s="168">
        <f t="shared" si="6"/>
        <v>38</v>
      </c>
      <c r="AZ16" s="169"/>
      <c r="BA16" s="169"/>
      <c r="BC16" s="168">
        <f t="shared" ca="1" si="24"/>
        <v>10</v>
      </c>
      <c r="BD16" s="209">
        <f t="shared" ca="1" si="8"/>
        <v>36</v>
      </c>
      <c r="BF16" s="173" t="str">
        <f t="shared" ca="1" si="23"/>
        <v>PPL Corporation</v>
      </c>
      <c r="BG16" s="173" t="str">
        <f t="shared" ca="1" si="23"/>
        <v>A-</v>
      </c>
      <c r="BH16" s="173">
        <f t="shared" ca="1" si="23"/>
        <v>20</v>
      </c>
      <c r="BI16" s="173" t="str">
        <f t="shared" ca="1" si="23"/>
        <v>PPL</v>
      </c>
    </row>
    <row r="17" spans="1:61" ht="13.8" x14ac:dyDescent="0.25">
      <c r="A17" s="223" t="s">
        <v>293</v>
      </c>
      <c r="B17" s="224" t="s">
        <v>139</v>
      </c>
      <c r="C17" s="224">
        <v>20</v>
      </c>
      <c r="D17" s="224" t="s">
        <v>294</v>
      </c>
      <c r="E17" s="225" t="str">
        <f t="shared" ca="1" si="9"/>
        <v>R</v>
      </c>
      <c r="F17" s="348"/>
      <c r="G17" s="349">
        <f t="shared" ca="1" si="1"/>
        <v>43</v>
      </c>
      <c r="H17" s="350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9"/>
        <v/>
      </c>
      <c r="AJ17" s="169">
        <f t="shared" ca="1" si="20"/>
        <v>17</v>
      </c>
      <c r="AK17" s="169" t="str">
        <f t="shared" ca="1" si="21"/>
        <v>A-</v>
      </c>
      <c r="AL17" s="169">
        <f t="shared" ca="1" si="21"/>
        <v>20</v>
      </c>
      <c r="AM17" s="169" t="str">
        <f t="shared" ca="1" si="4"/>
        <v/>
      </c>
      <c r="AQ17" s="207" t="s">
        <v>256</v>
      </c>
      <c r="AR17" s="207" t="s">
        <v>140</v>
      </c>
      <c r="AS17" s="207">
        <v>19</v>
      </c>
      <c r="AT17" s="207" t="s">
        <v>257</v>
      </c>
      <c r="AV17" s="168">
        <f t="shared" si="5"/>
        <v>14</v>
      </c>
      <c r="AW17" s="168">
        <f>COUNTIF( AV$7:AV17, AV17 )</f>
        <v>5</v>
      </c>
      <c r="AX17" s="208">
        <f t="shared" si="22"/>
        <v>14.5</v>
      </c>
      <c r="AY17" s="168">
        <f t="shared" si="6"/>
        <v>18</v>
      </c>
      <c r="AZ17" s="169"/>
      <c r="BA17" s="169"/>
      <c r="BC17" s="168">
        <f t="shared" ca="1" si="24"/>
        <v>11</v>
      </c>
      <c r="BD17" s="209">
        <f t="shared" ca="1" si="8"/>
        <v>40</v>
      </c>
      <c r="BF17" s="173" t="str">
        <f t="shared" ca="1" si="23"/>
        <v>Southern Company</v>
      </c>
      <c r="BG17" s="173" t="str">
        <f t="shared" ca="1" si="23"/>
        <v>A-</v>
      </c>
      <c r="BH17" s="173">
        <f t="shared" ca="1" si="23"/>
        <v>20</v>
      </c>
      <c r="BI17" s="173" t="str">
        <f t="shared" ca="1" si="23"/>
        <v>SO</v>
      </c>
    </row>
    <row r="18" spans="1:61" ht="13.8" x14ac:dyDescent="0.25">
      <c r="A18" s="223" t="s">
        <v>247</v>
      </c>
      <c r="B18" s="224" t="s">
        <v>139</v>
      </c>
      <c r="C18" s="224">
        <v>20</v>
      </c>
      <c r="D18" s="224" t="s">
        <v>248</v>
      </c>
      <c r="E18" s="225" t="str">
        <f t="shared" ca="1" si="9"/>
        <v>R</v>
      </c>
      <c r="F18" s="348"/>
      <c r="G18" s="349">
        <f t="shared" ca="1" si="1"/>
        <v>45</v>
      </c>
      <c r="H18" s="350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9"/>
        <v/>
      </c>
      <c r="AJ18" s="169">
        <f t="shared" ca="1" si="20"/>
        <v>18</v>
      </c>
      <c r="AK18" s="169" t="str">
        <f t="shared" ca="1" si="21"/>
        <v>A-</v>
      </c>
      <c r="AL18" s="169">
        <f t="shared" ca="1" si="21"/>
        <v>20</v>
      </c>
      <c r="AM18" s="169" t="str">
        <f t="shared" ca="1" si="4"/>
        <v/>
      </c>
      <c r="AQ18" s="207" t="s">
        <v>227</v>
      </c>
      <c r="AR18" s="207" t="s">
        <v>139</v>
      </c>
      <c r="AS18" s="207">
        <v>20</v>
      </c>
      <c r="AT18" s="207" t="s">
        <v>228</v>
      </c>
      <c r="AV18" s="168">
        <f t="shared" si="5"/>
        <v>2</v>
      </c>
      <c r="AW18" s="168">
        <f>COUNTIF( AV$7:AV18, AV18 )</f>
        <v>3</v>
      </c>
      <c r="AX18" s="208">
        <f t="shared" si="22"/>
        <v>2.2999999999999998</v>
      </c>
      <c r="AY18" s="168">
        <f t="shared" si="6"/>
        <v>4</v>
      </c>
      <c r="AZ18" s="169"/>
      <c r="BA18" s="169"/>
      <c r="BC18" s="168">
        <f t="shared" ca="1" si="24"/>
        <v>12</v>
      </c>
      <c r="BD18" s="209">
        <f t="shared" ca="1" si="8"/>
        <v>42</v>
      </c>
      <c r="BF18" s="173" t="str">
        <f t="shared" ca="1" si="23"/>
        <v>Wisconsin Energy Corporation</v>
      </c>
      <c r="BG18" s="173" t="str">
        <f t="shared" ca="1" si="23"/>
        <v>A-</v>
      </c>
      <c r="BH18" s="173">
        <f t="shared" ca="1" si="23"/>
        <v>20</v>
      </c>
      <c r="BI18" s="173" t="str">
        <f t="shared" ca="1" si="23"/>
        <v>WEC</v>
      </c>
    </row>
    <row r="19" spans="1:61" ht="13.8" x14ac:dyDescent="0.25">
      <c r="A19" s="223" t="s">
        <v>251</v>
      </c>
      <c r="B19" s="224" t="s">
        <v>139</v>
      </c>
      <c r="C19" s="224">
        <v>20</v>
      </c>
      <c r="D19" s="224" t="s">
        <v>252</v>
      </c>
      <c r="E19" s="225" t="str">
        <f t="shared" ca="1" si="9"/>
        <v>R</v>
      </c>
      <c r="F19" s="348"/>
      <c r="G19" s="349">
        <f t="shared" ca="1" si="1"/>
        <v>46</v>
      </c>
      <c r="H19" s="350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9"/>
        <v/>
      </c>
      <c r="AJ19" s="169">
        <f t="shared" ca="1" si="20"/>
        <v>19</v>
      </c>
      <c r="AK19" s="169" t="str">
        <f t="shared" ca="1" si="21"/>
        <v>A-</v>
      </c>
      <c r="AL19" s="169">
        <f t="shared" ca="1" si="21"/>
        <v>20</v>
      </c>
      <c r="AM19" s="169" t="str">
        <f t="shared" ca="1" si="4"/>
        <v/>
      </c>
      <c r="AQ19" s="207" t="s">
        <v>258</v>
      </c>
      <c r="AR19" s="207" t="s">
        <v>140</v>
      </c>
      <c r="AS19" s="207">
        <v>19</v>
      </c>
      <c r="AT19" s="207" t="s">
        <v>194</v>
      </c>
      <c r="AV19" s="168">
        <f t="shared" si="5"/>
        <v>14</v>
      </c>
      <c r="AW19" s="168">
        <f>COUNTIF( AV$7:AV19, AV19 )</f>
        <v>6</v>
      </c>
      <c r="AX19" s="208">
        <f t="shared" si="22"/>
        <v>14.6</v>
      </c>
      <c r="AY19" s="168">
        <f t="shared" si="6"/>
        <v>19</v>
      </c>
      <c r="AZ19" s="169"/>
      <c r="BA19" s="169"/>
      <c r="BC19" s="168">
        <f t="shared" ca="1" si="24"/>
        <v>13</v>
      </c>
      <c r="BD19" s="209">
        <f t="shared" ca="1" si="8"/>
        <v>43</v>
      </c>
      <c r="BF19" s="173" t="str">
        <f t="shared" ca="1" si="23"/>
        <v>Xcel Energy Inc.</v>
      </c>
      <c r="BG19" s="173" t="str">
        <f t="shared" ca="1" si="23"/>
        <v>A-</v>
      </c>
      <c r="BH19" s="173">
        <f t="shared" ca="1" si="23"/>
        <v>20</v>
      </c>
      <c r="BI19" s="173" t="str">
        <f t="shared" ca="1" si="23"/>
        <v>XEL</v>
      </c>
    </row>
    <row r="20" spans="1:61" ht="13.8" x14ac:dyDescent="0.25">
      <c r="A20" s="223" t="s">
        <v>225</v>
      </c>
      <c r="B20" s="224" t="s">
        <v>140</v>
      </c>
      <c r="C20" s="224">
        <v>19</v>
      </c>
      <c r="D20" s="224" t="s">
        <v>226</v>
      </c>
      <c r="E20" s="225" t="str">
        <f t="shared" ca="1" si="9"/>
        <v>R</v>
      </c>
      <c r="F20" s="348"/>
      <c r="G20" s="349">
        <f t="shared" ca="1" si="1"/>
        <v>9</v>
      </c>
      <c r="H20" s="350"/>
      <c r="I20" s="352"/>
      <c r="K20" s="352"/>
      <c r="N20" s="352"/>
      <c r="O20" s="173"/>
      <c r="Q20" s="352"/>
      <c r="T20" s="352"/>
      <c r="W20" s="352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9"/>
        <v/>
      </c>
      <c r="AJ20" s="169">
        <f t="shared" ca="1" si="20"/>
        <v>20</v>
      </c>
      <c r="AK20" s="169" t="str">
        <f t="shared" ca="1" si="21"/>
        <v>BBB+</v>
      </c>
      <c r="AL20" s="169">
        <f t="shared" ca="1" si="21"/>
        <v>19</v>
      </c>
      <c r="AM20" s="169" t="str">
        <f t="shared" ca="1" si="4"/>
        <v/>
      </c>
      <c r="AQ20" s="207" t="s">
        <v>259</v>
      </c>
      <c r="AR20" s="207" t="s">
        <v>173</v>
      </c>
      <c r="AS20" s="207">
        <v>16</v>
      </c>
      <c r="AT20" s="207" t="s">
        <v>260</v>
      </c>
      <c r="AV20" s="168">
        <f t="shared" si="5"/>
        <v>41</v>
      </c>
      <c r="AW20" s="168">
        <f>COUNTIF( AV$7:AV20, AV20 )</f>
        <v>1</v>
      </c>
      <c r="AX20" s="208">
        <f t="shared" si="22"/>
        <v>41.1</v>
      </c>
      <c r="AY20" s="168">
        <f t="shared" si="6"/>
        <v>41</v>
      </c>
      <c r="AZ20" s="169"/>
      <c r="BA20" s="169"/>
      <c r="BC20" s="168">
        <f t="shared" ca="1" si="24"/>
        <v>14</v>
      </c>
      <c r="BD20" s="209">
        <f t="shared" ca="1" si="8"/>
        <v>3</v>
      </c>
      <c r="BF20" s="173" t="str">
        <f t="shared" ca="1" si="23"/>
        <v>Ameren Corporation</v>
      </c>
      <c r="BG20" s="173" t="str">
        <f t="shared" ca="1" si="23"/>
        <v>BBB+</v>
      </c>
      <c r="BH20" s="173">
        <f t="shared" ca="1" si="23"/>
        <v>19</v>
      </c>
      <c r="BI20" s="173" t="str">
        <f t="shared" ca="1" si="23"/>
        <v>AEE</v>
      </c>
    </row>
    <row r="21" spans="1:61" ht="13.8" x14ac:dyDescent="0.25">
      <c r="A21" s="223" t="s">
        <v>233</v>
      </c>
      <c r="B21" s="224" t="s">
        <v>140</v>
      </c>
      <c r="C21" s="224">
        <v>19</v>
      </c>
      <c r="D21" s="224" t="s">
        <v>234</v>
      </c>
      <c r="E21" s="225" t="str">
        <f t="shared" ca="1" si="9"/>
        <v>MR</v>
      </c>
      <c r="F21" s="348"/>
      <c r="G21" s="349">
        <f t="shared" ca="1" si="1"/>
        <v>11</v>
      </c>
      <c r="H21" s="350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9"/>
        <v/>
      </c>
      <c r="AJ21" s="169">
        <f t="shared" ca="1" si="20"/>
        <v>21</v>
      </c>
      <c r="AK21" s="169" t="str">
        <f t="shared" ca="1" si="21"/>
        <v>BBB+</v>
      </c>
      <c r="AL21" s="169">
        <f t="shared" ca="1" si="21"/>
        <v>19</v>
      </c>
      <c r="AM21" s="169" t="str">
        <f t="shared" ca="1" si="4"/>
        <v/>
      </c>
      <c r="AQ21" s="207" t="s">
        <v>261</v>
      </c>
      <c r="AR21" s="207" t="s">
        <v>140</v>
      </c>
      <c r="AS21" s="207">
        <v>19</v>
      </c>
      <c r="AT21" s="207" t="s">
        <v>262</v>
      </c>
      <c r="AV21" s="168">
        <f t="shared" si="5"/>
        <v>14</v>
      </c>
      <c r="AW21" s="168">
        <f>COUNTIF( AV$7:AV21, AV21 )</f>
        <v>7</v>
      </c>
      <c r="AX21" s="208">
        <f t="shared" si="22"/>
        <v>14.7</v>
      </c>
      <c r="AY21" s="168">
        <f t="shared" si="6"/>
        <v>20</v>
      </c>
      <c r="AZ21" s="169"/>
      <c r="BA21" s="169"/>
      <c r="BC21" s="168">
        <f t="shared" ca="1" si="24"/>
        <v>15</v>
      </c>
      <c r="BD21" s="209">
        <f t="shared" ca="1" si="8"/>
        <v>5</v>
      </c>
      <c r="BF21" s="173" t="str">
        <f t="shared" ca="1" si="23"/>
        <v>AVANGRID, Inc.</v>
      </c>
      <c r="BG21" s="173" t="str">
        <f t="shared" ca="1" si="23"/>
        <v>BBB+</v>
      </c>
      <c r="BH21" s="173">
        <f t="shared" ca="1" si="23"/>
        <v>19</v>
      </c>
      <c r="BI21" s="173" t="str">
        <f t="shared" ca="1" si="23"/>
        <v>AGR</v>
      </c>
    </row>
    <row r="22" spans="1:61" ht="13.8" x14ac:dyDescent="0.25">
      <c r="A22" s="223" t="s">
        <v>245</v>
      </c>
      <c r="B22" s="224" t="s">
        <v>140</v>
      </c>
      <c r="C22" s="224">
        <v>19</v>
      </c>
      <c r="D22" s="224" t="s">
        <v>246</v>
      </c>
      <c r="E22" s="225" t="str">
        <f t="shared" ca="1" si="9"/>
        <v>R</v>
      </c>
      <c r="F22" s="348"/>
      <c r="G22" s="349">
        <f t="shared" ca="1" si="1"/>
        <v>13</v>
      </c>
      <c r="H22" s="350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20"/>
        <v>22</v>
      </c>
      <c r="AK22" s="169" t="str">
        <f t="shared" ca="1" si="21"/>
        <v>BBB+</v>
      </c>
      <c r="AL22" s="169">
        <f t="shared" ca="1" si="21"/>
        <v>19</v>
      </c>
      <c r="AM22" s="169" t="str">
        <f t="shared" ca="1" si="4"/>
        <v/>
      </c>
      <c r="AQ22" s="207" t="s">
        <v>263</v>
      </c>
      <c r="AR22" s="207" t="s">
        <v>139</v>
      </c>
      <c r="AS22" s="207">
        <v>20</v>
      </c>
      <c r="AT22" s="207" t="s">
        <v>264</v>
      </c>
      <c r="AV22" s="168">
        <f t="shared" si="5"/>
        <v>2</v>
      </c>
      <c r="AW22" s="168">
        <f>COUNTIF( AV$7:AV22, AV22 )</f>
        <v>4</v>
      </c>
      <c r="AX22" s="208">
        <f t="shared" si="22"/>
        <v>2.4</v>
      </c>
      <c r="AY22" s="168">
        <f t="shared" si="6"/>
        <v>5</v>
      </c>
      <c r="AZ22" s="169"/>
      <c r="BA22" s="169"/>
      <c r="BC22" s="168">
        <f t="shared" ca="1" si="24"/>
        <v>16</v>
      </c>
      <c r="BD22" s="209">
        <f t="shared" ca="1" si="8"/>
        <v>8</v>
      </c>
      <c r="BF22" s="173" t="str">
        <f t="shared" ca="1" si="23"/>
        <v>Black Hills Corporation</v>
      </c>
      <c r="BG22" s="173" t="str">
        <f t="shared" ca="1" si="23"/>
        <v>BBB+</v>
      </c>
      <c r="BH22" s="173">
        <f t="shared" ca="1" si="23"/>
        <v>19</v>
      </c>
      <c r="BI22" s="173" t="str">
        <f t="shared" ca="1" si="23"/>
        <v>BKH</v>
      </c>
    </row>
    <row r="23" spans="1:61" ht="13.8" x14ac:dyDescent="0.25">
      <c r="A23" s="223" t="s">
        <v>249</v>
      </c>
      <c r="B23" s="224" t="s">
        <v>140</v>
      </c>
      <c r="C23" s="224">
        <v>19</v>
      </c>
      <c r="D23" s="224" t="s">
        <v>250</v>
      </c>
      <c r="E23" s="225" t="str">
        <f t="shared" ca="1" si="9"/>
        <v>R</v>
      </c>
      <c r="F23" s="348"/>
      <c r="G23" s="349">
        <f t="shared" ca="1" si="1"/>
        <v>14</v>
      </c>
      <c r="H23" s="350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20"/>
        <v>23</v>
      </c>
      <c r="AK23" s="169" t="str">
        <f t="shared" ca="1" si="21"/>
        <v>BBB+</v>
      </c>
      <c r="AL23" s="169">
        <f t="shared" ca="1" si="21"/>
        <v>19</v>
      </c>
      <c r="AM23" s="169" t="str">
        <f t="shared" ca="1" si="4"/>
        <v/>
      </c>
      <c r="AQ23" s="207" t="s">
        <v>265</v>
      </c>
      <c r="AR23" s="207" t="s">
        <v>141</v>
      </c>
      <c r="AS23" s="207">
        <v>18</v>
      </c>
      <c r="AT23" s="207" t="s">
        <v>266</v>
      </c>
      <c r="AV23" s="168">
        <f t="shared" si="5"/>
        <v>30</v>
      </c>
      <c r="AW23" s="168">
        <f>COUNTIF( AV$7:AV23, AV23 )</f>
        <v>3</v>
      </c>
      <c r="AX23" s="208">
        <f t="shared" si="22"/>
        <v>30.3</v>
      </c>
      <c r="AY23" s="168">
        <f t="shared" si="6"/>
        <v>32</v>
      </c>
      <c r="AZ23" s="169"/>
      <c r="BA23" s="169"/>
      <c r="BC23" s="168">
        <f t="shared" ca="1" si="24"/>
        <v>17</v>
      </c>
      <c r="BD23" s="209">
        <f t="shared" ca="1" si="8"/>
        <v>9</v>
      </c>
      <c r="BF23" s="173" t="str">
        <f t="shared" ca="1" si="23"/>
        <v>CenterPoint Energy, Inc.</v>
      </c>
      <c r="BG23" s="173" t="str">
        <f t="shared" ca="1" si="23"/>
        <v>BBB+</v>
      </c>
      <c r="BH23" s="173">
        <f t="shared" ca="1" si="23"/>
        <v>19</v>
      </c>
      <c r="BI23" s="173" t="str">
        <f t="shared" ca="1" si="23"/>
        <v>CNP</v>
      </c>
    </row>
    <row r="24" spans="1:61" ht="13.8" x14ac:dyDescent="0.25">
      <c r="A24" s="223" t="s">
        <v>256</v>
      </c>
      <c r="B24" s="224" t="s">
        <v>140</v>
      </c>
      <c r="C24" s="224">
        <v>19</v>
      </c>
      <c r="D24" s="224" t="s">
        <v>257</v>
      </c>
      <c r="E24" s="225" t="str">
        <f t="shared" ca="1" si="9"/>
        <v>R</v>
      </c>
      <c r="F24" s="348"/>
      <c r="G24" s="349">
        <f t="shared" ca="1" si="1"/>
        <v>15</v>
      </c>
      <c r="H24" s="350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20"/>
        <v>24</v>
      </c>
      <c r="AK24" s="169" t="str">
        <f t="shared" ca="1" si="21"/>
        <v>BBB+</v>
      </c>
      <c r="AL24" s="169">
        <f t="shared" ca="1" si="21"/>
        <v>19</v>
      </c>
      <c r="AM24" s="169" t="str">
        <f t="shared" ca="1" si="4"/>
        <v/>
      </c>
      <c r="AQ24" s="207" t="s">
        <v>267</v>
      </c>
      <c r="AR24" s="207" t="s">
        <v>140</v>
      </c>
      <c r="AS24" s="207">
        <v>19</v>
      </c>
      <c r="AT24" s="207" t="s">
        <v>268</v>
      </c>
      <c r="AV24" s="168">
        <f t="shared" si="5"/>
        <v>14</v>
      </c>
      <c r="AW24" s="168">
        <f>COUNTIF( AV$7:AV24, AV24 )</f>
        <v>8</v>
      </c>
      <c r="AX24" s="208">
        <f t="shared" si="22"/>
        <v>14.8</v>
      </c>
      <c r="AY24" s="168">
        <f t="shared" si="6"/>
        <v>21</v>
      </c>
      <c r="AZ24" s="169"/>
      <c r="BA24" s="169"/>
      <c r="BC24" s="168">
        <f t="shared" ca="1" si="24"/>
        <v>18</v>
      </c>
      <c r="BD24" s="209">
        <f t="shared" ca="1" si="8"/>
        <v>11</v>
      </c>
      <c r="BF24" s="173" t="str">
        <f t="shared" ca="1" si="23"/>
        <v>CMS Energy Corporation</v>
      </c>
      <c r="BG24" s="173" t="str">
        <f t="shared" ca="1" si="23"/>
        <v>BBB+</v>
      </c>
      <c r="BH24" s="173">
        <f t="shared" ca="1" si="23"/>
        <v>19</v>
      </c>
      <c r="BI24" s="173" t="str">
        <f t="shared" ca="1" si="23"/>
        <v>CMS</v>
      </c>
    </row>
    <row r="25" spans="1:61" ht="13.8" x14ac:dyDescent="0.25">
      <c r="A25" s="223" t="s">
        <v>258</v>
      </c>
      <c r="B25" s="224" t="s">
        <v>140</v>
      </c>
      <c r="C25" s="224">
        <v>19</v>
      </c>
      <c r="D25" s="224" t="s">
        <v>194</v>
      </c>
      <c r="E25" s="225" t="str">
        <f t="shared" ca="1" si="9"/>
        <v>R</v>
      </c>
      <c r="F25" s="348"/>
      <c r="G25" s="349">
        <f t="shared" ca="1" si="1"/>
        <v>17</v>
      </c>
      <c r="H25" s="350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9"/>
        <v/>
      </c>
      <c r="AJ25" s="169">
        <f t="shared" ca="1" si="20"/>
        <v>25</v>
      </c>
      <c r="AK25" s="169" t="str">
        <f t="shared" ca="1" si="21"/>
        <v>BBB+</v>
      </c>
      <c r="AL25" s="169">
        <f t="shared" ca="1" si="21"/>
        <v>19</v>
      </c>
      <c r="AM25" s="169" t="str">
        <f t="shared" ca="1" si="4"/>
        <v/>
      </c>
      <c r="AQ25" s="207" t="s">
        <v>230</v>
      </c>
      <c r="AR25" s="207" t="s">
        <v>139</v>
      </c>
      <c r="AS25" s="207">
        <v>20</v>
      </c>
      <c r="AT25" s="207" t="s">
        <v>231</v>
      </c>
      <c r="AV25" s="168">
        <f t="shared" si="5"/>
        <v>2</v>
      </c>
      <c r="AW25" s="168">
        <f>COUNTIF( AV$7:AV25, AV25 )</f>
        <v>5</v>
      </c>
      <c r="AX25" s="208">
        <f t="shared" si="22"/>
        <v>2.5</v>
      </c>
      <c r="AY25" s="168">
        <f t="shared" si="6"/>
        <v>6</v>
      </c>
      <c r="AZ25" s="169"/>
      <c r="BA25" s="169"/>
      <c r="BC25" s="168">
        <f t="shared" ca="1" si="24"/>
        <v>19</v>
      </c>
      <c r="BD25" s="209">
        <f t="shared" ca="1" si="8"/>
        <v>13</v>
      </c>
      <c r="BF25" s="173" t="str">
        <f t="shared" ca="1" si="23"/>
        <v>Dominion Energy, Inc.</v>
      </c>
      <c r="BG25" s="173" t="str">
        <f t="shared" ca="1" si="23"/>
        <v>BBB+</v>
      </c>
      <c r="BH25" s="173">
        <f t="shared" ca="1" si="23"/>
        <v>19</v>
      </c>
      <c r="BI25" s="173" t="str">
        <f t="shared" ca="1" si="23"/>
        <v>D</v>
      </c>
    </row>
    <row r="26" spans="1:61" ht="13.8" x14ac:dyDescent="0.25">
      <c r="A26" s="223" t="s">
        <v>261</v>
      </c>
      <c r="B26" s="224" t="s">
        <v>140</v>
      </c>
      <c r="C26" s="224">
        <v>19</v>
      </c>
      <c r="D26" s="224" t="s">
        <v>262</v>
      </c>
      <c r="E26" s="225" t="str">
        <f t="shared" ca="1" si="9"/>
        <v>MR</v>
      </c>
      <c r="F26" s="348"/>
      <c r="G26" s="349">
        <f t="shared" ca="1" si="1"/>
        <v>18</v>
      </c>
      <c r="H26" s="350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9"/>
        <v/>
      </c>
      <c r="AJ26" s="169">
        <f t="shared" ca="1" si="20"/>
        <v>26</v>
      </c>
      <c r="AK26" s="169" t="str">
        <f t="shared" ca="1" si="21"/>
        <v>BBB+</v>
      </c>
      <c r="AL26" s="169">
        <f t="shared" ca="1" si="21"/>
        <v>19</v>
      </c>
      <c r="AM26" s="169" t="str">
        <f t="shared" ca="1" si="4"/>
        <v/>
      </c>
      <c r="AQ26" s="207" t="s">
        <v>235</v>
      </c>
      <c r="AR26" s="207" t="s">
        <v>139</v>
      </c>
      <c r="AS26" s="207">
        <v>20</v>
      </c>
      <c r="AT26" s="207" t="s">
        <v>236</v>
      </c>
      <c r="AV26" s="168">
        <f t="shared" si="5"/>
        <v>2</v>
      </c>
      <c r="AW26" s="168">
        <f>COUNTIF( AV$7:AV26, AV26 )</f>
        <v>6</v>
      </c>
      <c r="AX26" s="208">
        <f t="shared" si="22"/>
        <v>2.6</v>
      </c>
      <c r="AY26" s="168">
        <f t="shared" si="6"/>
        <v>7</v>
      </c>
      <c r="AZ26" s="169"/>
      <c r="BA26" s="169"/>
      <c r="BC26" s="168">
        <f t="shared" ca="1" si="24"/>
        <v>20</v>
      </c>
      <c r="BD26" s="209">
        <f t="shared" ca="1" si="8"/>
        <v>15</v>
      </c>
      <c r="BF26" s="173" t="str">
        <f t="shared" ca="1" si="23"/>
        <v>DTE Energy Company</v>
      </c>
      <c r="BG26" s="173" t="str">
        <f t="shared" ca="1" si="23"/>
        <v>BBB+</v>
      </c>
      <c r="BH26" s="173">
        <f t="shared" ca="1" si="23"/>
        <v>19</v>
      </c>
      <c r="BI26" s="173" t="str">
        <f t="shared" ca="1" si="23"/>
        <v>DTE</v>
      </c>
    </row>
    <row r="27" spans="1:61" ht="13.8" x14ac:dyDescent="0.25">
      <c r="A27" s="223" t="s">
        <v>267</v>
      </c>
      <c r="B27" s="224" t="s">
        <v>140</v>
      </c>
      <c r="C27" s="224">
        <v>19</v>
      </c>
      <c r="D27" s="224" t="s">
        <v>268</v>
      </c>
      <c r="E27" s="225" t="str">
        <f t="shared" ca="1" si="9"/>
        <v>R</v>
      </c>
      <c r="F27" s="348"/>
      <c r="G27" s="349">
        <f t="shared" ca="1" si="1"/>
        <v>22</v>
      </c>
      <c r="H27" s="350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20"/>
        <v>27</v>
      </c>
      <c r="AK27" s="169" t="str">
        <f t="shared" ca="1" si="21"/>
        <v>BBB+</v>
      </c>
      <c r="AL27" s="169">
        <f t="shared" ca="1" si="21"/>
        <v>19</v>
      </c>
      <c r="AM27" s="169" t="str">
        <f t="shared" ca="1" si="4"/>
        <v/>
      </c>
      <c r="AQ27" s="207" t="s">
        <v>269</v>
      </c>
      <c r="AR27" s="207" t="s">
        <v>140</v>
      </c>
      <c r="AS27" s="207">
        <v>19</v>
      </c>
      <c r="AT27" s="207" t="s">
        <v>270</v>
      </c>
      <c r="AV27" s="168">
        <f t="shared" si="5"/>
        <v>14</v>
      </c>
      <c r="AW27" s="168">
        <f>COUNTIF( AV$7:AV27, AV27 )</f>
        <v>9</v>
      </c>
      <c r="AX27" s="208">
        <f t="shared" si="22"/>
        <v>14.9</v>
      </c>
      <c r="AY27" s="168">
        <f t="shared" si="6"/>
        <v>22</v>
      </c>
      <c r="AZ27" s="169"/>
      <c r="BA27" s="169"/>
      <c r="BC27" s="168">
        <f t="shared" ca="1" si="24"/>
        <v>21</v>
      </c>
      <c r="BD27" s="209">
        <f t="shared" ca="1" si="8"/>
        <v>18</v>
      </c>
      <c r="BF27" s="173" t="str">
        <f t="shared" ca="1" si="23"/>
        <v>Entergy Corporation</v>
      </c>
      <c r="BG27" s="173" t="str">
        <f t="shared" ca="1" si="23"/>
        <v>BBB+</v>
      </c>
      <c r="BH27" s="173">
        <f t="shared" ca="1" si="23"/>
        <v>19</v>
      </c>
      <c r="BI27" s="173" t="str">
        <f t="shared" ca="1" si="23"/>
        <v>ETR</v>
      </c>
    </row>
    <row r="28" spans="1:61" ht="13.8" x14ac:dyDescent="0.25">
      <c r="A28" s="223" t="s">
        <v>269</v>
      </c>
      <c r="B28" s="224" t="s">
        <v>140</v>
      </c>
      <c r="C28" s="224">
        <v>19</v>
      </c>
      <c r="D28" s="224" t="s">
        <v>270</v>
      </c>
      <c r="E28" s="225" t="str">
        <f t="shared" ca="1" si="9"/>
        <v>MR</v>
      </c>
      <c r="F28" s="348"/>
      <c r="G28" s="349">
        <f t="shared" ca="1" si="1"/>
        <v>25</v>
      </c>
      <c r="H28" s="350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20"/>
        <v>28</v>
      </c>
      <c r="AK28" s="169" t="str">
        <f t="shared" ca="1" si="21"/>
        <v>BBB+</v>
      </c>
      <c r="AL28" s="169">
        <f t="shared" ca="1" si="21"/>
        <v>19</v>
      </c>
      <c r="AM28" s="169" t="str">
        <f t="shared" ca="1" si="4"/>
        <v/>
      </c>
      <c r="AQ28" s="207" t="s">
        <v>275</v>
      </c>
      <c r="AR28" s="207" t="s">
        <v>175</v>
      </c>
      <c r="AS28" s="207">
        <v>15</v>
      </c>
      <c r="AT28" s="207" t="s">
        <v>276</v>
      </c>
      <c r="AV28" s="168">
        <f t="shared" si="5"/>
        <v>42</v>
      </c>
      <c r="AW28" s="168">
        <f>COUNTIF( AV$7:AV28, AV28 )</f>
        <v>1</v>
      </c>
      <c r="AX28" s="208">
        <f t="shared" si="22"/>
        <v>42.1</v>
      </c>
      <c r="AY28" s="168">
        <f t="shared" si="6"/>
        <v>42</v>
      </c>
      <c r="AZ28" s="169"/>
      <c r="BA28" s="169"/>
      <c r="BC28" s="168">
        <f t="shared" ca="1" si="24"/>
        <v>22</v>
      </c>
      <c r="BD28" s="209">
        <f t="shared" ca="1" si="8"/>
        <v>21</v>
      </c>
      <c r="BF28" s="173" t="str">
        <f t="shared" ca="1" si="23"/>
        <v>Exelon Corporation</v>
      </c>
      <c r="BG28" s="173" t="str">
        <f t="shared" ca="1" si="23"/>
        <v>BBB+</v>
      </c>
      <c r="BH28" s="173">
        <f t="shared" ca="1" si="23"/>
        <v>19</v>
      </c>
      <c r="BI28" s="173" t="str">
        <f t="shared" ca="1" si="23"/>
        <v>EXC</v>
      </c>
    </row>
    <row r="29" spans="1:61" ht="13.8" x14ac:dyDescent="0.25">
      <c r="A29" s="223" t="s">
        <v>271</v>
      </c>
      <c r="B29" s="224" t="s">
        <v>140</v>
      </c>
      <c r="C29" s="224">
        <v>19</v>
      </c>
      <c r="D29" s="224" t="s">
        <v>272</v>
      </c>
      <c r="E29" s="225" t="str">
        <f t="shared" ca="1" si="9"/>
        <v>MR</v>
      </c>
      <c r="F29" s="348"/>
      <c r="G29" s="349">
        <f t="shared" ca="1" si="1"/>
        <v>29</v>
      </c>
      <c r="H29" s="350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9"/>
        <v/>
      </c>
      <c r="AJ29" s="169">
        <f t="shared" ca="1" si="20"/>
        <v>29</v>
      </c>
      <c r="AK29" s="169" t="str">
        <f t="shared" ca="1" si="21"/>
        <v>BBB+</v>
      </c>
      <c r="AL29" s="169">
        <f t="shared" ca="1" si="21"/>
        <v>19</v>
      </c>
      <c r="AM29" s="169" t="str">
        <f t="shared" ca="1" si="4"/>
        <v/>
      </c>
      <c r="AQ29" s="207" t="s">
        <v>279</v>
      </c>
      <c r="AR29" s="207" t="s">
        <v>142</v>
      </c>
      <c r="AS29" s="207">
        <v>17</v>
      </c>
      <c r="AT29" s="207" t="s">
        <v>280</v>
      </c>
      <c r="AV29" s="168">
        <f t="shared" si="5"/>
        <v>38</v>
      </c>
      <c r="AW29" s="168">
        <f>COUNTIF( AV$7:AV29, AV29 )</f>
        <v>2</v>
      </c>
      <c r="AX29" s="208">
        <f t="shared" si="22"/>
        <v>38.200000000000003</v>
      </c>
      <c r="AY29" s="168">
        <f t="shared" si="6"/>
        <v>39</v>
      </c>
      <c r="AZ29" s="169"/>
      <c r="BA29" s="169"/>
      <c r="BC29" s="168">
        <f t="shared" ca="1" si="24"/>
        <v>23</v>
      </c>
      <c r="BD29" s="209">
        <f t="shared" ca="1" si="8"/>
        <v>26</v>
      </c>
      <c r="BF29" s="173" t="str">
        <f t="shared" ca="1" si="23"/>
        <v>MDU Resources Group, Inc.</v>
      </c>
      <c r="BG29" s="173" t="str">
        <f t="shared" ca="1" si="23"/>
        <v>BBB+</v>
      </c>
      <c r="BH29" s="173">
        <f t="shared" ca="1" si="23"/>
        <v>19</v>
      </c>
      <c r="BI29" s="173" t="str">
        <f t="shared" ca="1" si="23"/>
        <v>MDU</v>
      </c>
    </row>
    <row r="30" spans="1:61" ht="13.8" x14ac:dyDescent="0.25">
      <c r="A30" s="223" t="s">
        <v>273</v>
      </c>
      <c r="B30" s="224" t="s">
        <v>140</v>
      </c>
      <c r="C30" s="224">
        <v>19</v>
      </c>
      <c r="D30" s="224" t="s">
        <v>274</v>
      </c>
      <c r="E30" s="225" t="str">
        <f t="shared" ca="1" si="9"/>
        <v>R</v>
      </c>
      <c r="F30" s="348"/>
      <c r="G30" s="349">
        <f t="shared" ca="1" si="1"/>
        <v>32</v>
      </c>
      <c r="H30" s="350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9"/>
        <v/>
      </c>
      <c r="AJ30" s="169">
        <f t="shared" ca="1" si="20"/>
        <v>30</v>
      </c>
      <c r="AK30" s="169" t="str">
        <f t="shared" ca="1" si="21"/>
        <v>BBB+</v>
      </c>
      <c r="AL30" s="169">
        <f t="shared" ca="1" si="21"/>
        <v>19</v>
      </c>
      <c r="AM30" s="169" t="str">
        <f t="shared" ca="1" si="4"/>
        <v/>
      </c>
      <c r="AQ30" s="207" t="s">
        <v>283</v>
      </c>
      <c r="AR30" s="207" t="s">
        <v>141</v>
      </c>
      <c r="AS30" s="207">
        <v>18</v>
      </c>
      <c r="AT30" s="207" t="s">
        <v>284</v>
      </c>
      <c r="AV30" s="168">
        <f t="shared" si="5"/>
        <v>30</v>
      </c>
      <c r="AW30" s="168">
        <f>COUNTIF( AV$7:AV30, AV30 )</f>
        <v>4</v>
      </c>
      <c r="AX30" s="208">
        <f t="shared" si="22"/>
        <v>30.4</v>
      </c>
      <c r="AY30" s="168">
        <f t="shared" si="6"/>
        <v>33</v>
      </c>
      <c r="AZ30" s="169"/>
      <c r="BA30" s="169"/>
      <c r="BC30" s="168">
        <f t="shared" ca="1" si="24"/>
        <v>24</v>
      </c>
      <c r="BD30" s="209">
        <f t="shared" ca="1" si="8"/>
        <v>28</v>
      </c>
      <c r="BF30" s="173" t="str">
        <f t="shared" ca="1" si="23"/>
        <v>NiSource Inc.</v>
      </c>
      <c r="BG30" s="173" t="str">
        <f t="shared" ca="1" si="23"/>
        <v>BBB+</v>
      </c>
      <c r="BH30" s="173">
        <f t="shared" ca="1" si="23"/>
        <v>19</v>
      </c>
      <c r="BI30" s="173" t="str">
        <f t="shared" ca="1" si="23"/>
        <v>NI</v>
      </c>
    </row>
    <row r="31" spans="1:61" ht="13.8" x14ac:dyDescent="0.25">
      <c r="A31" s="223" t="s">
        <v>277</v>
      </c>
      <c r="B31" s="224" t="s">
        <v>140</v>
      </c>
      <c r="C31" s="224">
        <v>19</v>
      </c>
      <c r="D31" s="224" t="s">
        <v>278</v>
      </c>
      <c r="E31" s="225" t="str">
        <f t="shared" ca="1" si="9"/>
        <v>R</v>
      </c>
      <c r="F31" s="348"/>
      <c r="G31" s="349">
        <f t="shared" ca="1" si="1"/>
        <v>34</v>
      </c>
      <c r="H31" s="350"/>
      <c r="I31" s="237"/>
      <c r="J31" s="191"/>
      <c r="K31" s="237"/>
      <c r="N31" s="237"/>
      <c r="O31" s="351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9"/>
        <v/>
      </c>
      <c r="AJ31" s="169">
        <f t="shared" ca="1" si="20"/>
        <v>31</v>
      </c>
      <c r="AK31" s="169" t="str">
        <f t="shared" ca="1" si="21"/>
        <v>BBB+</v>
      </c>
      <c r="AL31" s="169">
        <f t="shared" ca="1" si="21"/>
        <v>19</v>
      </c>
      <c r="AM31" s="169" t="str">
        <f t="shared" ca="1" si="4"/>
        <v/>
      </c>
      <c r="AQ31" s="207" t="s">
        <v>287</v>
      </c>
      <c r="AR31" s="207" t="s">
        <v>141</v>
      </c>
      <c r="AS31" s="207">
        <v>18</v>
      </c>
      <c r="AT31" s="207" t="s">
        <v>288</v>
      </c>
      <c r="AV31" s="168">
        <f t="shared" si="5"/>
        <v>30</v>
      </c>
      <c r="AW31" s="168">
        <f>COUNTIF( AV$7:AV31, AV31 )</f>
        <v>5</v>
      </c>
      <c r="AX31" s="208">
        <f t="shared" si="22"/>
        <v>30.5</v>
      </c>
      <c r="AY31" s="168">
        <f t="shared" si="6"/>
        <v>34</v>
      </c>
      <c r="AZ31" s="169"/>
      <c r="BA31" s="169"/>
      <c r="BC31" s="168">
        <f t="shared" ca="1" si="24"/>
        <v>25</v>
      </c>
      <c r="BD31" s="209">
        <f t="shared" ca="1" si="8"/>
        <v>30</v>
      </c>
      <c r="BF31" s="173" t="str">
        <f t="shared" ca="1" si="23"/>
        <v>OGE Energy Corp.</v>
      </c>
      <c r="BG31" s="173" t="str">
        <f t="shared" ca="1" si="23"/>
        <v>BBB+</v>
      </c>
      <c r="BH31" s="173">
        <f t="shared" ca="1" si="23"/>
        <v>19</v>
      </c>
      <c r="BI31" s="173" t="str">
        <f t="shared" ca="1" si="23"/>
        <v>OGE</v>
      </c>
    </row>
    <row r="32" spans="1:61" ht="13.8" x14ac:dyDescent="0.25">
      <c r="A32" s="223" t="s">
        <v>285</v>
      </c>
      <c r="B32" s="224" t="s">
        <v>140</v>
      </c>
      <c r="C32" s="224">
        <v>19</v>
      </c>
      <c r="D32" s="224" t="s">
        <v>286</v>
      </c>
      <c r="E32" s="225" t="str">
        <f t="shared" ca="1" si="9"/>
        <v>R</v>
      </c>
      <c r="F32" s="348"/>
      <c r="G32" s="349">
        <f t="shared" ca="1" si="1"/>
        <v>39</v>
      </c>
      <c r="H32" s="350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9"/>
        <v/>
      </c>
      <c r="AJ32" s="169">
        <f t="shared" ca="1" si="20"/>
        <v>32</v>
      </c>
      <c r="AK32" s="169" t="str">
        <f t="shared" ca="1" si="21"/>
        <v>BBB+</v>
      </c>
      <c r="AL32" s="169">
        <f t="shared" ca="1" si="21"/>
        <v>19</v>
      </c>
      <c r="AM32" s="169" t="str">
        <f t="shared" ca="1" si="4"/>
        <v/>
      </c>
      <c r="AQ32" s="207" t="s">
        <v>271</v>
      </c>
      <c r="AR32" s="207" t="s">
        <v>140</v>
      </c>
      <c r="AS32" s="207">
        <v>19</v>
      </c>
      <c r="AT32" s="207" t="s">
        <v>272</v>
      </c>
      <c r="AV32" s="168">
        <f t="shared" si="5"/>
        <v>14</v>
      </c>
      <c r="AW32" s="168">
        <f>COUNTIF( AV$7:AV32, AV32 )</f>
        <v>10</v>
      </c>
      <c r="AX32" s="208">
        <f t="shared" si="22"/>
        <v>15</v>
      </c>
      <c r="AY32" s="168">
        <f t="shared" si="6"/>
        <v>23</v>
      </c>
      <c r="AZ32" s="169"/>
      <c r="BA32" s="169"/>
      <c r="BC32" s="168">
        <f t="shared" ca="1" si="24"/>
        <v>26</v>
      </c>
      <c r="BD32" s="209">
        <f t="shared" ca="1" si="8"/>
        <v>35</v>
      </c>
      <c r="BF32" s="173" t="str">
        <f t="shared" ca="1" si="23"/>
        <v>Portland General Electric Company</v>
      </c>
      <c r="BG32" s="173" t="str">
        <f t="shared" ca="1" si="23"/>
        <v>BBB+</v>
      </c>
      <c r="BH32" s="173">
        <f t="shared" ca="1" si="23"/>
        <v>19</v>
      </c>
      <c r="BI32" s="173" t="str">
        <f t="shared" ca="1" si="23"/>
        <v>POR</v>
      </c>
    </row>
    <row r="33" spans="1:61" ht="13.8" x14ac:dyDescent="0.25">
      <c r="A33" s="223" t="s">
        <v>289</v>
      </c>
      <c r="B33" s="224" t="s">
        <v>140</v>
      </c>
      <c r="C33" s="224">
        <v>19</v>
      </c>
      <c r="D33" s="224" t="s">
        <v>290</v>
      </c>
      <c r="E33" s="225" t="str">
        <f t="shared" ca="1" si="9"/>
        <v>MR</v>
      </c>
      <c r="F33" s="348"/>
      <c r="G33" s="349">
        <f t="shared" ca="1" si="1"/>
        <v>41</v>
      </c>
      <c r="H33" s="350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9"/>
        <v/>
      </c>
      <c r="AJ33" s="169">
        <f t="shared" ca="1" si="20"/>
        <v>33</v>
      </c>
      <c r="AK33" s="169" t="str">
        <f t="shared" ca="1" si="21"/>
        <v>BBB+</v>
      </c>
      <c r="AL33" s="169">
        <f t="shared" ca="1" si="21"/>
        <v>19</v>
      </c>
      <c r="AM33" s="169" t="str">
        <f t="shared" ca="1" si="4"/>
        <v/>
      </c>
      <c r="AQ33" s="207" t="s">
        <v>240</v>
      </c>
      <c r="AR33" s="207" t="s">
        <v>139</v>
      </c>
      <c r="AS33" s="207">
        <v>20</v>
      </c>
      <c r="AT33" s="207" t="s">
        <v>241</v>
      </c>
      <c r="AV33" s="168">
        <f t="shared" si="5"/>
        <v>2</v>
      </c>
      <c r="AW33" s="168">
        <f>COUNTIF( AV$7:AV33, AV33 )</f>
        <v>7</v>
      </c>
      <c r="AX33" s="208">
        <f t="shared" si="22"/>
        <v>2.7</v>
      </c>
      <c r="AY33" s="168">
        <f t="shared" si="6"/>
        <v>8</v>
      </c>
      <c r="AZ33" s="169"/>
      <c r="BA33" s="169"/>
      <c r="BC33" s="168">
        <f t="shared" ca="1" si="24"/>
        <v>27</v>
      </c>
      <c r="BD33" s="209">
        <f t="shared" ca="1" si="8"/>
        <v>37</v>
      </c>
      <c r="BF33" s="173" t="str">
        <f t="shared" ca="1" si="23"/>
        <v>Public Service Enterprise Group Incorporated</v>
      </c>
      <c r="BG33" s="173" t="str">
        <f t="shared" ca="1" si="23"/>
        <v>BBB+</v>
      </c>
      <c r="BH33" s="173">
        <f t="shared" ca="1" si="23"/>
        <v>19</v>
      </c>
      <c r="BI33" s="173" t="str">
        <f t="shared" ca="1" si="23"/>
        <v>PEG</v>
      </c>
    </row>
    <row r="34" spans="1:61" ht="13.8" x14ac:dyDescent="0.25">
      <c r="A34" s="223" t="s">
        <v>291</v>
      </c>
      <c r="B34" s="224" t="s">
        <v>140</v>
      </c>
      <c r="C34" s="224">
        <v>19</v>
      </c>
      <c r="D34" s="224" t="s">
        <v>292</v>
      </c>
      <c r="E34" s="225" t="str">
        <f t="shared" ca="1" si="9"/>
        <v>MR</v>
      </c>
      <c r="F34" s="348"/>
      <c r="G34" s="349">
        <f t="shared" ca="1" si="1"/>
        <v>42</v>
      </c>
      <c r="H34" s="350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9"/>
        <v/>
      </c>
      <c r="AJ34" s="169">
        <f t="shared" ca="1" si="20"/>
        <v>34</v>
      </c>
      <c r="AK34" s="169" t="str">
        <f t="shared" ca="1" si="21"/>
        <v>BBB+</v>
      </c>
      <c r="AL34" s="169">
        <f t="shared" ca="1" si="21"/>
        <v>19</v>
      </c>
      <c r="AM34" s="169" t="str">
        <f t="shared" ca="1" si="4"/>
        <v/>
      </c>
      <c r="AQ34" s="207" t="s">
        <v>273</v>
      </c>
      <c r="AR34" s="207" t="s">
        <v>140</v>
      </c>
      <c r="AS34" s="207">
        <v>19</v>
      </c>
      <c r="AT34" s="207" t="s">
        <v>274</v>
      </c>
      <c r="AV34" s="168">
        <f t="shared" si="5"/>
        <v>14</v>
      </c>
      <c r="AW34" s="168">
        <f>COUNTIF( AV$7:AV34, AV34 )</f>
        <v>11</v>
      </c>
      <c r="AX34" s="208">
        <f t="shared" si="22"/>
        <v>15.1</v>
      </c>
      <c r="AY34" s="168">
        <f t="shared" si="6"/>
        <v>24</v>
      </c>
      <c r="AZ34" s="169"/>
      <c r="BA34" s="169"/>
      <c r="BC34" s="168">
        <f t="shared" ca="1" si="24"/>
        <v>28</v>
      </c>
      <c r="BD34" s="209">
        <f t="shared" ca="1" si="8"/>
        <v>39</v>
      </c>
      <c r="BF34" s="173" t="str">
        <f t="shared" ca="1" si="23"/>
        <v>Sempra Energy</v>
      </c>
      <c r="BG34" s="173" t="str">
        <f t="shared" ca="1" si="23"/>
        <v>BBB+</v>
      </c>
      <c r="BH34" s="173">
        <f t="shared" ca="1" si="23"/>
        <v>19</v>
      </c>
      <c r="BI34" s="173" t="str">
        <f t="shared" ca="1" si="23"/>
        <v>SRE</v>
      </c>
    </row>
    <row r="35" spans="1:61" ht="13.8" x14ac:dyDescent="0.25">
      <c r="A35" s="223" t="s">
        <v>295</v>
      </c>
      <c r="B35" s="224" t="s">
        <v>140</v>
      </c>
      <c r="C35" s="224">
        <v>19</v>
      </c>
      <c r="D35" s="224" t="s">
        <v>296</v>
      </c>
      <c r="E35" s="225" t="str">
        <f t="shared" ca="1" si="9"/>
        <v>R</v>
      </c>
      <c r="F35" s="348"/>
      <c r="G35" s="349">
        <f t="shared" ca="1" si="1"/>
        <v>44</v>
      </c>
      <c r="H35" s="350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9"/>
        <v/>
      </c>
      <c r="AJ35" s="169">
        <f t="shared" ca="1" si="20"/>
        <v>35</v>
      </c>
      <c r="AK35" s="169" t="str">
        <f t="shared" ca="1" si="21"/>
        <v>BBB+</v>
      </c>
      <c r="AL35" s="169">
        <f t="shared" ca="1" si="21"/>
        <v>19</v>
      </c>
      <c r="AM35" s="169" t="str">
        <f t="shared" ca="1" si="4"/>
        <v/>
      </c>
      <c r="AQ35" s="207" t="s">
        <v>297</v>
      </c>
      <c r="AR35" s="207" t="s">
        <v>141</v>
      </c>
      <c r="AS35" s="207">
        <v>18</v>
      </c>
      <c r="AT35" s="207" t="s">
        <v>298</v>
      </c>
      <c r="AV35" s="168">
        <f t="shared" si="5"/>
        <v>30</v>
      </c>
      <c r="AW35" s="168">
        <f>COUNTIF( AV$7:AV35, AV35 )</f>
        <v>6</v>
      </c>
      <c r="AX35" s="208">
        <f t="shared" si="22"/>
        <v>30.6</v>
      </c>
      <c r="AY35" s="168">
        <f t="shared" si="6"/>
        <v>35</v>
      </c>
      <c r="AZ35" s="169"/>
      <c r="BA35" s="169"/>
      <c r="BC35" s="168">
        <f t="shared" ca="1" si="24"/>
        <v>29</v>
      </c>
      <c r="BD35" s="209">
        <f t="shared" ca="1" si="8"/>
        <v>41</v>
      </c>
      <c r="BF35" s="173" t="str">
        <f t="shared" ca="1" si="23"/>
        <v>Unitil Corporation</v>
      </c>
      <c r="BG35" s="173" t="str">
        <f t="shared" ca="1" si="23"/>
        <v>BBB+</v>
      </c>
      <c r="BH35" s="173">
        <f t="shared" ca="1" si="23"/>
        <v>19</v>
      </c>
      <c r="BI35" s="173" t="str">
        <f t="shared" ca="1" si="23"/>
        <v>UTL</v>
      </c>
    </row>
    <row r="36" spans="1:61" ht="13.8" x14ac:dyDescent="0.25">
      <c r="A36" s="223" t="s">
        <v>217</v>
      </c>
      <c r="B36" s="224" t="s">
        <v>141</v>
      </c>
      <c r="C36" s="224">
        <v>18</v>
      </c>
      <c r="D36" s="224" t="s">
        <v>218</v>
      </c>
      <c r="E36" s="225" t="str">
        <f t="shared" ca="1" si="9"/>
        <v>MR</v>
      </c>
      <c r="F36" s="348"/>
      <c r="G36" s="349">
        <f t="shared" ca="1" si="1"/>
        <v>7</v>
      </c>
      <c r="H36" s="350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9"/>
        <v/>
      </c>
      <c r="AJ36" s="169">
        <f t="shared" ca="1" si="20"/>
        <v>36</v>
      </c>
      <c r="AK36" s="169" t="str">
        <f t="shared" ca="1" si="21"/>
        <v>BBB</v>
      </c>
      <c r="AL36" s="169">
        <f t="shared" ca="1" si="21"/>
        <v>18</v>
      </c>
      <c r="AM36" s="169" t="str">
        <f t="shared" ca="1" si="4"/>
        <v/>
      </c>
      <c r="AQ36" s="207" t="s">
        <v>277</v>
      </c>
      <c r="AR36" s="207" t="s">
        <v>140</v>
      </c>
      <c r="AS36" s="207">
        <v>19</v>
      </c>
      <c r="AT36" s="207" t="s">
        <v>278</v>
      </c>
      <c r="AV36" s="168">
        <f t="shared" si="5"/>
        <v>14</v>
      </c>
      <c r="AW36" s="168">
        <f>COUNTIF( AV$7:AV36, AV36 )</f>
        <v>12</v>
      </c>
      <c r="AX36" s="208">
        <f t="shared" si="22"/>
        <v>15.2</v>
      </c>
      <c r="AY36" s="168">
        <f t="shared" si="6"/>
        <v>25</v>
      </c>
      <c r="AZ36" s="169"/>
      <c r="BA36" s="169"/>
      <c r="BC36" s="168">
        <f t="shared" ca="1" si="24"/>
        <v>30</v>
      </c>
      <c r="BD36" s="209">
        <f t="shared" ca="1" si="8"/>
        <v>1</v>
      </c>
      <c r="BF36" s="173" t="str">
        <f t="shared" ca="1" si="23"/>
        <v>ALLETE, Inc.</v>
      </c>
      <c r="BG36" s="173" t="str">
        <f t="shared" ca="1" si="23"/>
        <v>BBB</v>
      </c>
      <c r="BH36" s="173">
        <f t="shared" ca="1" si="23"/>
        <v>18</v>
      </c>
      <c r="BI36" s="173" t="str">
        <f t="shared" ca="1" si="23"/>
        <v>ALE</v>
      </c>
    </row>
    <row r="37" spans="1:61" ht="13.8" x14ac:dyDescent="0.25">
      <c r="A37" s="223" t="s">
        <v>238</v>
      </c>
      <c r="B37" s="224" t="s">
        <v>141</v>
      </c>
      <c r="C37" s="224">
        <v>18</v>
      </c>
      <c r="D37" s="224" t="s">
        <v>239</v>
      </c>
      <c r="E37" s="225" t="str">
        <f t="shared" ca="1" si="9"/>
        <v>R</v>
      </c>
      <c r="F37" s="348"/>
      <c r="G37" s="349">
        <f t="shared" ca="1" si="1"/>
        <v>12</v>
      </c>
      <c r="H37" s="350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20"/>
        <v>37</v>
      </c>
      <c r="AK37" s="169" t="str">
        <f t="shared" ca="1" si="21"/>
        <v>BBB</v>
      </c>
      <c r="AL37" s="169">
        <f t="shared" ca="1" si="21"/>
        <v>18</v>
      </c>
      <c r="AM37" s="169" t="str">
        <f t="shared" ca="1" si="4"/>
        <v/>
      </c>
      <c r="AQ37" s="207" t="s">
        <v>299</v>
      </c>
      <c r="AR37" s="207" t="s">
        <v>141</v>
      </c>
      <c r="AS37" s="207">
        <v>18</v>
      </c>
      <c r="AT37" s="207" t="s">
        <v>300</v>
      </c>
      <c r="AV37" s="168">
        <f t="shared" si="5"/>
        <v>30</v>
      </c>
      <c r="AW37" s="168">
        <f>COUNTIF( AV$7:AV37, AV37 )</f>
        <v>7</v>
      </c>
      <c r="AX37" s="208">
        <f t="shared" si="22"/>
        <v>30.7</v>
      </c>
      <c r="AY37" s="168">
        <f t="shared" si="6"/>
        <v>36</v>
      </c>
      <c r="AZ37" s="169"/>
      <c r="BA37" s="169"/>
      <c r="BC37" s="168">
        <f t="shared" ca="1" si="24"/>
        <v>31</v>
      </c>
      <c r="BD37" s="209">
        <f t="shared" ca="1" si="8"/>
        <v>6</v>
      </c>
      <c r="BF37" s="173" t="str">
        <f t="shared" ca="1" si="23"/>
        <v>Avista Corporation</v>
      </c>
      <c r="BG37" s="173" t="str">
        <f t="shared" ca="1" si="23"/>
        <v>BBB</v>
      </c>
      <c r="BH37" s="173">
        <f t="shared" ca="1" si="23"/>
        <v>18</v>
      </c>
      <c r="BI37" s="173" t="str">
        <f t="shared" ca="1" si="23"/>
        <v>AVA</v>
      </c>
    </row>
    <row r="38" spans="1:61" ht="13.2" customHeight="1" x14ac:dyDescent="0.25">
      <c r="A38" s="223" t="s">
        <v>265</v>
      </c>
      <c r="B38" s="224" t="s">
        <v>141</v>
      </c>
      <c r="C38" s="224">
        <v>18</v>
      </c>
      <c r="D38" s="224" t="s">
        <v>266</v>
      </c>
      <c r="E38" s="225" t="str">
        <f t="shared" ca="1" si="9"/>
        <v>R</v>
      </c>
      <c r="F38" s="348"/>
      <c r="G38" s="349">
        <f t="shared" ca="1" si="1"/>
        <v>20</v>
      </c>
      <c r="H38" s="350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20"/>
        <v>38</v>
      </c>
      <c r="AK38" s="169" t="str">
        <f t="shared" ca="1" si="21"/>
        <v>BBB</v>
      </c>
      <c r="AL38" s="169">
        <f t="shared" ca="1" si="21"/>
        <v>18</v>
      </c>
      <c r="AM38" s="169" t="str">
        <f t="shared" ca="1" si="4"/>
        <v/>
      </c>
      <c r="AQ38" s="207" t="s">
        <v>301</v>
      </c>
      <c r="AR38" s="207" t="s">
        <v>177</v>
      </c>
      <c r="AS38" s="207">
        <v>14</v>
      </c>
      <c r="AT38" s="207" t="s">
        <v>302</v>
      </c>
      <c r="AV38" s="168">
        <f t="shared" si="5"/>
        <v>43</v>
      </c>
      <c r="AW38" s="168">
        <f>COUNTIF( AV$7:AV38, AV38 )</f>
        <v>1</v>
      </c>
      <c r="AX38" s="208">
        <f t="shared" si="22"/>
        <v>43.1</v>
      </c>
      <c r="AY38" s="168">
        <f t="shared" si="6"/>
        <v>43</v>
      </c>
      <c r="AZ38" s="169"/>
      <c r="BA38" s="169"/>
      <c r="BC38" s="168">
        <f t="shared" ca="1" si="24"/>
        <v>32</v>
      </c>
      <c r="BD38" s="209">
        <f t="shared" ca="1" si="8"/>
        <v>17</v>
      </c>
      <c r="BF38" s="173" t="str">
        <f t="shared" ca="1" si="23"/>
        <v>Edison International</v>
      </c>
      <c r="BG38" s="173" t="str">
        <f t="shared" ca="1" si="23"/>
        <v>BBB</v>
      </c>
      <c r="BH38" s="173">
        <f t="shared" ca="1" si="23"/>
        <v>18</v>
      </c>
      <c r="BI38" s="173" t="str">
        <f t="shared" ca="1" si="23"/>
        <v>EIX</v>
      </c>
    </row>
    <row r="39" spans="1:61" ht="13.8" x14ac:dyDescent="0.25">
      <c r="A39" s="223" t="s">
        <v>283</v>
      </c>
      <c r="B39" s="224" t="s">
        <v>141</v>
      </c>
      <c r="C39" s="224">
        <v>18</v>
      </c>
      <c r="D39" s="224" t="s">
        <v>284</v>
      </c>
      <c r="E39" s="225" t="str">
        <f t="shared" ca="1" si="9"/>
        <v>R</v>
      </c>
      <c r="F39" s="348"/>
      <c r="G39" s="349">
        <f t="shared" ca="1" si="1"/>
        <v>28</v>
      </c>
      <c r="H39" s="350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9"/>
        <v/>
      </c>
      <c r="AJ39" s="169">
        <f t="shared" ca="1" si="20"/>
        <v>40</v>
      </c>
      <c r="AK39" s="169" t="str">
        <f t="shared" ca="1" si="21"/>
        <v>BBB</v>
      </c>
      <c r="AL39" s="169">
        <f t="shared" ca="1" si="21"/>
        <v>18</v>
      </c>
      <c r="AM39" s="169" t="str">
        <f t="shared" ca="1" si="4"/>
        <v/>
      </c>
      <c r="AQ39" s="207" t="s">
        <v>281</v>
      </c>
      <c r="AR39" s="207" t="s">
        <v>139</v>
      </c>
      <c r="AS39" s="207">
        <v>20</v>
      </c>
      <c r="AT39" s="207" t="s">
        <v>282</v>
      </c>
      <c r="AV39" s="168">
        <f t="shared" si="5"/>
        <v>2</v>
      </c>
      <c r="AW39" s="168">
        <f>COUNTIF( AV$7:AV39, AV39 )</f>
        <v>8</v>
      </c>
      <c r="AX39" s="208">
        <f t="shared" si="22"/>
        <v>2.8</v>
      </c>
      <c r="AY39" s="168">
        <f t="shared" si="6"/>
        <v>9</v>
      </c>
      <c r="AZ39" s="169"/>
      <c r="BA39" s="169"/>
      <c r="BC39" s="168">
        <f t="shared" ca="1" si="24"/>
        <v>33</v>
      </c>
      <c r="BD39" s="209">
        <f t="shared" ca="1" si="8"/>
        <v>24</v>
      </c>
      <c r="BF39" s="173" t="str">
        <f t="shared" ca="1" si="23"/>
        <v>IDACORP, Inc.</v>
      </c>
      <c r="BG39" s="173" t="str">
        <f t="shared" ca="1" si="23"/>
        <v>BBB</v>
      </c>
      <c r="BH39" s="173">
        <f t="shared" ca="1" si="23"/>
        <v>18</v>
      </c>
      <c r="BI39" s="173" t="str">
        <f t="shared" ca="1" si="23"/>
        <v>IDA</v>
      </c>
    </row>
    <row r="40" spans="1:61" ht="13.8" x14ac:dyDescent="0.25">
      <c r="A40" s="223" t="s">
        <v>297</v>
      </c>
      <c r="B40" s="224" t="s">
        <v>141</v>
      </c>
      <c r="C40" s="224">
        <v>18</v>
      </c>
      <c r="D40" s="224" t="s">
        <v>298</v>
      </c>
      <c r="E40" s="225" t="str">
        <f t="shared" ca="1" si="9"/>
        <v>R</v>
      </c>
      <c r="F40" s="348"/>
      <c r="G40" s="349">
        <f t="shared" ca="1" si="1"/>
        <v>33</v>
      </c>
      <c r="H40" s="350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20"/>
        <v>42</v>
      </c>
      <c r="AK40" s="169" t="str">
        <f t="shared" ca="1" si="21"/>
        <v>BBB</v>
      </c>
      <c r="AL40" s="169">
        <f t="shared" ca="1" si="21"/>
        <v>18</v>
      </c>
      <c r="AM40" s="169" t="str">
        <f t="shared" ca="1" si="4"/>
        <v/>
      </c>
      <c r="AQ40" s="207" t="s">
        <v>303</v>
      </c>
      <c r="AR40" s="207" t="s">
        <v>141</v>
      </c>
      <c r="AS40" s="207">
        <v>18</v>
      </c>
      <c r="AT40" s="207" t="s">
        <v>304</v>
      </c>
      <c r="AV40" s="168">
        <f t="shared" si="5"/>
        <v>30</v>
      </c>
      <c r="AW40" s="168">
        <f>COUNTIF( AV$7:AV40, AV40 )</f>
        <v>8</v>
      </c>
      <c r="AX40" s="208">
        <f t="shared" si="22"/>
        <v>30.8</v>
      </c>
      <c r="AY40" s="168">
        <f t="shared" si="6"/>
        <v>37</v>
      </c>
      <c r="AZ40" s="169"/>
      <c r="BA40" s="169"/>
      <c r="BC40" s="168">
        <f t="shared" ca="1" si="24"/>
        <v>34</v>
      </c>
      <c r="BD40" s="209">
        <f t="shared" ca="1" si="8"/>
        <v>25</v>
      </c>
      <c r="BF40" s="173" t="str">
        <f t="shared" ca="1" si="23"/>
        <v>IPALCO Enterprises, Inc.</v>
      </c>
      <c r="BG40" s="173" t="str">
        <f t="shared" ca="1" si="23"/>
        <v>BBB</v>
      </c>
      <c r="BH40" s="173">
        <f t="shared" ca="1" si="23"/>
        <v>18</v>
      </c>
      <c r="BI40" s="173" t="str">
        <f t="shared" ca="1" si="23"/>
        <v>**IPALCO</v>
      </c>
    </row>
    <row r="41" spans="1:61" ht="13.8" x14ac:dyDescent="0.25">
      <c r="A41" s="223" t="s">
        <v>299</v>
      </c>
      <c r="B41" s="224" t="s">
        <v>141</v>
      </c>
      <c r="C41" s="224">
        <v>18</v>
      </c>
      <c r="D41" s="224" t="s">
        <v>300</v>
      </c>
      <c r="E41" s="225" t="str">
        <f t="shared" ca="1" si="9"/>
        <v>R</v>
      </c>
      <c r="F41" s="348"/>
      <c r="G41" s="349">
        <f t="shared" ca="1" si="1"/>
        <v>35</v>
      </c>
      <c r="H41" s="350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20"/>
        <v>43</v>
      </c>
      <c r="AK41" s="169" t="str">
        <f t="shared" ca="1" si="21"/>
        <v>BBB</v>
      </c>
      <c r="AL41" s="169">
        <f t="shared" ca="1" si="21"/>
        <v>18</v>
      </c>
      <c r="AM41" s="169" t="str">
        <f t="shared" ca="1" si="4"/>
        <v/>
      </c>
      <c r="AQ41" s="207" t="s">
        <v>285</v>
      </c>
      <c r="AR41" s="207" t="s">
        <v>140</v>
      </c>
      <c r="AS41" s="207">
        <v>19</v>
      </c>
      <c r="AT41" s="207" t="s">
        <v>286</v>
      </c>
      <c r="AV41" s="168">
        <f t="shared" si="5"/>
        <v>14</v>
      </c>
      <c r="AW41" s="168">
        <f>COUNTIF( AV$7:AV41, AV41 )</f>
        <v>13</v>
      </c>
      <c r="AX41" s="208">
        <f t="shared" si="22"/>
        <v>15.3</v>
      </c>
      <c r="AY41" s="168">
        <f t="shared" si="6"/>
        <v>26</v>
      </c>
      <c r="AZ41" s="169"/>
      <c r="BA41" s="169"/>
      <c r="BC41" s="168">
        <f t="shared" ca="1" si="24"/>
        <v>35</v>
      </c>
      <c r="BD41" s="209">
        <f t="shared" ca="1" si="8"/>
        <v>29</v>
      </c>
      <c r="BF41" s="173" t="str">
        <f t="shared" ca="1" si="23"/>
        <v>NorthWestern Corporation</v>
      </c>
      <c r="BG41" s="173" t="str">
        <f t="shared" ca="1" si="23"/>
        <v>BBB</v>
      </c>
      <c r="BH41" s="173">
        <f t="shared" ca="1" si="23"/>
        <v>18</v>
      </c>
      <c r="BI41" s="173" t="str">
        <f t="shared" ca="1" si="23"/>
        <v>NWE</v>
      </c>
    </row>
    <row r="42" spans="1:61" ht="13.8" x14ac:dyDescent="0.25">
      <c r="A42" s="223" t="s">
        <v>303</v>
      </c>
      <c r="B42" s="224" t="s">
        <v>141</v>
      </c>
      <c r="C42" s="224">
        <v>18</v>
      </c>
      <c r="D42" s="224" t="s">
        <v>304</v>
      </c>
      <c r="E42" s="225" t="str">
        <f t="shared" ca="1" si="9"/>
        <v>R</v>
      </c>
      <c r="F42" s="348"/>
      <c r="G42" s="349">
        <f t="shared" ca="1" si="1"/>
        <v>38</v>
      </c>
      <c r="H42" s="350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20"/>
        <v>44</v>
      </c>
      <c r="AK42" s="169" t="str">
        <f t="shared" ca="1" si="21"/>
        <v>BBB</v>
      </c>
      <c r="AL42" s="169">
        <f t="shared" ca="1" si="21"/>
        <v>18</v>
      </c>
      <c r="AM42" s="169" t="str">
        <f t="shared" ca="1" si="4"/>
        <v/>
      </c>
      <c r="AQ42" s="207" t="s">
        <v>243</v>
      </c>
      <c r="AR42" s="207" t="s">
        <v>139</v>
      </c>
      <c r="AS42" s="207">
        <v>20</v>
      </c>
      <c r="AT42" s="207" t="s">
        <v>244</v>
      </c>
      <c r="AV42" s="168">
        <f t="shared" si="5"/>
        <v>2</v>
      </c>
      <c r="AW42" s="168">
        <f>COUNTIF( AV$7:AV42, AV42 )</f>
        <v>9</v>
      </c>
      <c r="AX42" s="208">
        <f t="shared" si="22"/>
        <v>2.9</v>
      </c>
      <c r="AY42" s="168">
        <f t="shared" si="6"/>
        <v>10</v>
      </c>
      <c r="AZ42" s="169"/>
      <c r="BA42" s="169"/>
      <c r="BC42" s="168">
        <f t="shared" ca="1" si="24"/>
        <v>36</v>
      </c>
      <c r="BD42" s="209">
        <f t="shared" ca="1" si="8"/>
        <v>31</v>
      </c>
      <c r="BF42" s="173" t="str">
        <f t="shared" ca="1" si="23"/>
        <v>Otter Tail Corporation</v>
      </c>
      <c r="BG42" s="173" t="str">
        <f t="shared" ca="1" si="23"/>
        <v>BBB</v>
      </c>
      <c r="BH42" s="173">
        <f t="shared" ca="1" si="23"/>
        <v>18</v>
      </c>
      <c r="BI42" s="173" t="str">
        <f t="shared" ca="1" si="23"/>
        <v>OTTR</v>
      </c>
    </row>
    <row r="43" spans="1:61" ht="13.8" x14ac:dyDescent="0.25">
      <c r="A43" s="223" t="s">
        <v>287</v>
      </c>
      <c r="B43" s="224" t="s">
        <v>141</v>
      </c>
      <c r="C43" s="224">
        <v>18</v>
      </c>
      <c r="D43" s="224" t="s">
        <v>288</v>
      </c>
      <c r="E43" s="225" t="str">
        <f t="shared" ca="1" si="9"/>
        <v>R</v>
      </c>
      <c r="F43" s="348"/>
      <c r="G43" s="349">
        <f t="shared" ca="1" si="1"/>
        <v>55</v>
      </c>
      <c r="H43" s="350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9"/>
        <v/>
      </c>
      <c r="AJ43" s="169">
        <f t="shared" ca="1" si="20"/>
        <v>41</v>
      </c>
      <c r="AK43" s="169" t="str">
        <f t="shared" ca="1" si="21"/>
        <v>BBB</v>
      </c>
      <c r="AL43" s="169">
        <f t="shared" ca="1" si="21"/>
        <v>18</v>
      </c>
      <c r="AM43" s="169" t="str">
        <f t="shared" ca="1" si="4"/>
        <v/>
      </c>
      <c r="AQ43" s="207" t="s">
        <v>289</v>
      </c>
      <c r="AR43" s="207" t="s">
        <v>140</v>
      </c>
      <c r="AS43" s="207">
        <v>19</v>
      </c>
      <c r="AT43" s="207" t="s">
        <v>290</v>
      </c>
      <c r="AV43" s="168">
        <f t="shared" si="5"/>
        <v>14</v>
      </c>
      <c r="AW43" s="168">
        <f>COUNTIF( AV$7:AV43, AV43 )</f>
        <v>14</v>
      </c>
      <c r="AX43" s="208">
        <f t="shared" si="22"/>
        <v>15.4</v>
      </c>
      <c r="AY43" s="168">
        <f t="shared" si="6"/>
        <v>27</v>
      </c>
      <c r="AZ43" s="169"/>
      <c r="BA43" s="169"/>
      <c r="BC43" s="168">
        <f t="shared" ca="1" si="24"/>
        <v>37</v>
      </c>
      <c r="BD43" s="209">
        <f t="shared" ca="1" si="8"/>
        <v>34</v>
      </c>
      <c r="BF43" s="173" t="str">
        <f t="shared" ca="1" si="23"/>
        <v>PNM Resources, Inc.</v>
      </c>
      <c r="BG43" s="173" t="str">
        <f t="shared" ca="1" si="23"/>
        <v>BBB</v>
      </c>
      <c r="BH43" s="173">
        <f t="shared" ca="1" si="23"/>
        <v>18</v>
      </c>
      <c r="BI43" s="173" t="str">
        <f t="shared" ca="1" si="23"/>
        <v>PNM</v>
      </c>
    </row>
    <row r="44" spans="1:61" ht="13.8" x14ac:dyDescent="0.25">
      <c r="A44" s="223" t="s">
        <v>279</v>
      </c>
      <c r="B44" s="224" t="s">
        <v>142</v>
      </c>
      <c r="C44" s="224">
        <v>17</v>
      </c>
      <c r="D44" s="224" t="s">
        <v>280</v>
      </c>
      <c r="E44" s="225" t="str">
        <f t="shared" ca="1" si="9"/>
        <v>MR</v>
      </c>
      <c r="F44" s="348"/>
      <c r="G44" s="349">
        <f t="shared" ca="1" si="1"/>
        <v>27</v>
      </c>
      <c r="H44" s="350"/>
      <c r="I44" s="237"/>
      <c r="J44" s="191"/>
      <c r="K44" s="237"/>
      <c r="N44" s="237"/>
      <c r="Q44" s="237"/>
      <c r="T44" s="237"/>
      <c r="W44" s="237"/>
      <c r="AF44" s="169">
        <f t="shared" si="2"/>
        <v>1</v>
      </c>
      <c r="AG44" s="169" t="str">
        <f t="shared" ca="1" si="3"/>
        <v/>
      </c>
      <c r="AH44" s="169" t="str">
        <f t="shared" ca="1" si="19"/>
        <v/>
      </c>
      <c r="AJ44" s="169">
        <f t="shared" ca="1" si="20"/>
        <v>46</v>
      </c>
      <c r="AK44" s="169" t="str">
        <f t="shared" ca="1" si="21"/>
        <v>BBB-</v>
      </c>
      <c r="AL44" s="169">
        <f t="shared" ca="1" si="21"/>
        <v>17</v>
      </c>
      <c r="AM44" s="169" t="str">
        <f t="shared" ca="1" si="4"/>
        <v/>
      </c>
      <c r="AQ44" s="207" t="s">
        <v>305</v>
      </c>
      <c r="AR44" s="207" t="s">
        <v>142</v>
      </c>
      <c r="AS44" s="207">
        <v>17</v>
      </c>
      <c r="AT44" s="207" t="s">
        <v>306</v>
      </c>
      <c r="AV44" s="168">
        <f t="shared" si="5"/>
        <v>38</v>
      </c>
      <c r="AW44" s="168">
        <f>COUNTIF( AV$7:AV44, AV44 )</f>
        <v>3</v>
      </c>
      <c r="AX44" s="208">
        <f t="shared" si="22"/>
        <v>38.299999999999997</v>
      </c>
      <c r="AY44" s="168">
        <f t="shared" si="6"/>
        <v>40</v>
      </c>
      <c r="AZ44" s="169"/>
      <c r="BA44" s="169"/>
      <c r="BC44" s="168">
        <f t="shared" ca="1" si="24"/>
        <v>38</v>
      </c>
      <c r="BD44" s="209">
        <f t="shared" ca="1" si="8"/>
        <v>10</v>
      </c>
      <c r="BF44" s="173" t="str">
        <f t="shared" ca="1" si="23"/>
        <v>Cleco Corporation</v>
      </c>
      <c r="BG44" s="173" t="str">
        <f t="shared" ca="1" si="23"/>
        <v>BBB-</v>
      </c>
      <c r="BH44" s="173">
        <f t="shared" ca="1" si="23"/>
        <v>17</v>
      </c>
      <c r="BI44" s="173" t="str">
        <f t="shared" ca="1" si="23"/>
        <v>**CNL</v>
      </c>
    </row>
    <row r="45" spans="1:61" ht="13.8" x14ac:dyDescent="0.25">
      <c r="A45" s="223" t="s">
        <v>254</v>
      </c>
      <c r="B45" s="224" t="s">
        <v>142</v>
      </c>
      <c r="C45" s="224">
        <v>17</v>
      </c>
      <c r="D45" s="224" t="s">
        <v>255</v>
      </c>
      <c r="E45" s="225" t="str">
        <f t="shared" ca="1" si="9"/>
        <v>R</v>
      </c>
      <c r="F45" s="348"/>
      <c r="G45" s="349">
        <f t="shared" ca="1" si="1"/>
        <v>53</v>
      </c>
      <c r="H45" s="350"/>
      <c r="I45" s="237"/>
      <c r="J45" s="191"/>
      <c r="K45" s="237"/>
      <c r="N45" s="237"/>
      <c r="Q45" s="237"/>
      <c r="T45" s="237"/>
      <c r="W45" s="237"/>
      <c r="AF45" s="169">
        <f t="shared" si="2"/>
        <v>1</v>
      </c>
      <c r="AG45" s="169" t="str">
        <f t="shared" ca="1" si="3"/>
        <v/>
      </c>
      <c r="AH45" s="169" t="str">
        <f t="shared" ca="1" si="19"/>
        <v/>
      </c>
      <c r="AJ45" s="169">
        <f t="shared" ca="1" si="20"/>
        <v>45</v>
      </c>
      <c r="AK45" s="169" t="str">
        <f t="shared" ca="1" si="21"/>
        <v>BBB-</v>
      </c>
      <c r="AL45" s="169">
        <f t="shared" ca="1" si="21"/>
        <v>17</v>
      </c>
      <c r="AM45" s="169" t="str">
        <f t="shared" ca="1" si="4"/>
        <v/>
      </c>
      <c r="AQ45" s="207" t="s">
        <v>291</v>
      </c>
      <c r="AR45" s="207" t="s">
        <v>140</v>
      </c>
      <c r="AS45" s="207">
        <v>19</v>
      </c>
      <c r="AT45" s="207" t="s">
        <v>292</v>
      </c>
      <c r="AV45" s="168">
        <f t="shared" si="5"/>
        <v>14</v>
      </c>
      <c r="AW45" s="168">
        <f>COUNTIF( AV$7:AV45, AV45 )</f>
        <v>15</v>
      </c>
      <c r="AX45" s="208">
        <f t="shared" si="22"/>
        <v>15.5</v>
      </c>
      <c r="AY45" s="168">
        <f t="shared" si="6"/>
        <v>28</v>
      </c>
      <c r="AZ45" s="169"/>
      <c r="BA45" s="169"/>
      <c r="BC45" s="168">
        <f t="shared" ca="1" si="24"/>
        <v>39</v>
      </c>
      <c r="BD45" s="209">
        <f t="shared" ca="1" si="8"/>
        <v>23</v>
      </c>
      <c r="BF45" s="173" t="str">
        <f t="shared" ca="1" si="23"/>
        <v>Hawaiian Electric Industries, Inc.</v>
      </c>
      <c r="BG45" s="173" t="str">
        <f t="shared" ca="1" si="23"/>
        <v>BBB-</v>
      </c>
      <c r="BH45" s="173">
        <f t="shared" ca="1" si="23"/>
        <v>17</v>
      </c>
      <c r="BI45" s="173" t="str">
        <f t="shared" ca="1" si="23"/>
        <v>HE</v>
      </c>
    </row>
    <row r="46" spans="1:61" ht="13.8" x14ac:dyDescent="0.25">
      <c r="A46" s="223" t="s">
        <v>305</v>
      </c>
      <c r="B46" s="224" t="s">
        <v>142</v>
      </c>
      <c r="C46" s="224">
        <v>17</v>
      </c>
      <c r="D46" s="224" t="s">
        <v>306</v>
      </c>
      <c r="E46" s="225" t="str">
        <f t="shared" ca="1" si="9"/>
        <v>R</v>
      </c>
      <c r="F46" s="348"/>
      <c r="G46" s="349">
        <f t="shared" ca="1" si="1"/>
        <v>57</v>
      </c>
      <c r="H46" s="350"/>
      <c r="I46" s="191"/>
      <c r="K46" s="191"/>
      <c r="N46" s="351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9"/>
        <v/>
      </c>
      <c r="AJ46" s="169">
        <f t="shared" ca="1" si="20"/>
        <v>47</v>
      </c>
      <c r="AK46" s="169" t="str">
        <f t="shared" ca="1" si="21"/>
        <v>BBB-</v>
      </c>
      <c r="AL46" s="169">
        <f t="shared" ca="1" si="21"/>
        <v>17</v>
      </c>
      <c r="AM46" s="169" t="str">
        <f t="shared" ca="1" si="4"/>
        <v/>
      </c>
      <c r="AQ46" s="207" t="s">
        <v>293</v>
      </c>
      <c r="AR46" s="207" t="s">
        <v>139</v>
      </c>
      <c r="AS46" s="207">
        <v>20</v>
      </c>
      <c r="AT46" s="207" t="s">
        <v>294</v>
      </c>
      <c r="AV46" s="168">
        <f t="shared" si="5"/>
        <v>2</v>
      </c>
      <c r="AW46" s="168">
        <f>COUNTIF( AV$7:AV46, AV46 )</f>
        <v>10</v>
      </c>
      <c r="AX46" s="208">
        <f t="shared" si="22"/>
        <v>3</v>
      </c>
      <c r="AY46" s="168">
        <f t="shared" si="6"/>
        <v>11</v>
      </c>
      <c r="AZ46" s="169"/>
      <c r="BA46" s="169"/>
      <c r="BC46" s="168">
        <f t="shared" ca="1" si="24"/>
        <v>40</v>
      </c>
      <c r="BD46" s="209">
        <f t="shared" ca="1" si="8"/>
        <v>38</v>
      </c>
      <c r="BF46" s="173" t="str">
        <f t="shared" ca="1" si="23"/>
        <v>Puget Energy, Inc.</v>
      </c>
      <c r="BG46" s="173" t="str">
        <f t="shared" ca="1" si="23"/>
        <v>BBB-</v>
      </c>
      <c r="BH46" s="173">
        <f t="shared" ca="1" si="23"/>
        <v>17</v>
      </c>
      <c r="BI46" s="173" t="str">
        <f t="shared" ca="1" si="23"/>
        <v>**PSD</v>
      </c>
    </row>
    <row r="47" spans="1:61" ht="13.8" x14ac:dyDescent="0.25">
      <c r="A47" s="223" t="s">
        <v>259</v>
      </c>
      <c r="B47" s="224" t="s">
        <v>173</v>
      </c>
      <c r="C47" s="224">
        <v>16</v>
      </c>
      <c r="D47" s="224" t="s">
        <v>260</v>
      </c>
      <c r="E47" s="225" t="str">
        <f t="shared" ca="1" si="9"/>
        <v>R</v>
      </c>
      <c r="F47" s="348"/>
      <c r="G47" s="349">
        <f t="shared" ca="1" si="1"/>
        <v>54</v>
      </c>
      <c r="H47" s="350"/>
      <c r="I47" s="350"/>
      <c r="J47" s="187" t="s">
        <v>307</v>
      </c>
      <c r="K47" s="191"/>
      <c r="M47" s="351"/>
      <c r="N47" s="351"/>
      <c r="AF47" s="169">
        <f t="shared" si="2"/>
        <v>0</v>
      </c>
      <c r="AG47" s="169">
        <f t="shared" ca="1" si="3"/>
        <v>1</v>
      </c>
      <c r="AH47" s="169" t="str">
        <f t="shared" ca="1" si="19"/>
        <v/>
      </c>
      <c r="AJ47" s="169">
        <f t="shared" ca="1" si="20"/>
        <v>48</v>
      </c>
      <c r="AK47" s="169" t="str">
        <f t="shared" ca="1" si="21"/>
        <v>BB</v>
      </c>
      <c r="AL47" s="169">
        <f t="shared" ca="1" si="21"/>
        <v>15</v>
      </c>
      <c r="AM47" s="169" t="str">
        <f t="shared" ca="1" si="4"/>
        <v>Change</v>
      </c>
      <c r="AQ47" s="207" t="s">
        <v>295</v>
      </c>
      <c r="AR47" s="207" t="s">
        <v>140</v>
      </c>
      <c r="AS47" s="207">
        <v>19</v>
      </c>
      <c r="AT47" s="207" t="s">
        <v>296</v>
      </c>
      <c r="AV47" s="168">
        <f t="shared" si="5"/>
        <v>14</v>
      </c>
      <c r="AW47" s="168">
        <f>COUNTIF( AV$7:AV47, AV47 )</f>
        <v>16</v>
      </c>
      <c r="AX47" s="208">
        <f t="shared" si="22"/>
        <v>15.6</v>
      </c>
      <c r="AY47" s="168">
        <f t="shared" si="6"/>
        <v>29</v>
      </c>
      <c r="AZ47" s="169"/>
      <c r="BA47" s="169"/>
      <c r="BC47" s="168">
        <f t="shared" ca="1" si="24"/>
        <v>41</v>
      </c>
      <c r="BD47" s="209">
        <f t="shared" ca="1" si="8"/>
        <v>14</v>
      </c>
      <c r="BF47" s="173" t="str">
        <f t="shared" ca="1" si="23"/>
        <v>DPL Inc.</v>
      </c>
      <c r="BG47" s="173" t="str">
        <f t="shared" ca="1" si="23"/>
        <v>BB+</v>
      </c>
      <c r="BH47" s="173">
        <f t="shared" ca="1" si="23"/>
        <v>16</v>
      </c>
      <c r="BI47" s="173" t="str">
        <f t="shared" ca="1" si="23"/>
        <v>**DPL</v>
      </c>
    </row>
    <row r="48" spans="1:61" ht="13.8" x14ac:dyDescent="0.25">
      <c r="A48" s="223" t="s">
        <v>275</v>
      </c>
      <c r="B48" s="224" t="s">
        <v>175</v>
      </c>
      <c r="C48" s="224">
        <v>15</v>
      </c>
      <c r="D48" s="224" t="s">
        <v>276</v>
      </c>
      <c r="E48" s="225" t="str">
        <f t="shared" ca="1" si="9"/>
        <v>R</v>
      </c>
      <c r="F48" s="348"/>
      <c r="G48" s="349">
        <f t="shared" ca="1" si="1"/>
        <v>26</v>
      </c>
      <c r="H48" s="350"/>
      <c r="I48" s="350"/>
      <c r="K48" s="191"/>
      <c r="M48" s="351"/>
      <c r="N48" s="351"/>
      <c r="AF48" s="169">
        <f t="shared" si="2"/>
        <v>1</v>
      </c>
      <c r="AG48" s="169" t="str">
        <f t="shared" ca="1" si="3"/>
        <v/>
      </c>
      <c r="AH48" s="169">
        <f t="shared" ca="1" si="19"/>
        <v>1</v>
      </c>
      <c r="AJ48" s="169">
        <f t="shared" ca="1" si="20"/>
        <v>39</v>
      </c>
      <c r="AK48" s="169" t="str">
        <f t="shared" ca="1" si="21"/>
        <v>BBB</v>
      </c>
      <c r="AL48" s="169">
        <f t="shared" ca="1" si="21"/>
        <v>18</v>
      </c>
      <c r="AM48" s="169" t="str">
        <f t="shared" ca="1" si="4"/>
        <v>Change</v>
      </c>
      <c r="AQ48" s="207" t="s">
        <v>247</v>
      </c>
      <c r="AR48" s="207" t="s">
        <v>139</v>
      </c>
      <c r="AS48" s="207">
        <v>20</v>
      </c>
      <c r="AT48" s="207" t="s">
        <v>248</v>
      </c>
      <c r="AV48" s="168">
        <f t="shared" si="5"/>
        <v>2</v>
      </c>
      <c r="AW48" s="168">
        <f>COUNTIF( AV$7:AV48, AV48 )</f>
        <v>11</v>
      </c>
      <c r="AX48" s="208">
        <f t="shared" si="22"/>
        <v>3.1</v>
      </c>
      <c r="AY48" s="168">
        <f t="shared" si="6"/>
        <v>12</v>
      </c>
      <c r="AZ48" s="169"/>
      <c r="BA48" s="169"/>
      <c r="BC48" s="168">
        <f t="shared" ca="1" si="24"/>
        <v>42</v>
      </c>
      <c r="BD48" s="209">
        <f t="shared" ca="1" si="8"/>
        <v>22</v>
      </c>
      <c r="BF48" s="173" t="str">
        <f t="shared" ca="1" si="23"/>
        <v>FirstEnergy Corp.</v>
      </c>
      <c r="BG48" s="173" t="str">
        <f t="shared" ca="1" si="23"/>
        <v>BB</v>
      </c>
      <c r="BH48" s="173">
        <f t="shared" ca="1" si="23"/>
        <v>15</v>
      </c>
      <c r="BI48" s="173" t="str">
        <f t="shared" ca="1" si="23"/>
        <v>FE</v>
      </c>
    </row>
    <row r="49" spans="1:61" ht="13.8" x14ac:dyDescent="0.25">
      <c r="A49" s="223" t="s">
        <v>301</v>
      </c>
      <c r="B49" s="224" t="s">
        <v>177</v>
      </c>
      <c r="C49" s="224">
        <v>14</v>
      </c>
      <c r="D49" s="224" t="s">
        <v>302</v>
      </c>
      <c r="E49" s="225" t="str">
        <f t="shared" ca="1" si="9"/>
        <v>R</v>
      </c>
      <c r="F49" s="348"/>
      <c r="G49" s="349">
        <f t="shared" ca="1" si="1"/>
        <v>36</v>
      </c>
      <c r="H49" s="350"/>
      <c r="I49" s="350"/>
      <c r="J49" s="191"/>
      <c r="K49" s="191"/>
      <c r="M49" s="351"/>
      <c r="N49" s="351"/>
      <c r="AF49" s="169">
        <f t="shared" si="2"/>
        <v>0</v>
      </c>
      <c r="AG49" s="169" t="str">
        <f t="shared" ca="1" si="3"/>
        <v/>
      </c>
      <c r="AH49" s="169" t="str">
        <f t="shared" ca="1" si="19"/>
        <v/>
      </c>
      <c r="AJ49" s="169">
        <f t="shared" ca="1" si="20"/>
        <v>49</v>
      </c>
      <c r="AK49" s="169" t="str">
        <f t="shared" ca="1" si="21"/>
        <v>BB-</v>
      </c>
      <c r="AL49" s="169">
        <f t="shared" ca="1" si="21"/>
        <v>14</v>
      </c>
      <c r="AM49" s="169" t="str">
        <f t="shared" ca="1" si="4"/>
        <v/>
      </c>
      <c r="AQ49" s="207" t="s">
        <v>251</v>
      </c>
      <c r="AR49" s="207" t="s">
        <v>139</v>
      </c>
      <c r="AS49" s="207">
        <v>20</v>
      </c>
      <c r="AT49" s="207" t="s">
        <v>252</v>
      </c>
      <c r="AV49" s="168">
        <f t="shared" si="5"/>
        <v>2</v>
      </c>
      <c r="AW49" s="168">
        <f>COUNTIF( AV$7:AV49, AV49 )</f>
        <v>12</v>
      </c>
      <c r="AX49" s="208">
        <f t="shared" si="22"/>
        <v>3.2</v>
      </c>
      <c r="AY49" s="168">
        <f t="shared" si="6"/>
        <v>13</v>
      </c>
      <c r="AZ49" s="169"/>
      <c r="BA49" s="169"/>
      <c r="BC49" s="168">
        <f t="shared" ca="1" si="24"/>
        <v>43</v>
      </c>
      <c r="BD49" s="209">
        <f t="shared" ca="1" si="8"/>
        <v>32</v>
      </c>
      <c r="BF49" s="173" t="str">
        <f t="shared" ca="1" si="23"/>
        <v>PG&amp;E Corporation</v>
      </c>
      <c r="BG49" s="173" t="str">
        <f t="shared" ca="1" si="23"/>
        <v>BB-</v>
      </c>
      <c r="BH49" s="173">
        <f t="shared" ca="1" si="23"/>
        <v>14</v>
      </c>
      <c r="BI49" s="173" t="str">
        <f t="shared" ca="1" si="23"/>
        <v>PCG</v>
      </c>
    </row>
    <row r="50" spans="1:61" ht="13.8" x14ac:dyDescent="0.25">
      <c r="A50" s="223"/>
      <c r="B50" s="224"/>
      <c r="C50" s="224"/>
      <c r="D50" s="224"/>
      <c r="E50" s="225"/>
      <c r="F50" s="348"/>
      <c r="G50" s="349"/>
      <c r="H50" s="350"/>
      <c r="I50" s="350"/>
      <c r="J50" s="191"/>
      <c r="K50" s="191"/>
      <c r="M50" s="351"/>
      <c r="N50" s="351"/>
      <c r="AF50" s="169">
        <f t="shared" si="2"/>
        <v>0</v>
      </c>
      <c r="AG50" s="169" t="str">
        <f t="shared" si="3"/>
        <v/>
      </c>
      <c r="AH50" s="169" t="str">
        <f t="shared" si="19"/>
        <v/>
      </c>
      <c r="AJ50" s="169" t="e">
        <f t="shared" ca="1" si="20"/>
        <v>#N/A</v>
      </c>
      <c r="AK50" s="169" t="str">
        <f t="shared" ca="1" si="21"/>
        <v/>
      </c>
      <c r="AL50" s="169" t="str">
        <f t="shared" ca="1" si="21"/>
        <v/>
      </c>
      <c r="AM50" s="169" t="str">
        <f t="shared" ca="1" si="4"/>
        <v/>
      </c>
      <c r="AQ50" s="207"/>
      <c r="AR50" s="207"/>
      <c r="AS50" s="207"/>
      <c r="AT50" s="207"/>
      <c r="AV50" s="168">
        <f t="shared" si="5"/>
        <v>99</v>
      </c>
      <c r="AW50" s="168">
        <f>COUNTIF( AV$7:AV50, AV50 )</f>
        <v>1</v>
      </c>
      <c r="AX50" s="208">
        <f t="shared" si="22"/>
        <v>99.1</v>
      </c>
      <c r="AY50" s="168">
        <f t="shared" si="6"/>
        <v>44</v>
      </c>
      <c r="AZ50" s="169"/>
      <c r="BA50" s="169"/>
      <c r="BC50" s="168">
        <f t="shared" ca="1" si="24"/>
        <v>44</v>
      </c>
      <c r="BD50" s="209">
        <f t="shared" ca="1" si="8"/>
        <v>44</v>
      </c>
      <c r="BF50" s="173">
        <f t="shared" ca="1" si="23"/>
        <v>0</v>
      </c>
      <c r="BG50" s="173">
        <f t="shared" ca="1" si="23"/>
        <v>0</v>
      </c>
      <c r="BH50" s="173">
        <f t="shared" ca="1" si="23"/>
        <v>0</v>
      </c>
      <c r="BI50" s="173">
        <f t="shared" ca="1" si="23"/>
        <v>0</v>
      </c>
    </row>
    <row r="51" spans="1:61" ht="13.8" x14ac:dyDescent="0.25">
      <c r="A51" s="223"/>
      <c r="B51" s="224"/>
      <c r="C51" s="224"/>
      <c r="D51" s="224"/>
      <c r="E51" s="225"/>
      <c r="F51" s="348"/>
      <c r="G51" s="349"/>
      <c r="H51" s="350"/>
      <c r="I51" s="350"/>
      <c r="J51" s="191"/>
      <c r="K51" s="191"/>
      <c r="M51" s="351"/>
      <c r="N51" s="351"/>
      <c r="AF51" s="169">
        <f t="shared" si="2"/>
        <v>0</v>
      </c>
      <c r="AG51" s="169" t="str">
        <f t="shared" si="3"/>
        <v/>
      </c>
      <c r="AH51" s="169" t="str">
        <f t="shared" si="19"/>
        <v/>
      </c>
      <c r="AJ51" s="169" t="e">
        <f t="shared" ca="1" si="20"/>
        <v>#N/A</v>
      </c>
      <c r="AK51" s="169" t="str">
        <f t="shared" ca="1" si="21"/>
        <v/>
      </c>
      <c r="AL51" s="169" t="str">
        <f t="shared" ca="1" si="21"/>
        <v/>
      </c>
      <c r="AM51" s="169" t="str">
        <f t="shared" ca="1" si="4"/>
        <v/>
      </c>
      <c r="AQ51" s="207"/>
      <c r="AR51" s="207"/>
      <c r="AS51" s="207"/>
      <c r="AT51" s="207"/>
      <c r="AV51" s="168">
        <f t="shared" si="5"/>
        <v>99</v>
      </c>
      <c r="AW51" s="168">
        <f>COUNTIF( AV$7:AV51, AV51 )</f>
        <v>2</v>
      </c>
      <c r="AX51" s="208">
        <f t="shared" si="22"/>
        <v>99.2</v>
      </c>
      <c r="AY51" s="168">
        <f t="shared" si="6"/>
        <v>45</v>
      </c>
      <c r="AZ51" s="169"/>
      <c r="BA51" s="169"/>
      <c r="BC51" s="168">
        <f t="shared" ca="1" si="24"/>
        <v>45</v>
      </c>
      <c r="BD51" s="209">
        <f t="shared" ca="1" si="8"/>
        <v>45</v>
      </c>
      <c r="BF51" s="173">
        <f t="shared" ref="BF51:BI63" ca="1" si="25">OFFSET( AQ$6, $BD52, 0 )</f>
        <v>0</v>
      </c>
      <c r="BG51" s="173">
        <f t="shared" ca="1" si="25"/>
        <v>0</v>
      </c>
      <c r="BH51" s="173">
        <f t="shared" ca="1" si="25"/>
        <v>0</v>
      </c>
      <c r="BI51" s="173">
        <f t="shared" ca="1" si="25"/>
        <v>0</v>
      </c>
    </row>
    <row r="52" spans="1:61" ht="13.8" x14ac:dyDescent="0.25">
      <c r="A52" s="223"/>
      <c r="B52" s="224"/>
      <c r="C52" s="224"/>
      <c r="D52" s="224"/>
      <c r="E52" s="225"/>
      <c r="F52" s="348"/>
      <c r="G52" s="349"/>
      <c r="H52" s="350"/>
      <c r="I52" s="350"/>
      <c r="J52" s="191"/>
      <c r="K52" s="191"/>
      <c r="AF52" s="169">
        <f t="shared" si="2"/>
        <v>0</v>
      </c>
      <c r="AG52" s="169" t="str">
        <f t="shared" si="3"/>
        <v/>
      </c>
      <c r="AH52" s="169" t="str">
        <f t="shared" si="19"/>
        <v/>
      </c>
      <c r="AJ52" s="169" t="e">
        <f t="shared" ca="1" si="20"/>
        <v>#N/A</v>
      </c>
      <c r="AK52" s="169" t="str">
        <f t="shared" ca="1" si="21"/>
        <v/>
      </c>
      <c r="AL52" s="169" t="str">
        <f t="shared" ca="1" si="21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si="5"/>
        <v>99</v>
      </c>
      <c r="AW52" s="168">
        <f>COUNTIF( AV$7:AV52, AV52 )</f>
        <v>3</v>
      </c>
      <c r="AX52" s="208">
        <f t="shared" si="22"/>
        <v>99.3</v>
      </c>
      <c r="AY52" s="168">
        <f t="shared" si="6"/>
        <v>46</v>
      </c>
      <c r="AZ52" s="169"/>
      <c r="BA52" s="169"/>
      <c r="BC52" s="168">
        <f t="shared" ca="1" si="24"/>
        <v>46</v>
      </c>
      <c r="BD52" s="209">
        <f t="shared" ca="1" si="8"/>
        <v>46</v>
      </c>
      <c r="BF52" s="173">
        <f t="shared" ca="1" si="25"/>
        <v>0</v>
      </c>
      <c r="BG52" s="173">
        <f t="shared" ca="1" si="25"/>
        <v>0</v>
      </c>
      <c r="BH52" s="173">
        <f t="shared" ca="1" si="25"/>
        <v>0</v>
      </c>
      <c r="BI52" s="173">
        <f t="shared" ca="1" si="25"/>
        <v>0</v>
      </c>
    </row>
    <row r="53" spans="1:61" ht="13.8" x14ac:dyDescent="0.25">
      <c r="A53" s="223"/>
      <c r="B53" s="224"/>
      <c r="C53" s="224"/>
      <c r="D53" s="224"/>
      <c r="E53" s="225"/>
      <c r="F53" s="348"/>
      <c r="G53" s="349" t="str">
        <f t="shared" ca="1" si="1"/>
        <v/>
      </c>
      <c r="H53" s="350"/>
      <c r="I53" s="350"/>
      <c r="J53" s="191"/>
      <c r="K53" s="191"/>
      <c r="AF53" s="169">
        <f t="shared" si="2"/>
        <v>0</v>
      </c>
      <c r="AG53" s="169" t="str">
        <f t="shared" si="3"/>
        <v/>
      </c>
      <c r="AH53" s="169" t="str">
        <f t="shared" si="19"/>
        <v/>
      </c>
      <c r="AJ53" s="169" t="e">
        <f t="shared" ca="1" si="20"/>
        <v>#N/A</v>
      </c>
      <c r="AK53" s="169" t="str">
        <f t="shared" ca="1" si="21"/>
        <v/>
      </c>
      <c r="AL53" s="169" t="str">
        <f t="shared" ca="1" si="21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si="5"/>
        <v>99</v>
      </c>
      <c r="AW53" s="168">
        <f>COUNTIF( AV$7:AV53, AV53 )</f>
        <v>4</v>
      </c>
      <c r="AX53" s="208">
        <f t="shared" si="22"/>
        <v>99.4</v>
      </c>
      <c r="AY53" s="168">
        <f t="shared" si="6"/>
        <v>47</v>
      </c>
      <c r="AZ53" s="169"/>
      <c r="BA53" s="169"/>
      <c r="BC53" s="168">
        <f t="shared" ca="1" si="24"/>
        <v>47</v>
      </c>
      <c r="BD53" s="209">
        <f t="shared" ca="1" si="8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ht="13.8" x14ac:dyDescent="0.25">
      <c r="A54" s="223"/>
      <c r="B54" s="224"/>
      <c r="C54" s="224"/>
      <c r="D54" s="224"/>
      <c r="E54" s="225"/>
      <c r="F54" s="348"/>
      <c r="G54" s="349" t="str">
        <f t="shared" ca="1" si="1"/>
        <v/>
      </c>
      <c r="H54" s="350"/>
      <c r="I54" s="350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9"/>
        <v/>
      </c>
      <c r="AJ54" s="169" t="e">
        <f t="shared" ca="1" si="20"/>
        <v>#N/A</v>
      </c>
      <c r="AK54" s="169" t="str">
        <f t="shared" ca="1" si="21"/>
        <v/>
      </c>
      <c r="AL54" s="169" t="str">
        <f t="shared" ca="1" si="21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5"/>
        <v>99</v>
      </c>
      <c r="AW54" s="168">
        <f>COUNTIF( AV$7:AV54, AV54 )</f>
        <v>5</v>
      </c>
      <c r="AX54" s="208">
        <f t="shared" si="22"/>
        <v>99.5</v>
      </c>
      <c r="AY54" s="168">
        <f t="shared" si="6"/>
        <v>48</v>
      </c>
      <c r="AZ54" s="169"/>
      <c r="BA54" s="169"/>
      <c r="BC54" s="168">
        <f t="shared" ca="1" si="24"/>
        <v>48</v>
      </c>
      <c r="BD54" s="209">
        <f t="shared" ca="1" si="8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3.8" x14ac:dyDescent="0.25">
      <c r="A55" s="223"/>
      <c r="B55" s="224"/>
      <c r="C55" s="224"/>
      <c r="D55" s="224"/>
      <c r="E55" s="225"/>
      <c r="F55" s="348"/>
      <c r="G55" s="349" t="str">
        <f t="shared" ca="1" si="1"/>
        <v/>
      </c>
      <c r="H55" s="350"/>
      <c r="I55" s="350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9"/>
        <v/>
      </c>
      <c r="AJ55" s="169" t="e">
        <f t="shared" ca="1" si="20"/>
        <v>#N/A</v>
      </c>
      <c r="AK55" s="169" t="str">
        <f t="shared" ca="1" si="21"/>
        <v/>
      </c>
      <c r="AL55" s="169" t="str">
        <f t="shared" ca="1" si="21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5"/>
        <v>99</v>
      </c>
      <c r="AW55" s="168">
        <f>COUNTIF( AV$7:AV55, AV55 )</f>
        <v>6</v>
      </c>
      <c r="AX55" s="208">
        <f t="shared" si="22"/>
        <v>99.6</v>
      </c>
      <c r="AY55" s="168">
        <f t="shared" si="6"/>
        <v>49</v>
      </c>
      <c r="AZ55" s="169"/>
      <c r="BA55" s="169"/>
      <c r="BC55" s="168">
        <f t="shared" ca="1" si="24"/>
        <v>49</v>
      </c>
      <c r="BD55" s="209">
        <f t="shared" ca="1" si="8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3.8" x14ac:dyDescent="0.25">
      <c r="A56" s="223"/>
      <c r="B56" s="224"/>
      <c r="C56" s="224"/>
      <c r="D56" s="224"/>
      <c r="E56" s="225"/>
      <c r="F56" s="348"/>
      <c r="G56" s="349" t="str">
        <f t="shared" ca="1" si="1"/>
        <v/>
      </c>
      <c r="H56" s="350"/>
      <c r="I56" s="350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9"/>
        <v/>
      </c>
      <c r="AJ56" s="169" t="e">
        <f t="shared" ca="1" si="20"/>
        <v>#N/A</v>
      </c>
      <c r="AK56" s="169" t="str">
        <f t="shared" ca="1" si="21"/>
        <v/>
      </c>
      <c r="AL56" s="169" t="str">
        <f t="shared" ca="1" si="21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5"/>
        <v>99</v>
      </c>
      <c r="AW56" s="168">
        <f>COUNTIF( AV$7:AV56, AV56 )</f>
        <v>7</v>
      </c>
      <c r="AX56" s="208">
        <f t="shared" si="22"/>
        <v>99.7</v>
      </c>
      <c r="AY56" s="168">
        <f t="shared" si="6"/>
        <v>50</v>
      </c>
      <c r="AZ56" s="169"/>
      <c r="BA56" s="169"/>
      <c r="BC56" s="168">
        <f t="shared" ca="1" si="24"/>
        <v>50</v>
      </c>
      <c r="BD56" s="209">
        <f t="shared" ca="1" si="8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8" x14ac:dyDescent="0.25">
      <c r="A57" s="223"/>
      <c r="B57" s="224"/>
      <c r="C57" s="224"/>
      <c r="D57" s="224"/>
      <c r="E57" s="225"/>
      <c r="F57" s="348"/>
      <c r="G57" s="349" t="str">
        <f t="shared" ca="1" si="1"/>
        <v/>
      </c>
      <c r="H57" s="350"/>
      <c r="I57" s="350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9"/>
        <v/>
      </c>
      <c r="AJ57" s="169" t="e">
        <f t="shared" ca="1" si="20"/>
        <v>#N/A</v>
      </c>
      <c r="AK57" s="169" t="str">
        <f t="shared" ca="1" si="21"/>
        <v/>
      </c>
      <c r="AL57" s="169" t="str">
        <f t="shared" ca="1" si="21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5"/>
        <v>99</v>
      </c>
      <c r="AW57" s="168">
        <f>COUNTIF( AV$7:AV57, AV57 )</f>
        <v>8</v>
      </c>
      <c r="AX57" s="208">
        <f t="shared" si="22"/>
        <v>99.8</v>
      </c>
      <c r="AY57" s="168">
        <f t="shared" si="6"/>
        <v>51</v>
      </c>
      <c r="AZ57" s="169"/>
      <c r="BA57" s="169"/>
      <c r="BC57" s="168">
        <f t="shared" ca="1" si="24"/>
        <v>51</v>
      </c>
      <c r="BD57" s="209">
        <f t="shared" ca="1" si="8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8" x14ac:dyDescent="0.25">
      <c r="A58" s="223"/>
      <c r="B58" s="224"/>
      <c r="C58" s="224"/>
      <c r="D58" s="224"/>
      <c r="E58" s="225"/>
      <c r="F58" s="348"/>
      <c r="G58" s="349" t="str">
        <f t="shared" ca="1" si="1"/>
        <v/>
      </c>
      <c r="H58" s="350"/>
      <c r="I58" s="350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9"/>
        <v/>
      </c>
      <c r="AJ58" s="169" t="e">
        <f t="shared" ca="1" si="20"/>
        <v>#N/A</v>
      </c>
      <c r="AK58" s="169" t="str">
        <f t="shared" ca="1" si="21"/>
        <v/>
      </c>
      <c r="AL58" s="169" t="str">
        <f t="shared" ca="1" si="21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5"/>
        <v>99</v>
      </c>
      <c r="AW58" s="168">
        <f>COUNTIF( AV$7:AV58, AV58 )</f>
        <v>9</v>
      </c>
      <c r="AX58" s="208">
        <f t="shared" si="22"/>
        <v>99.9</v>
      </c>
      <c r="AY58" s="168">
        <f t="shared" si="6"/>
        <v>52</v>
      </c>
      <c r="AZ58" s="169"/>
      <c r="BA58" s="169"/>
      <c r="BC58" s="168">
        <f t="shared" ca="1" si="24"/>
        <v>52</v>
      </c>
      <c r="BD58" s="209">
        <f t="shared" ca="1" si="8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8" x14ac:dyDescent="0.25">
      <c r="A59" s="223"/>
      <c r="B59" s="224"/>
      <c r="C59" s="224"/>
      <c r="D59" s="224"/>
      <c r="E59" s="225" t="str">
        <f t="shared" ca="1" si="9"/>
        <v/>
      </c>
      <c r="F59" s="348"/>
      <c r="G59" s="349" t="str">
        <f t="shared" ca="1" si="1"/>
        <v/>
      </c>
      <c r="H59" s="350"/>
      <c r="I59" s="350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9"/>
        <v/>
      </c>
      <c r="AJ59" s="169" t="e">
        <f t="shared" ca="1" si="20"/>
        <v>#N/A</v>
      </c>
      <c r="AK59" s="169" t="str">
        <f t="shared" ca="1" si="21"/>
        <v/>
      </c>
      <c r="AL59" s="169" t="str">
        <f t="shared" ca="1" si="21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5"/>
        <v>99</v>
      </c>
      <c r="AW59" s="168">
        <f>COUNTIF( AV$7:AV59, AV59 )</f>
        <v>10</v>
      </c>
      <c r="AX59" s="208">
        <f t="shared" si="22"/>
        <v>100</v>
      </c>
      <c r="AY59" s="168">
        <f t="shared" si="6"/>
        <v>53</v>
      </c>
      <c r="AZ59" s="169"/>
      <c r="BA59" s="169"/>
      <c r="BC59" s="168">
        <f t="shared" ca="1" si="24"/>
        <v>53</v>
      </c>
      <c r="BD59" s="209">
        <f t="shared" ca="1" si="8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" thickBot="1" x14ac:dyDescent="0.3">
      <c r="A60" s="192"/>
      <c r="B60" s="193"/>
      <c r="C60" s="193"/>
      <c r="D60" s="193"/>
      <c r="E60" s="194" t="str">
        <f t="shared" ca="1" si="9"/>
        <v/>
      </c>
      <c r="F60" s="350"/>
      <c r="G60" s="353" t="str">
        <f t="shared" ca="1" si="1"/>
        <v/>
      </c>
      <c r="H60" s="350"/>
      <c r="I60" s="350"/>
      <c r="AF60" s="169">
        <f t="shared" si="2"/>
        <v>0</v>
      </c>
      <c r="AG60" s="169" t="str">
        <f t="shared" si="3"/>
        <v/>
      </c>
      <c r="AH60" s="169" t="str">
        <f t="shared" si="19"/>
        <v/>
      </c>
      <c r="AJ60" s="169" t="e">
        <f t="shared" ca="1" si="20"/>
        <v>#N/A</v>
      </c>
      <c r="AK60" s="169" t="str">
        <f t="shared" ca="1" si="21"/>
        <v/>
      </c>
      <c r="AL60" s="169" t="str">
        <f t="shared" ca="1" si="21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5"/>
        <v>99</v>
      </c>
      <c r="AW60" s="168">
        <f>COUNTIF( AV$7:AV60, AV60 )</f>
        <v>11</v>
      </c>
      <c r="AX60" s="208">
        <f t="shared" si="22"/>
        <v>100.1</v>
      </c>
      <c r="AY60" s="168">
        <f t="shared" si="6"/>
        <v>54</v>
      </c>
      <c r="AZ60" s="169"/>
      <c r="BA60" s="169"/>
      <c r="BC60" s="168">
        <f t="shared" ca="1" si="24"/>
        <v>54</v>
      </c>
      <c r="BD60" s="209">
        <f t="shared" ca="1" si="8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8" x14ac:dyDescent="0.25">
      <c r="A61" s="226" t="s">
        <v>308</v>
      </c>
      <c r="B61" s="227" t="s">
        <v>162</v>
      </c>
      <c r="C61" s="227">
        <v>23</v>
      </c>
      <c r="D61" s="227" t="s">
        <v>309</v>
      </c>
      <c r="E61" s="228" t="str">
        <f t="shared" ca="1" si="9"/>
        <v>R</v>
      </c>
      <c r="F61" s="354"/>
      <c r="G61" s="355">
        <f t="shared" ca="1" si="1"/>
        <v>30</v>
      </c>
      <c r="H61" s="350"/>
      <c r="I61" s="350"/>
      <c r="AF61" s="169">
        <f t="shared" si="2"/>
        <v>1</v>
      </c>
      <c r="AG61" s="169" t="str">
        <f t="shared" ca="1" si="3"/>
        <v/>
      </c>
      <c r="AH61" s="169" t="str">
        <f t="shared" ca="1" si="19"/>
        <v/>
      </c>
      <c r="AJ61" s="169">
        <f t="shared" ca="1" si="20"/>
        <v>61</v>
      </c>
      <c r="AK61" s="169" t="str">
        <f t="shared" ca="1" si="21"/>
        <v>AA-</v>
      </c>
      <c r="AL61" s="169">
        <f t="shared" ca="1" si="21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5"/>
        <v>99</v>
      </c>
      <c r="AW61" s="168">
        <f>COUNTIF( AV$7:AV61, AV61 )</f>
        <v>12</v>
      </c>
      <c r="AX61" s="208">
        <f t="shared" si="22"/>
        <v>100.2</v>
      </c>
      <c r="AY61" s="168">
        <f t="shared" si="6"/>
        <v>55</v>
      </c>
      <c r="AZ61" s="169"/>
      <c r="BA61" s="169"/>
      <c r="BC61" s="168">
        <f t="shared" ca="1" si="24"/>
        <v>55</v>
      </c>
      <c r="BD61" s="209">
        <f t="shared" ca="1" si="8"/>
        <v>55</v>
      </c>
      <c r="BF61" s="173">
        <f ca="1">OFFSET( AQ$6, $BD62, 0 )</f>
        <v>0</v>
      </c>
      <c r="BG61" s="173">
        <f ca="1">OFFSET( AR$6, $BD62, 0 )</f>
        <v>0</v>
      </c>
      <c r="BH61" s="173">
        <f ca="1">OFFSET( AS$6, $BD62, 0 )</f>
        <v>0</v>
      </c>
      <c r="BI61" s="173">
        <f ca="1">OFFSET( AT$6, $BD62, 0 )</f>
        <v>0</v>
      </c>
    </row>
    <row r="62" spans="1:61" ht="13.8" x14ac:dyDescent="0.25">
      <c r="A62" s="223"/>
      <c r="B62" s="224"/>
      <c r="C62" s="224"/>
      <c r="D62" s="224"/>
      <c r="E62" s="225"/>
      <c r="F62" s="348"/>
      <c r="G62" s="349" t="str">
        <f t="shared" ca="1" si="1"/>
        <v/>
      </c>
      <c r="H62" s="350"/>
      <c r="I62" s="350"/>
      <c r="AF62" s="169">
        <f>IF( LEN( C62 ) = 0, 0, IF( C62 = C61, AF61, IF( AF61 = 1, 0, 1 ) ) )</f>
        <v>0</v>
      </c>
      <c r="AG62" s="169" t="str">
        <f t="shared" si="3"/>
        <v/>
      </c>
      <c r="AH62" s="169" t="str">
        <f t="shared" si="19"/>
        <v/>
      </c>
      <c r="AJ62" s="169" t="e">
        <f t="shared" ca="1" si="20"/>
        <v>#N/A</v>
      </c>
      <c r="AK62" s="169" t="str">
        <f t="shared" ca="1" si="21"/>
        <v/>
      </c>
      <c r="AL62" s="169" t="str">
        <f t="shared" ca="1" si="21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5"/>
        <v>99</v>
      </c>
      <c r="AW62" s="168">
        <f>COUNTIF( AV$7:AV62, AV62 )</f>
        <v>13</v>
      </c>
      <c r="AX62" s="208">
        <f t="shared" si="22"/>
        <v>100.3</v>
      </c>
      <c r="AY62" s="168">
        <f t="shared" si="6"/>
        <v>56</v>
      </c>
      <c r="AZ62" s="169"/>
      <c r="BA62" s="169"/>
      <c r="BC62" s="168">
        <f t="shared" ca="1" si="24"/>
        <v>56</v>
      </c>
      <c r="BD62" s="209">
        <f t="shared" ca="1" si="8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/>
      <c r="B63" s="229"/>
      <c r="C63" s="224"/>
      <c r="D63" s="224"/>
      <c r="E63" s="225"/>
      <c r="F63" s="348"/>
      <c r="G63" s="349"/>
      <c r="H63" s="350"/>
      <c r="I63" s="350"/>
      <c r="AF63" s="169">
        <f t="shared" si="2"/>
        <v>0</v>
      </c>
      <c r="AG63" s="169" t="str">
        <f t="shared" si="3"/>
        <v/>
      </c>
      <c r="AH63" s="169" t="str">
        <f t="shared" si="19"/>
        <v/>
      </c>
      <c r="AJ63" s="169" t="e">
        <f t="shared" ca="1" si="20"/>
        <v>#N/A</v>
      </c>
      <c r="AK63" s="169" t="str">
        <f t="shared" ca="1" si="21"/>
        <v/>
      </c>
      <c r="AL63" s="169" t="str">
        <f t="shared" ca="1" si="21"/>
        <v/>
      </c>
      <c r="AM63" s="169" t="str">
        <f t="shared" ca="1" si="4"/>
        <v/>
      </c>
      <c r="AU63" s="207"/>
      <c r="AV63" s="168">
        <f t="shared" si="5"/>
        <v>99</v>
      </c>
      <c r="AW63" s="168">
        <f>COUNTIF( AV$7:AV63, AV63 )</f>
        <v>14</v>
      </c>
      <c r="AX63" s="208">
        <f t="shared" si="22"/>
        <v>100.4</v>
      </c>
      <c r="AY63" s="168">
        <f t="shared" si="6"/>
        <v>57</v>
      </c>
      <c r="AZ63" s="169"/>
      <c r="BA63" s="169"/>
      <c r="BC63" s="168">
        <f t="shared" ca="1" si="24"/>
        <v>57</v>
      </c>
      <c r="BD63" s="209">
        <f t="shared" ca="1" si="8"/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/>
      <c r="B64" s="229"/>
      <c r="C64" s="224"/>
      <c r="D64" s="224"/>
      <c r="E64" s="225"/>
      <c r="F64" s="348"/>
      <c r="G64" s="349"/>
      <c r="H64" s="350"/>
      <c r="I64" s="350"/>
      <c r="AF64" s="169">
        <f t="shared" si="2"/>
        <v>0</v>
      </c>
      <c r="AG64" s="169" t="str">
        <f t="shared" si="3"/>
        <v/>
      </c>
      <c r="AH64" s="169" t="str">
        <f t="shared" si="19"/>
        <v/>
      </c>
      <c r="AJ64" s="169" t="e">
        <f t="shared" ca="1" si="20"/>
        <v>#N/A</v>
      </c>
      <c r="AK64" s="169" t="str">
        <f t="shared" ca="1" si="21"/>
        <v/>
      </c>
      <c r="AL64" s="169" t="str">
        <f t="shared" ca="1" si="21"/>
        <v/>
      </c>
      <c r="AM64" s="169" t="str">
        <f t="shared" ca="1" si="4"/>
        <v/>
      </c>
      <c r="AQ64" s="207" t="s">
        <v>308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61" ht="13.8" x14ac:dyDescent="0.25">
      <c r="A65" s="223"/>
      <c r="B65" s="229"/>
      <c r="C65" s="224"/>
      <c r="D65" s="224"/>
      <c r="E65" s="225"/>
      <c r="F65" s="348"/>
      <c r="G65" s="349"/>
      <c r="H65" s="350"/>
      <c r="I65" s="350"/>
      <c r="N65" s="168" t="s">
        <v>310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9"/>
        <v/>
      </c>
      <c r="AJ65" s="169" t="e">
        <f t="shared" ca="1" si="20"/>
        <v>#N/A</v>
      </c>
      <c r="AK65" s="169" t="str">
        <f t="shared" ca="1" si="21"/>
        <v/>
      </c>
      <c r="AL65" s="169" t="str">
        <f t="shared" ca="1" si="21"/>
        <v/>
      </c>
      <c r="AM65" s="169" t="str">
        <f t="shared" ca="1" si="4"/>
        <v/>
      </c>
      <c r="AU65" s="207"/>
      <c r="AZ65" s="169"/>
      <c r="BA65" s="169"/>
      <c r="BF65" s="169"/>
    </row>
    <row r="66" spans="1:61" ht="13.8" x14ac:dyDescent="0.25">
      <c r="A66" s="195"/>
      <c r="B66" s="196"/>
      <c r="C66" s="185"/>
      <c r="D66" s="185"/>
      <c r="E66" s="182"/>
      <c r="F66" s="350"/>
      <c r="H66" s="350"/>
      <c r="I66" s="350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9"/>
        <v/>
      </c>
      <c r="AJ66" s="169" t="e">
        <f t="shared" ca="1" si="20"/>
        <v>#N/A</v>
      </c>
      <c r="AK66" s="169" t="str">
        <f t="shared" ca="1" si="21"/>
        <v/>
      </c>
      <c r="AL66" s="169" t="str">
        <f t="shared" ca="1" si="21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61" ht="14.4" thickBot="1" x14ac:dyDescent="0.3">
      <c r="A67" s="197"/>
      <c r="B67" s="198"/>
      <c r="C67" s="248"/>
      <c r="D67" s="198"/>
      <c r="E67" s="199"/>
      <c r="F67" s="350"/>
      <c r="H67" s="350"/>
      <c r="I67" s="350"/>
      <c r="AF67" s="169">
        <f t="shared" si="2"/>
        <v>0</v>
      </c>
      <c r="AG67" s="169" t="str">
        <f t="shared" si="26"/>
        <v/>
      </c>
      <c r="AH67" s="169" t="str">
        <f t="shared" si="19"/>
        <v/>
      </c>
      <c r="AJ67" s="169" t="e">
        <f t="shared" ca="1" si="20"/>
        <v>#N/A</v>
      </c>
      <c r="AK67" s="169" t="str">
        <f t="shared" ca="1" si="21"/>
        <v/>
      </c>
      <c r="AL67" s="169" t="str">
        <f t="shared" ca="1" si="21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61" ht="13.8" x14ac:dyDescent="0.25">
      <c r="A68" s="200" t="s">
        <v>311</v>
      </c>
      <c r="B68" s="189" t="str">
        <f ca="1">OFFSET( Scale!$H$5, ROUND( C68, 0 ) - 1, 1 )</f>
        <v>BBB+</v>
      </c>
      <c r="C68" s="201">
        <f>AVERAGE(C7:C65)</f>
        <v>18.818181818181817</v>
      </c>
      <c r="D68" s="201"/>
      <c r="E68" s="201"/>
      <c r="F68" s="350"/>
      <c r="H68" s="350"/>
      <c r="I68" s="350"/>
      <c r="J68" s="351"/>
      <c r="K68" s="351"/>
      <c r="AX68" s="208"/>
      <c r="AZ68" s="169"/>
      <c r="BA68" s="169"/>
      <c r="BD68" s="209"/>
      <c r="BF68" s="169"/>
    </row>
    <row r="69" spans="1:61" x14ac:dyDescent="0.25">
      <c r="A69" s="202"/>
      <c r="B69" s="202"/>
      <c r="F69" s="350"/>
      <c r="H69" s="350"/>
      <c r="I69" s="350"/>
      <c r="AX69" s="208"/>
      <c r="AZ69" s="169"/>
      <c r="BA69" s="169"/>
      <c r="BD69" s="209"/>
    </row>
    <row r="70" spans="1:61" x14ac:dyDescent="0.25">
      <c r="A70" s="202"/>
      <c r="B70" s="202"/>
      <c r="F70" s="173"/>
      <c r="H70" s="173"/>
      <c r="I70" s="173"/>
      <c r="J70" s="351"/>
      <c r="K70" s="351"/>
    </row>
    <row r="71" spans="1:61" x14ac:dyDescent="0.25">
      <c r="A71" s="203" t="s">
        <v>312</v>
      </c>
      <c r="F71" s="173"/>
      <c r="H71" s="173"/>
      <c r="I71" s="173"/>
    </row>
    <row r="72" spans="1:61" x14ac:dyDescent="0.25">
      <c r="A72" s="203" t="s">
        <v>313</v>
      </c>
      <c r="B72" s="173"/>
      <c r="D72" s="173"/>
      <c r="E72" s="173"/>
      <c r="F72" s="204"/>
      <c r="H72" s="204"/>
      <c r="I72" s="204"/>
    </row>
    <row r="73" spans="1:61" x14ac:dyDescent="0.25">
      <c r="A73" s="205" t="s">
        <v>314</v>
      </c>
      <c r="B73" s="173"/>
      <c r="D73" s="173"/>
      <c r="E73" s="173"/>
      <c r="F73" s="204"/>
      <c r="H73" s="204"/>
      <c r="I73" s="204"/>
      <c r="AQ73" s="207"/>
      <c r="AR73" s="207"/>
      <c r="AS73" s="207"/>
    </row>
    <row r="74" spans="1:61" x14ac:dyDescent="0.25">
      <c r="A74" s="203" t="s">
        <v>315</v>
      </c>
      <c r="D74" s="204"/>
      <c r="F74" s="206"/>
      <c r="H74" s="206"/>
      <c r="I74" s="206"/>
      <c r="AQ74" s="207"/>
      <c r="AR74" s="207"/>
      <c r="AS74" s="207"/>
    </row>
    <row r="75" spans="1:61" x14ac:dyDescent="0.25">
      <c r="A75" s="203" t="s">
        <v>316</v>
      </c>
      <c r="D75" s="204"/>
      <c r="F75" s="206"/>
      <c r="H75" s="206"/>
      <c r="I75" s="206"/>
      <c r="AQ75" s="207"/>
      <c r="AR75" s="207"/>
      <c r="AS75" s="207"/>
    </row>
    <row r="76" spans="1:61" x14ac:dyDescent="0.25">
      <c r="A76" s="203"/>
      <c r="AQ76" s="207"/>
      <c r="AR76" s="207"/>
      <c r="AS76" s="207"/>
    </row>
    <row r="77" spans="1:61" x14ac:dyDescent="0.25">
      <c r="C77" s="190">
        <f>SUMPRODUCT( L8:L13, Y8:Y13 ) / L14</f>
        <v>18.84090909090909</v>
      </c>
      <c r="E77" s="191"/>
      <c r="G77" s="353"/>
      <c r="J77" s="173"/>
      <c r="K77" s="173"/>
      <c r="AQ77" s="207"/>
      <c r="AR77" s="207"/>
      <c r="AS77" s="207"/>
      <c r="AT77" s="173"/>
      <c r="BF77" s="173"/>
      <c r="BG77" s="173"/>
      <c r="BH77" s="173"/>
      <c r="BI77" s="173"/>
    </row>
    <row r="78" spans="1:61" s="173" customFormat="1" ht="13.8" x14ac:dyDescent="0.2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168"/>
      <c r="AR78" s="168"/>
      <c r="AS78" s="168"/>
      <c r="AT78" s="168"/>
      <c r="BF78" s="168"/>
      <c r="BG78" s="168"/>
      <c r="BH78" s="168"/>
      <c r="BI78" s="168"/>
    </row>
  </sheetData>
  <sortState ref="AQ7:AT51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379" priority="31" stopIfTrue="1">
      <formula>IF( $AH7 = 1, TRUE, FALSE )</formula>
    </cfRule>
    <cfRule type="expression" dxfId="1378" priority="32" stopIfTrue="1">
      <formula>IF( $AG7 = 1, TRUE, FALSE )</formula>
    </cfRule>
    <cfRule type="expression" dxfId="1377" priority="33" stopIfTrue="1">
      <formula>IF( $AF7 = 1, TRUE, FALSE )</formula>
    </cfRule>
  </conditionalFormatting>
  <conditionalFormatting sqref="A67:E67">
    <cfRule type="expression" dxfId="1376" priority="34" stopIfTrue="1">
      <formula>IF( $AH67 = 1, TRUE, FALSE )</formula>
    </cfRule>
    <cfRule type="expression" dxfId="1375" priority="35" stopIfTrue="1">
      <formula>IF( $AG67 = 1, TRUE, FALSE )</formula>
    </cfRule>
    <cfRule type="expression" dxfId="1374" priority="36" stopIfTrue="1">
      <formula>IF( $AF67 = 1, TRUE, FALSE )</formula>
    </cfRule>
  </conditionalFormatting>
  <conditionalFormatting sqref="A66:E66">
    <cfRule type="expression" dxfId="1373" priority="28" stopIfTrue="1">
      <formula>IF( $AH66 = 1, TRUE, FALSE )</formula>
    </cfRule>
    <cfRule type="expression" dxfId="1372" priority="29" stopIfTrue="1">
      <formula>IF( $AG66 = 1, TRUE, FALSE )</formula>
    </cfRule>
    <cfRule type="expression" dxfId="1371" priority="30" stopIfTrue="1">
      <formula>IF( $AF66 = 1, TRUE, FALSE )</formula>
    </cfRule>
  </conditionalFormatting>
  <conditionalFormatting sqref="A8:D33 B7:D7 A35:D58">
    <cfRule type="expression" dxfId="1370" priority="25" stopIfTrue="1">
      <formula>IF( $AH7 = 1, TRUE, FALSE )</formula>
    </cfRule>
    <cfRule type="expression" dxfId="1369" priority="26" stopIfTrue="1">
      <formula>IF( $AG7 = 1, TRUE, FALSE )</formula>
    </cfRule>
    <cfRule type="expression" dxfId="1368" priority="27" stopIfTrue="1">
      <formula>IF( $AF7 = 1, TRUE, FALSE )</formula>
    </cfRule>
  </conditionalFormatting>
  <conditionalFormatting sqref="A59:D59">
    <cfRule type="expression" dxfId="1367" priority="22" stopIfTrue="1">
      <formula>IF( $AH59 = 1, TRUE, FALSE )</formula>
    </cfRule>
    <cfRule type="expression" dxfId="1366" priority="23" stopIfTrue="1">
      <formula>IF( $AG59 = 1, TRUE, FALSE )</formula>
    </cfRule>
    <cfRule type="expression" dxfId="1365" priority="24" stopIfTrue="1">
      <formula>IF( $AF59 = 1, TRUE, FALSE )</formula>
    </cfRule>
  </conditionalFormatting>
  <conditionalFormatting sqref="A61:D65">
    <cfRule type="expression" dxfId="1364" priority="19" stopIfTrue="1">
      <formula>IF( $AH61 = 1, TRUE, FALSE )</formula>
    </cfRule>
    <cfRule type="expression" dxfId="1363" priority="20" stopIfTrue="1">
      <formula>IF( $AG61 = 1, TRUE, FALSE )</formula>
    </cfRule>
    <cfRule type="expression" dxfId="1362" priority="21" stopIfTrue="1">
      <formula>IF( $AF61 = 1, TRUE, FALSE )</formula>
    </cfRule>
  </conditionalFormatting>
  <conditionalFormatting sqref="U8:U12">
    <cfRule type="cellIs" dxfId="1361" priority="18" operator="equal">
      <formula>0</formula>
    </cfRule>
  </conditionalFormatting>
  <conditionalFormatting sqref="O8:O12 Q8:Q12">
    <cfRule type="cellIs" dxfId="1360" priority="17" operator="equal">
      <formula>0</formula>
    </cfRule>
  </conditionalFormatting>
  <conditionalFormatting sqref="V8:V12">
    <cfRule type="cellIs" dxfId="1359" priority="16" operator="equal">
      <formula>0</formula>
    </cfRule>
  </conditionalFormatting>
  <conditionalFormatting sqref="S8:S12">
    <cfRule type="cellIs" dxfId="1358" priority="14" operator="equal">
      <formula>0</formula>
    </cfRule>
  </conditionalFormatting>
  <conditionalFormatting sqref="R8:R12">
    <cfRule type="cellIs" dxfId="1357" priority="15" operator="equal">
      <formula>0</formula>
    </cfRule>
  </conditionalFormatting>
  <conditionalFormatting sqref="P8:P12">
    <cfRule type="cellIs" dxfId="1356" priority="13" operator="equal">
      <formula>0</formula>
    </cfRule>
  </conditionalFormatting>
  <conditionalFormatting sqref="M8:M12">
    <cfRule type="cellIs" dxfId="1355" priority="12" operator="equal">
      <formula>0</formula>
    </cfRule>
  </conditionalFormatting>
  <conditionalFormatting sqref="T8:T12">
    <cfRule type="cellIs" dxfId="1354" priority="11" operator="equal">
      <formula>0</formula>
    </cfRule>
  </conditionalFormatting>
  <conditionalFormatting sqref="N8:N12">
    <cfRule type="cellIs" dxfId="1353" priority="10" operator="equal">
      <formula>0</formula>
    </cfRule>
  </conditionalFormatting>
  <conditionalFormatting sqref="K8:K12">
    <cfRule type="cellIs" dxfId="1352" priority="9" operator="equal">
      <formula>0</formula>
    </cfRule>
  </conditionalFormatting>
  <conditionalFormatting sqref="I8:I12">
    <cfRule type="cellIs" dxfId="1351" priority="8" operator="equal">
      <formula>0</formula>
    </cfRule>
  </conditionalFormatting>
  <conditionalFormatting sqref="W8:W12">
    <cfRule type="cellIs" dxfId="1350" priority="7" operator="equal">
      <formula>0</formula>
    </cfRule>
  </conditionalFormatting>
  <conditionalFormatting sqref="A7">
    <cfRule type="expression" dxfId="1349" priority="4" stopIfTrue="1">
      <formula>IF( $AH7 = 1, TRUE, FALSE )</formula>
    </cfRule>
    <cfRule type="expression" dxfId="1348" priority="5" stopIfTrue="1">
      <formula>IF( $AG7 = 1, TRUE, FALSE )</formula>
    </cfRule>
    <cfRule type="expression" dxfId="1347" priority="6" stopIfTrue="1">
      <formula>IF( $AF7 = 1, TRUE, FALSE )</formula>
    </cfRule>
  </conditionalFormatting>
  <conditionalFormatting sqref="A34:D34">
    <cfRule type="expression" dxfId="1346" priority="1" stopIfTrue="1">
      <formula>IF( $AH34 = 1, TRUE, FALSE )</formula>
    </cfRule>
    <cfRule type="expression" dxfId="1345" priority="2" stopIfTrue="1">
      <formula>IF( $AG34 = 1, TRUE, FALSE )</formula>
    </cfRule>
    <cfRule type="expression" dxfId="1344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hidden="1" customWidth="1" outlineLevel="1"/>
    <col min="23" max="23" width="2" style="168" hidden="1" customWidth="1" outlineLevel="1"/>
    <col min="24" max="24" width="4.109375" style="168" customWidth="1" collapsed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15.88671875" style="169" hidden="1" customWidth="1" outlineLevel="1" collapsed="1"/>
    <col min="37" max="38" width="15.88671875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-- 2020 Q3</v>
      </c>
      <c r="G1" s="175" t="s">
        <v>195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 x14ac:dyDescent="0.25">
      <c r="A2" s="167"/>
      <c r="E2" s="171" t="str">
        <f>G2</f>
        <v>Reg_Percent_2019</v>
      </c>
      <c r="G2" s="172" t="s">
        <v>323</v>
      </c>
      <c r="AJ2" s="173" t="str">
        <f>AJ4 &amp; AJ3</f>
        <v>'Credit_2020Q2'!d:d</v>
      </c>
      <c r="AK2" s="173" t="str">
        <f>AK4 &amp; AK3</f>
        <v>'Credit_2020Q2'!b1</v>
      </c>
      <c r="AL2" s="173" t="str">
        <f>AL4 &amp; AL3</f>
        <v>'Credit_2020Q2'!c1</v>
      </c>
      <c r="AQ2" s="169"/>
    </row>
    <row r="3" spans="1:61" ht="18" hidden="1" outlineLevel="1" x14ac:dyDescent="0.25">
      <c r="A3" s="167"/>
      <c r="E3" s="174" t="str">
        <f>"'" &amp; E2 &amp; "'!"</f>
        <v>'Reg_Percent_2019'!</v>
      </c>
      <c r="G3" s="168" t="str">
        <f>"'" &amp; G2 &amp; "'!"</f>
        <v>'Reg_Percent_2019'!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205</v>
      </c>
      <c r="AK3" s="149" t="s">
        <v>206</v>
      </c>
      <c r="AL3" s="149" t="s">
        <v>207</v>
      </c>
      <c r="AQ3" s="169"/>
    </row>
    <row r="4" spans="1:61" ht="18" hidden="1" outlineLevel="1" x14ac:dyDescent="0.25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>$AQ$5</f>
        <v>'Credit_2020Q2'!</v>
      </c>
      <c r="AK4" s="169" t="str">
        <f t="shared" ref="AK4:AL4" si="0">$AQ$5</f>
        <v>'Credit_2020Q2'!</v>
      </c>
      <c r="AL4" s="169" t="str">
        <f t="shared" si="0"/>
        <v>'Credit_2020Q2'!</v>
      </c>
      <c r="AQ4" s="169"/>
    </row>
    <row r="5" spans="1:61" ht="13.8" collapsed="1" x14ac:dyDescent="0.25">
      <c r="E5" s="176" t="s">
        <v>209</v>
      </c>
      <c r="G5" s="170" t="s">
        <v>199</v>
      </c>
      <c r="I5" s="230"/>
      <c r="J5" s="389" t="s">
        <v>210</v>
      </c>
      <c r="K5" s="230"/>
      <c r="L5" s="391" t="str">
        <f>"All Companies" &amp; CHAR( 10 ) &amp; "("&amp; L14 &amp; ")"</f>
        <v>All Companies
(44)</v>
      </c>
      <c r="M5" s="391"/>
      <c r="N5" s="230"/>
      <c r="O5" s="389" t="str">
        <f ca="1">"Regulated" &amp; CHAR( 10 ) &amp; "(" &amp; O14 &amp; ")"</f>
        <v>Regulated
(34)</v>
      </c>
      <c r="P5" s="393"/>
      <c r="Q5" s="230"/>
      <c r="R5" s="389" t="str">
        <f ca="1">"Mostly Regulated" &amp; CHAR( 10 ) &amp; "(" &amp; R14 &amp; ")"</f>
        <v>Mostly Regulated
(10)</v>
      </c>
      <c r="S5" s="393"/>
      <c r="T5" s="230"/>
      <c r="U5" s="389" t="str">
        <f ca="1">"Diversified" &amp; CHAR( 10 ) &amp; "(" &amp; U14 &amp; ")"</f>
        <v>Diversified
(0)</v>
      </c>
      <c r="V5" s="393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326</v>
      </c>
    </row>
    <row r="6" spans="1:61" ht="28.5" customHeight="1" x14ac:dyDescent="0.25">
      <c r="A6" s="219" t="s">
        <v>212</v>
      </c>
      <c r="B6" s="220" t="s">
        <v>327</v>
      </c>
      <c r="C6" s="249" t="s">
        <v>214</v>
      </c>
      <c r="D6" s="221"/>
      <c r="E6" s="222">
        <f ca="1">INDIRECT( E3 &amp; G1 )</f>
        <v>43830</v>
      </c>
      <c r="I6" s="231"/>
      <c r="J6" s="390"/>
      <c r="K6" s="231"/>
      <c r="L6" s="392"/>
      <c r="M6" s="392"/>
      <c r="N6" s="231"/>
      <c r="O6" s="390"/>
      <c r="P6" s="390"/>
      <c r="Q6" s="231"/>
      <c r="R6" s="390" t="s">
        <v>136</v>
      </c>
      <c r="S6" s="390"/>
      <c r="T6" s="231"/>
      <c r="U6" s="390"/>
      <c r="V6" s="390"/>
      <c r="W6" s="231"/>
      <c r="AE6" s="178"/>
      <c r="AJ6" s="179"/>
    </row>
    <row r="7" spans="1:61" ht="13.8" x14ac:dyDescent="0.25">
      <c r="A7" s="223" t="s">
        <v>215</v>
      </c>
      <c r="B7" s="224" t="s">
        <v>166</v>
      </c>
      <c r="C7" s="224">
        <v>21</v>
      </c>
      <c r="D7" s="224" t="s">
        <v>216</v>
      </c>
      <c r="E7" s="225" t="str">
        <f ca="1">IF( LEN( $G7 ) = 0, "", OFFSET( INDIRECT( E$3 &amp; E$4 ), $G7 - 1, 0 ) )</f>
        <v>MR</v>
      </c>
      <c r="F7" s="348"/>
      <c r="G7" s="349">
        <f t="shared" ref="G7:G62" ca="1" si="1">IF( LEN( $D7 ) = 0, "", MATCH( $D7, INDIRECT( G$3 &amp; G$4 ), 0 ) )</f>
        <v>56</v>
      </c>
      <c r="H7" s="350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217</v>
      </c>
      <c r="AR7" s="207" t="s">
        <v>141</v>
      </c>
      <c r="AS7" s="207">
        <v>18</v>
      </c>
      <c r="AT7" s="207" t="s">
        <v>218</v>
      </c>
      <c r="AV7" s="168">
        <f t="shared" ref="AV7:AV63" si="5">IF( LEN( AS7 ) = 0, 99, RANK( AS7, $AS$7:$AS$62 ) )</f>
        <v>30</v>
      </c>
      <c r="AW7" s="168">
        <f>COUNTIF( AV7:AV$7, AV7 )</f>
        <v>1</v>
      </c>
      <c r="AX7" s="208">
        <f>AV7 + AW7 / 10</f>
        <v>30.1</v>
      </c>
      <c r="AY7" s="168">
        <f t="shared" ref="AY7:AY63" si="6">RANK( AX7, $AX$7:$AX$63, 1 )</f>
        <v>30</v>
      </c>
      <c r="AZ7" s="169"/>
      <c r="BA7" s="169"/>
      <c r="BC7" s="168">
        <f t="shared" ref="BC7" ca="1" si="7">OFFSET( BC7, -1, 0 ) + 1</f>
        <v>1</v>
      </c>
      <c r="BD7" s="209">
        <f t="shared" ref="BD7:BD63" ca="1" si="8">MATCH( BC7, $AY$7:$AY$63, 0 )</f>
        <v>7</v>
      </c>
      <c r="BF7" s="173" t="str">
        <f ca="1">OFFSET( AQ$6, $BD7, 0 )</f>
        <v>Berkshire Energy Holdings Company</v>
      </c>
      <c r="BG7" s="173" t="str">
        <f ca="1">OFFSET( AR$6, $BD7, 0 )</f>
        <v>A</v>
      </c>
      <c r="BH7" s="173">
        <f ca="1">OFFSET( AS$6, $BD7, 0 )</f>
        <v>21</v>
      </c>
      <c r="BI7" s="173" t="str">
        <f ca="1">OFFSET( AT$6, $BD7, 0 )</f>
        <v>**BRK</v>
      </c>
    </row>
    <row r="8" spans="1:61" ht="13.8" x14ac:dyDescent="0.25">
      <c r="A8" s="223" t="s">
        <v>219</v>
      </c>
      <c r="B8" s="224" t="s">
        <v>139</v>
      </c>
      <c r="C8" s="224">
        <v>20</v>
      </c>
      <c r="D8" s="224" t="s">
        <v>220</v>
      </c>
      <c r="E8" s="225" t="str">
        <f t="shared" ref="E8:E61" ca="1" si="9">IF( LEN( $G8 ) = 0, "", OFFSET( INDIRECT( E$3 &amp; E$4 ), $G8 - 1, 0 ) )</f>
        <v>R</v>
      </c>
      <c r="F8" s="348"/>
      <c r="G8" s="349">
        <f t="shared" ca="1" si="1"/>
        <v>8</v>
      </c>
      <c r="H8" s="350"/>
      <c r="I8" s="233"/>
      <c r="J8" s="213" t="s">
        <v>137</v>
      </c>
      <c r="K8" s="233"/>
      <c r="L8" s="213">
        <f t="shared" ref="L8:L13" si="10">COUNTIF($C$7:$C$67,$X8)</f>
        <v>2</v>
      </c>
      <c r="M8" s="214">
        <f t="shared" ref="M8:M13" si="11">IF( L8 = 0, "", L8/L$14 )</f>
        <v>4.5454545454545456E-2</v>
      </c>
      <c r="N8" s="233"/>
      <c r="O8" s="213">
        <f t="shared" ref="O8:O13" ca="1" si="12">COUNTIFS( $E$7:$E$66, O$3, $C$7:$C$66, $X8 )</f>
        <v>1</v>
      </c>
      <c r="P8" s="214">
        <f t="shared" ref="P8:P13" ca="1" si="13">IF( O8 = 0, "", O8/O$14 )</f>
        <v>2.9411764705882353E-2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0.1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8">SUM(O8, R8, U8)</f>
        <v>2</v>
      </c>
      <c r="AC8" s="351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ref="AJ8:AJ67" ca="1" si="20">MATCH( $D8, INDIRECT( AJ$2 ), 0 )</f>
        <v>8</v>
      </c>
      <c r="AK8" s="169" t="str">
        <f t="shared" ref="AK8:AL67" ca="1" si="21">IF( ISNA( $AJ8 ), "", OFFSET( INDIRECT( AK$2 ), $AJ8-1, 0 ) )</f>
        <v>A-</v>
      </c>
      <c r="AL8" s="169">
        <f t="shared" ca="1" si="21"/>
        <v>20</v>
      </c>
      <c r="AM8" s="169" t="str">
        <f t="shared" ca="1" si="4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si="5"/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si="6"/>
        <v>2</v>
      </c>
      <c r="AZ8" s="169"/>
      <c r="BA8" s="169"/>
      <c r="BC8" s="168">
        <f ca="1">OFFSET( BC8, -1, 0 ) + 1</f>
        <v>2</v>
      </c>
      <c r="BD8" s="209">
        <f t="shared" ca="1" si="8"/>
        <v>2</v>
      </c>
      <c r="BF8" s="173" t="str">
        <f t="shared" ref="BF8:BI50" ca="1" si="23">OFFSET( AQ$6, $BD8, 0 )</f>
        <v>Alliant Energy Corporation</v>
      </c>
      <c r="BG8" s="173" t="str">
        <f t="shared" ca="1" si="23"/>
        <v>A-</v>
      </c>
      <c r="BH8" s="173">
        <f t="shared" ca="1" si="23"/>
        <v>20</v>
      </c>
      <c r="BI8" s="173" t="str">
        <f t="shared" ca="1" si="23"/>
        <v>LNT</v>
      </c>
    </row>
    <row r="9" spans="1:61" ht="13.8" x14ac:dyDescent="0.25">
      <c r="A9" s="223" t="s">
        <v>222</v>
      </c>
      <c r="B9" s="224" t="s">
        <v>139</v>
      </c>
      <c r="C9" s="224">
        <v>20</v>
      </c>
      <c r="D9" s="224" t="s">
        <v>223</v>
      </c>
      <c r="E9" s="225" t="str">
        <f t="shared" ca="1" si="9"/>
        <v>R</v>
      </c>
      <c r="F9" s="348"/>
      <c r="G9" s="349">
        <f t="shared" ca="1" si="1"/>
        <v>10</v>
      </c>
      <c r="H9" s="350"/>
      <c r="I9" s="234"/>
      <c r="J9" s="215" t="s">
        <v>139</v>
      </c>
      <c r="K9" s="234"/>
      <c r="L9" s="215">
        <f t="shared" si="10"/>
        <v>12</v>
      </c>
      <c r="M9" s="216">
        <f t="shared" si="11"/>
        <v>0.27272727272727271</v>
      </c>
      <c r="N9" s="234"/>
      <c r="O9" s="215">
        <f t="shared" ca="1" si="12"/>
        <v>11</v>
      </c>
      <c r="P9" s="216">
        <f t="shared" ca="1" si="13"/>
        <v>0.3235294117647059</v>
      </c>
      <c r="Q9" s="234"/>
      <c r="R9" s="215">
        <f t="shared" ca="1" si="14"/>
        <v>1</v>
      </c>
      <c r="S9" s="216">
        <f t="shared" ca="1" si="15"/>
        <v>0.1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8"/>
        <v>12</v>
      </c>
      <c r="AC9" s="351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9"/>
        <v/>
      </c>
      <c r="AJ9" s="169">
        <f t="shared" ca="1" si="20"/>
        <v>9</v>
      </c>
      <c r="AK9" s="169" t="str">
        <f t="shared" ca="1" si="21"/>
        <v>A-</v>
      </c>
      <c r="AL9" s="169">
        <f t="shared" ca="1" si="21"/>
        <v>20</v>
      </c>
      <c r="AM9" s="169" t="str">
        <f t="shared" ca="1" si="4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si="5"/>
        <v>14</v>
      </c>
      <c r="AW9" s="168">
        <f>COUNTIF( AV$7:AV9, AV9 )</f>
        <v>1</v>
      </c>
      <c r="AX9" s="208">
        <f t="shared" si="22"/>
        <v>14.1</v>
      </c>
      <c r="AY9" s="168">
        <f t="shared" si="6"/>
        <v>14</v>
      </c>
      <c r="AZ9" s="169"/>
      <c r="BA9" s="169"/>
      <c r="BC9" s="168">
        <f t="shared" ref="BC9:BC63" ca="1" si="24">OFFSET( BC9, -1, 0 ) + 1</f>
        <v>3</v>
      </c>
      <c r="BD9" s="209">
        <f t="shared" ca="1" si="8"/>
        <v>4</v>
      </c>
      <c r="BF9" s="173" t="str">
        <f t="shared" ca="1" si="23"/>
        <v>American Electric Power Company, Inc.</v>
      </c>
      <c r="BG9" s="173" t="str">
        <f t="shared" ca="1" si="23"/>
        <v>A-</v>
      </c>
      <c r="BH9" s="173">
        <f t="shared" ca="1" si="23"/>
        <v>20</v>
      </c>
      <c r="BI9" s="173" t="str">
        <f t="shared" ca="1" si="23"/>
        <v>AEP</v>
      </c>
    </row>
    <row r="10" spans="1:61" ht="13.8" x14ac:dyDescent="0.25">
      <c r="A10" s="223" t="s">
        <v>227</v>
      </c>
      <c r="B10" s="224" t="s">
        <v>139</v>
      </c>
      <c r="C10" s="224">
        <v>20</v>
      </c>
      <c r="D10" s="224" t="s">
        <v>228</v>
      </c>
      <c r="E10" s="225" t="str">
        <f t="shared" ca="1" si="9"/>
        <v>R</v>
      </c>
      <c r="F10" s="348"/>
      <c r="G10" s="349">
        <f t="shared" ca="1" si="1"/>
        <v>16</v>
      </c>
      <c r="H10" s="350"/>
      <c r="I10" s="234"/>
      <c r="J10" s="215" t="s">
        <v>140</v>
      </c>
      <c r="K10" s="234"/>
      <c r="L10" s="215">
        <f t="shared" si="10"/>
        <v>16</v>
      </c>
      <c r="M10" s="216">
        <f t="shared" si="11"/>
        <v>0.36363636363636365</v>
      </c>
      <c r="N10" s="234"/>
      <c r="O10" s="215">
        <f t="shared" ca="1" si="12"/>
        <v>10</v>
      </c>
      <c r="P10" s="216">
        <f t="shared" ca="1" si="13"/>
        <v>0.29411764705882354</v>
      </c>
      <c r="Q10" s="234"/>
      <c r="R10" s="215">
        <f t="shared" ca="1" si="14"/>
        <v>6</v>
      </c>
      <c r="S10" s="216">
        <f t="shared" ca="1" si="15"/>
        <v>0.6</v>
      </c>
      <c r="T10" s="234"/>
      <c r="U10" s="215">
        <f t="shared" ca="1" si="16"/>
        <v>0</v>
      </c>
      <c r="V10" s="216" t="str">
        <f t="shared" ca="1" si="17"/>
        <v/>
      </c>
      <c r="W10" s="234"/>
      <c r="X10" s="186" t="s">
        <v>229</v>
      </c>
      <c r="Y10" s="186">
        <v>19</v>
      </c>
      <c r="Z10" s="186">
        <v>1</v>
      </c>
      <c r="AA10" s="185">
        <f t="shared" ca="1" si="18"/>
        <v>16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20"/>
        <v>10</v>
      </c>
      <c r="AK10" s="169" t="str">
        <f t="shared" ca="1" si="21"/>
        <v>A-</v>
      </c>
      <c r="AL10" s="169">
        <f t="shared" ca="1" si="21"/>
        <v>20</v>
      </c>
      <c r="AM10" s="169" t="str">
        <f t="shared" ca="1" si="4"/>
        <v/>
      </c>
      <c r="AQ10" s="207" t="s">
        <v>222</v>
      </c>
      <c r="AR10" s="207" t="s">
        <v>139</v>
      </c>
      <c r="AS10" s="207">
        <v>20</v>
      </c>
      <c r="AT10" s="207" t="s">
        <v>223</v>
      </c>
      <c r="AV10" s="168">
        <f t="shared" si="5"/>
        <v>2</v>
      </c>
      <c r="AW10" s="168">
        <f>COUNTIF( AV$7:AV10, AV10 )</f>
        <v>2</v>
      </c>
      <c r="AX10" s="208">
        <f t="shared" si="22"/>
        <v>2.2000000000000002</v>
      </c>
      <c r="AY10" s="168">
        <f t="shared" si="6"/>
        <v>3</v>
      </c>
      <c r="AZ10" s="169"/>
      <c r="BA10" s="169"/>
      <c r="BC10" s="168">
        <f t="shared" ca="1" si="24"/>
        <v>4</v>
      </c>
      <c r="BD10" s="209">
        <f t="shared" ca="1" si="8"/>
        <v>12</v>
      </c>
      <c r="BF10" s="173" t="str">
        <f t="shared" ca="1" si="23"/>
        <v>Consolidated Edison, Inc.</v>
      </c>
      <c r="BG10" s="173" t="str">
        <f t="shared" ca="1" si="23"/>
        <v>A-</v>
      </c>
      <c r="BH10" s="173">
        <f t="shared" ca="1" si="23"/>
        <v>20</v>
      </c>
      <c r="BI10" s="173" t="str">
        <f t="shared" ca="1" si="23"/>
        <v>ED</v>
      </c>
    </row>
    <row r="11" spans="1:61" ht="13.8" x14ac:dyDescent="0.25">
      <c r="A11" s="223" t="s">
        <v>263</v>
      </c>
      <c r="B11" s="224" t="s">
        <v>139</v>
      </c>
      <c r="C11" s="224">
        <v>20</v>
      </c>
      <c r="D11" s="224" t="s">
        <v>264</v>
      </c>
      <c r="E11" s="225" t="str">
        <f t="shared" ca="1" si="9"/>
        <v>R</v>
      </c>
      <c r="F11" s="348"/>
      <c r="G11" s="349">
        <f t="shared" ca="1" si="1"/>
        <v>19</v>
      </c>
      <c r="H11" s="350"/>
      <c r="I11" s="234"/>
      <c r="J11" s="215" t="s">
        <v>141</v>
      </c>
      <c r="K11" s="234"/>
      <c r="L11" s="215">
        <f t="shared" si="10"/>
        <v>9</v>
      </c>
      <c r="M11" s="216">
        <f t="shared" si="11"/>
        <v>0.20454545454545456</v>
      </c>
      <c r="N11" s="234"/>
      <c r="O11" s="215">
        <f t="shared" ca="1" si="12"/>
        <v>8</v>
      </c>
      <c r="P11" s="216">
        <f t="shared" ca="1" si="13"/>
        <v>0.23529411764705882</v>
      </c>
      <c r="Q11" s="234"/>
      <c r="R11" s="215">
        <f t="shared" ca="1" si="14"/>
        <v>1</v>
      </c>
      <c r="S11" s="216">
        <f t="shared" ca="1" si="15"/>
        <v>0.1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8"/>
        <v>9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20"/>
        <v>11</v>
      </c>
      <c r="AK11" s="169" t="str">
        <f t="shared" ca="1" si="21"/>
        <v>A-</v>
      </c>
      <c r="AL11" s="169">
        <f t="shared" ca="1" si="21"/>
        <v>20</v>
      </c>
      <c r="AM11" s="169" t="str">
        <f t="shared" ca="1" si="4"/>
        <v/>
      </c>
      <c r="AQ11" s="207" t="s">
        <v>233</v>
      </c>
      <c r="AR11" s="207" t="s">
        <v>140</v>
      </c>
      <c r="AS11" s="207">
        <v>19</v>
      </c>
      <c r="AT11" s="207" t="s">
        <v>234</v>
      </c>
      <c r="AV11" s="168">
        <f t="shared" si="5"/>
        <v>14</v>
      </c>
      <c r="AW11" s="168">
        <f>COUNTIF( AV$7:AV11, AV11 )</f>
        <v>2</v>
      </c>
      <c r="AX11" s="208">
        <f t="shared" si="22"/>
        <v>14.2</v>
      </c>
      <c r="AY11" s="168">
        <f t="shared" si="6"/>
        <v>15</v>
      </c>
      <c r="AZ11" s="169"/>
      <c r="BA11" s="169"/>
      <c r="BC11" s="168">
        <f t="shared" ca="1" si="24"/>
        <v>5</v>
      </c>
      <c r="BD11" s="209">
        <f t="shared" ca="1" si="8"/>
        <v>16</v>
      </c>
      <c r="BF11" s="173" t="str">
        <f t="shared" ca="1" si="23"/>
        <v>Duke Energy Corporation</v>
      </c>
      <c r="BG11" s="173" t="str">
        <f t="shared" ca="1" si="23"/>
        <v>A-</v>
      </c>
      <c r="BH11" s="173">
        <f t="shared" ca="1" si="23"/>
        <v>20</v>
      </c>
      <c r="BI11" s="173" t="str">
        <f t="shared" ca="1" si="23"/>
        <v>DUK</v>
      </c>
    </row>
    <row r="12" spans="1:61" ht="13.8" x14ac:dyDescent="0.25">
      <c r="A12" s="223" t="s">
        <v>230</v>
      </c>
      <c r="B12" s="224" t="s">
        <v>139</v>
      </c>
      <c r="C12" s="224">
        <v>20</v>
      </c>
      <c r="D12" s="224" t="s">
        <v>231</v>
      </c>
      <c r="E12" s="225" t="str">
        <f t="shared" ca="1" si="9"/>
        <v>R</v>
      </c>
      <c r="F12" s="348"/>
      <c r="G12" s="349">
        <f t="shared" ca="1" si="1"/>
        <v>23</v>
      </c>
      <c r="H12" s="350"/>
      <c r="I12" s="234"/>
      <c r="J12" s="215" t="s">
        <v>142</v>
      </c>
      <c r="K12" s="234"/>
      <c r="L12" s="215">
        <f t="shared" si="10"/>
        <v>3</v>
      </c>
      <c r="M12" s="216">
        <f t="shared" si="11"/>
        <v>6.8181818181818177E-2</v>
      </c>
      <c r="N12" s="234"/>
      <c r="O12" s="215">
        <f t="shared" ca="1" si="12"/>
        <v>2</v>
      </c>
      <c r="P12" s="216">
        <f t="shared" ca="1" si="13"/>
        <v>5.8823529411764705E-2</v>
      </c>
      <c r="Q12" s="234"/>
      <c r="R12" s="215">
        <f t="shared" ca="1" si="14"/>
        <v>1</v>
      </c>
      <c r="S12" s="216">
        <f t="shared" ca="1" si="15"/>
        <v>0.1</v>
      </c>
      <c r="T12" s="234"/>
      <c r="U12" s="215">
        <f t="shared" ca="1" si="16"/>
        <v>0</v>
      </c>
      <c r="V12" s="216" t="str">
        <f t="shared" ca="1" si="17"/>
        <v/>
      </c>
      <c r="W12" s="234"/>
      <c r="X12" s="186" t="s">
        <v>237</v>
      </c>
      <c r="Y12" s="186">
        <v>17</v>
      </c>
      <c r="Z12" s="186">
        <v>1</v>
      </c>
      <c r="AA12" s="185">
        <f t="shared" ca="1" si="18"/>
        <v>3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20"/>
        <v>12</v>
      </c>
      <c r="AK12" s="169" t="str">
        <f t="shared" ca="1" si="21"/>
        <v>A-</v>
      </c>
      <c r="AL12" s="169">
        <f t="shared" ca="1" si="21"/>
        <v>20</v>
      </c>
      <c r="AM12" s="169" t="str">
        <f t="shared" ca="1" si="4"/>
        <v/>
      </c>
      <c r="AQ12" s="207" t="s">
        <v>238</v>
      </c>
      <c r="AR12" s="207" t="s">
        <v>141</v>
      </c>
      <c r="AS12" s="207">
        <v>18</v>
      </c>
      <c r="AT12" s="207" t="s">
        <v>239</v>
      </c>
      <c r="AV12" s="168">
        <f t="shared" si="5"/>
        <v>30</v>
      </c>
      <c r="AW12" s="168">
        <f>COUNTIF( AV$7:AV12, AV12 )</f>
        <v>2</v>
      </c>
      <c r="AX12" s="208">
        <f t="shared" si="22"/>
        <v>30.2</v>
      </c>
      <c r="AY12" s="168">
        <f t="shared" si="6"/>
        <v>31</v>
      </c>
      <c r="AZ12" s="169"/>
      <c r="BA12" s="169"/>
      <c r="BC12" s="168">
        <f t="shared" ca="1" si="24"/>
        <v>6</v>
      </c>
      <c r="BD12" s="209">
        <f t="shared" ca="1" si="8"/>
        <v>20</v>
      </c>
      <c r="BF12" s="173" t="str">
        <f t="shared" ca="1" si="23"/>
        <v>Evergy, Inc.</v>
      </c>
      <c r="BG12" s="173" t="str">
        <f t="shared" ca="1" si="23"/>
        <v>A-</v>
      </c>
      <c r="BH12" s="173">
        <f t="shared" ca="1" si="23"/>
        <v>20</v>
      </c>
      <c r="BI12" s="173" t="str">
        <f t="shared" ca="1" si="23"/>
        <v>EVRG</v>
      </c>
    </row>
    <row r="13" spans="1:61" ht="13.8" x14ac:dyDescent="0.25">
      <c r="A13" s="223" t="s">
        <v>235</v>
      </c>
      <c r="B13" s="224" t="s">
        <v>139</v>
      </c>
      <c r="C13" s="224">
        <v>20</v>
      </c>
      <c r="D13" s="224" t="s">
        <v>236</v>
      </c>
      <c r="E13" s="225" t="str">
        <f t="shared" ca="1" si="9"/>
        <v>R</v>
      </c>
      <c r="F13" s="348"/>
      <c r="G13" s="349">
        <f t="shared" ca="1" si="1"/>
        <v>24</v>
      </c>
      <c r="H13" s="350"/>
      <c r="I13" s="235"/>
      <c r="J13" s="217" t="s">
        <v>143</v>
      </c>
      <c r="K13" s="235"/>
      <c r="L13" s="217">
        <f t="shared" si="10"/>
        <v>2</v>
      </c>
      <c r="M13" s="218">
        <f t="shared" si="11"/>
        <v>4.5454545454545456E-2</v>
      </c>
      <c r="N13" s="235"/>
      <c r="O13" s="217">
        <f t="shared" ca="1" si="12"/>
        <v>2</v>
      </c>
      <c r="P13" s="218">
        <f t="shared" ca="1" si="13"/>
        <v>5.8823529411764705E-2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0</v>
      </c>
      <c r="V13" s="218" t="str">
        <f t="shared" ca="1" si="17"/>
        <v/>
      </c>
      <c r="W13" s="235"/>
      <c r="X13" s="186" t="s">
        <v>242</v>
      </c>
      <c r="Y13" s="186">
        <v>16</v>
      </c>
      <c r="Z13" s="186">
        <v>1</v>
      </c>
      <c r="AA13" s="188">
        <f t="shared" ca="1" si="18"/>
        <v>2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9"/>
        <v/>
      </c>
      <c r="AJ13" s="169">
        <f t="shared" ca="1" si="20"/>
        <v>13</v>
      </c>
      <c r="AK13" s="169" t="str">
        <f t="shared" ca="1" si="21"/>
        <v>A-</v>
      </c>
      <c r="AL13" s="169">
        <f t="shared" ca="1" si="21"/>
        <v>20</v>
      </c>
      <c r="AM13" s="169" t="str">
        <f t="shared" ca="1" si="4"/>
        <v/>
      </c>
      <c r="AQ13" s="207" t="s">
        <v>215</v>
      </c>
      <c r="AR13" s="207" t="s">
        <v>166</v>
      </c>
      <c r="AS13" s="207">
        <v>21</v>
      </c>
      <c r="AT13" s="207" t="s">
        <v>216</v>
      </c>
      <c r="AV13" s="168">
        <f t="shared" si="5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6"/>
        <v>1</v>
      </c>
      <c r="AZ13" s="169"/>
      <c r="BA13" s="169"/>
      <c r="BC13" s="168">
        <f t="shared" ca="1" si="24"/>
        <v>7</v>
      </c>
      <c r="BD13" s="209">
        <f t="shared" ca="1" si="8"/>
        <v>21</v>
      </c>
      <c r="BF13" s="173" t="str">
        <f t="shared" ca="1" si="23"/>
        <v>Eversource Energy</v>
      </c>
      <c r="BG13" s="173" t="str">
        <f t="shared" ca="1" si="23"/>
        <v>A-</v>
      </c>
      <c r="BH13" s="173">
        <f t="shared" ca="1" si="23"/>
        <v>20</v>
      </c>
      <c r="BI13" s="173" t="str">
        <f t="shared" ca="1" si="23"/>
        <v>ES</v>
      </c>
    </row>
    <row r="14" spans="1:61" ht="13.8" x14ac:dyDescent="0.25">
      <c r="A14" s="223" t="s">
        <v>240</v>
      </c>
      <c r="B14" s="224" t="s">
        <v>139</v>
      </c>
      <c r="C14" s="224">
        <v>20</v>
      </c>
      <c r="D14" s="224" t="s">
        <v>241</v>
      </c>
      <c r="E14" s="225" t="str">
        <f t="shared" ca="1" si="9"/>
        <v>MR</v>
      </c>
      <c r="F14" s="348"/>
      <c r="G14" s="349">
        <f t="shared" ca="1" si="1"/>
        <v>31</v>
      </c>
      <c r="H14" s="350"/>
      <c r="I14" s="236"/>
      <c r="J14" s="211" t="s">
        <v>144</v>
      </c>
      <c r="K14" s="236"/>
      <c r="L14" s="211">
        <f>SUM(L8:L13)</f>
        <v>44</v>
      </c>
      <c r="M14" s="212">
        <f>L14/L$14</f>
        <v>1</v>
      </c>
      <c r="N14" s="236"/>
      <c r="O14" s="211">
        <f ca="1">SUM(O8:O13)</f>
        <v>34</v>
      </c>
      <c r="P14" s="212">
        <f ca="1">O14/O$14</f>
        <v>1</v>
      </c>
      <c r="Q14" s="236"/>
      <c r="R14" s="211">
        <f ca="1">SUM(R8:R13)</f>
        <v>10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18.886363636363637</v>
      </c>
      <c r="Z14" s="190"/>
      <c r="AA14" s="189">
        <f ca="1">SUM(AA8:AA13)</f>
        <v>44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20"/>
        <v>14</v>
      </c>
      <c r="AK14" s="169" t="str">
        <f t="shared" ca="1" si="21"/>
        <v>A-</v>
      </c>
      <c r="AL14" s="169">
        <f t="shared" ca="1" si="21"/>
        <v>20</v>
      </c>
      <c r="AM14" s="169" t="str">
        <f t="shared" ca="1" si="4"/>
        <v/>
      </c>
      <c r="AQ14" s="207" t="s">
        <v>245</v>
      </c>
      <c r="AR14" s="207" t="s">
        <v>140</v>
      </c>
      <c r="AS14" s="207">
        <v>19</v>
      </c>
      <c r="AT14" s="207" t="s">
        <v>246</v>
      </c>
      <c r="AV14" s="168">
        <f t="shared" si="5"/>
        <v>14</v>
      </c>
      <c r="AW14" s="168">
        <f>COUNTIF( AV$7:AV14, AV14 )</f>
        <v>3</v>
      </c>
      <c r="AX14" s="208">
        <f t="shared" si="22"/>
        <v>14.3</v>
      </c>
      <c r="AY14" s="168">
        <f t="shared" si="6"/>
        <v>16</v>
      </c>
      <c r="AZ14" s="169"/>
      <c r="BA14" s="169"/>
      <c r="BC14" s="168">
        <f t="shared" ca="1" si="24"/>
        <v>8</v>
      </c>
      <c r="BD14" s="209">
        <f t="shared" ca="1" si="8"/>
        <v>28</v>
      </c>
      <c r="BF14" s="173" t="str">
        <f t="shared" ca="1" si="23"/>
        <v>NextEra Energy, Inc.</v>
      </c>
      <c r="BG14" s="173" t="str">
        <f t="shared" ca="1" si="23"/>
        <v>A-</v>
      </c>
      <c r="BH14" s="173">
        <f t="shared" ca="1" si="23"/>
        <v>20</v>
      </c>
      <c r="BI14" s="173" t="str">
        <f t="shared" ca="1" si="23"/>
        <v>NEE</v>
      </c>
    </row>
    <row r="15" spans="1:61" ht="13.8" x14ac:dyDescent="0.25">
      <c r="A15" s="223" t="s">
        <v>281</v>
      </c>
      <c r="B15" s="224" t="s">
        <v>139</v>
      </c>
      <c r="C15" s="224">
        <v>20</v>
      </c>
      <c r="D15" s="224" t="s">
        <v>282</v>
      </c>
      <c r="E15" s="225" t="str">
        <f t="shared" ca="1" si="9"/>
        <v>R</v>
      </c>
      <c r="F15" s="348"/>
      <c r="G15" s="349">
        <f t="shared" ca="1" si="1"/>
        <v>37</v>
      </c>
      <c r="H15" s="350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9"/>
        <v/>
      </c>
      <c r="AJ15" s="169">
        <f t="shared" ca="1" si="20"/>
        <v>15</v>
      </c>
      <c r="AK15" s="169" t="str">
        <f t="shared" ca="1" si="21"/>
        <v>A-</v>
      </c>
      <c r="AL15" s="169">
        <f t="shared" ca="1" si="21"/>
        <v>20</v>
      </c>
      <c r="AM15" s="169" t="str">
        <f t="shared" ca="1" si="4"/>
        <v/>
      </c>
      <c r="AQ15" s="207" t="s">
        <v>249</v>
      </c>
      <c r="AR15" s="207" t="s">
        <v>140</v>
      </c>
      <c r="AS15" s="207">
        <v>19</v>
      </c>
      <c r="AT15" s="207" t="s">
        <v>250</v>
      </c>
      <c r="AV15" s="168">
        <f t="shared" si="5"/>
        <v>14</v>
      </c>
      <c r="AW15" s="168">
        <f>COUNTIF( AV$7:AV15, AV15 )</f>
        <v>4</v>
      </c>
      <c r="AX15" s="208">
        <f t="shared" si="22"/>
        <v>14.4</v>
      </c>
      <c r="AY15" s="168">
        <f t="shared" si="6"/>
        <v>17</v>
      </c>
      <c r="AZ15" s="169"/>
      <c r="BA15" s="169"/>
      <c r="BC15" s="168">
        <f t="shared" ca="1" si="24"/>
        <v>9</v>
      </c>
      <c r="BD15" s="209">
        <f t="shared" ca="1" si="8"/>
        <v>34</v>
      </c>
      <c r="BF15" s="173" t="str">
        <f t="shared" ca="1" si="23"/>
        <v>Pinnacle West Capital Corporation</v>
      </c>
      <c r="BG15" s="173" t="str">
        <f t="shared" ca="1" si="23"/>
        <v>A-</v>
      </c>
      <c r="BH15" s="173">
        <f t="shared" ca="1" si="23"/>
        <v>20</v>
      </c>
      <c r="BI15" s="173" t="str">
        <f t="shared" ca="1" si="23"/>
        <v>PNW</v>
      </c>
    </row>
    <row r="16" spans="1:61" ht="13.8" x14ac:dyDescent="0.25">
      <c r="A16" s="223" t="s">
        <v>243</v>
      </c>
      <c r="B16" s="224" t="s">
        <v>139</v>
      </c>
      <c r="C16" s="224">
        <v>20</v>
      </c>
      <c r="D16" s="224" t="s">
        <v>244</v>
      </c>
      <c r="E16" s="225" t="str">
        <f t="shared" ca="1" si="9"/>
        <v>R</v>
      </c>
      <c r="F16" s="348"/>
      <c r="G16" s="349">
        <f t="shared" ca="1" si="1"/>
        <v>40</v>
      </c>
      <c r="H16" s="350"/>
      <c r="I16" s="232"/>
      <c r="J16" s="210" t="s">
        <v>253</v>
      </c>
      <c r="K16" s="232"/>
      <c r="L16" s="386">
        <f t="array" ref="L16">SUM( IF( LEN( $C$7:$C$65 ) = 0, 0, $C$7:$C$65 ) ) / SUM( IF( LEN( $C$7:$C$65 ) = 0, 0, 1  ) )</f>
        <v>18.863636363636363</v>
      </c>
      <c r="M16" s="387"/>
      <c r="N16" s="232"/>
      <c r="O16" s="386">
        <f t="array" aca="1" ref="O16" ca="1">SUM( IF( LEN( $C$7:$C$65 ) = 0, 0, IF( $E$7:$E$65 = O3, $C$7:$C$65, 0 ) ) ) / SUM( IF( LEN( $C$7:$C$65 ) = 0, 0, IF( $E$7:$E$65 = O3, 1, 0 ) ) )</f>
        <v>18.823529411764707</v>
      </c>
      <c r="P16" s="387"/>
      <c r="Q16" s="232"/>
      <c r="R16" s="386">
        <f t="array" aca="1" ref="R16" ca="1">SUM( IF( LEN( $C$7:$C$65 ) = 0, 0, IF( $E$7:$E$65 = R3, $C$7:$C$65, 0 ) ) ) / SUM( IF( LEN( $C$7:$C$65 ) = 0, 0, IF( $E$7:$E$65 = R3, 1, 0 ) ) )</f>
        <v>19</v>
      </c>
      <c r="S16" s="387"/>
      <c r="T16" s="232"/>
      <c r="U16" s="386" t="e">
        <f t="array" aca="1" ref="U16" ca="1">SUM( IF( LEN( $C$7:$C$65 ) = 0, 0, IF( $E$7:$E$65 = U3, $C$7:$C$65, 0 ) ) ) / SUM( IF( LEN( $C$7:$C$65 ) = 0, 0, IF( $E$7:$E$65 = U3, 1, 0 ) ) )</f>
        <v>#DIV/0!</v>
      </c>
      <c r="V16" s="388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9"/>
        <v/>
      </c>
      <c r="AJ16" s="169">
        <f t="shared" ca="1" si="20"/>
        <v>16</v>
      </c>
      <c r="AK16" s="169" t="str">
        <f t="shared" ca="1" si="21"/>
        <v>A-</v>
      </c>
      <c r="AL16" s="169">
        <f t="shared" ca="1" si="21"/>
        <v>20</v>
      </c>
      <c r="AM16" s="169" t="str">
        <f t="shared" ca="1" si="4"/>
        <v/>
      </c>
      <c r="AQ16" s="207" t="s">
        <v>254</v>
      </c>
      <c r="AR16" s="207" t="s">
        <v>142</v>
      </c>
      <c r="AS16" s="207">
        <v>17</v>
      </c>
      <c r="AT16" s="207" t="s">
        <v>255</v>
      </c>
      <c r="AV16" s="168">
        <f t="shared" si="5"/>
        <v>39</v>
      </c>
      <c r="AW16" s="168">
        <f>COUNTIF( AV$7:AV16, AV16 )</f>
        <v>1</v>
      </c>
      <c r="AX16" s="208">
        <f t="shared" si="22"/>
        <v>39.1</v>
      </c>
      <c r="AY16" s="168">
        <f t="shared" si="6"/>
        <v>39</v>
      </c>
      <c r="AZ16" s="169"/>
      <c r="BA16" s="169"/>
      <c r="BC16" s="168">
        <f t="shared" ca="1" si="24"/>
        <v>10</v>
      </c>
      <c r="BD16" s="209">
        <f t="shared" ca="1" si="8"/>
        <v>37</v>
      </c>
      <c r="BF16" s="173" t="str">
        <f t="shared" ca="1" si="23"/>
        <v>PPL Corporation</v>
      </c>
      <c r="BG16" s="173" t="str">
        <f t="shared" ca="1" si="23"/>
        <v>A-</v>
      </c>
      <c r="BH16" s="173">
        <f t="shared" ca="1" si="23"/>
        <v>20</v>
      </c>
      <c r="BI16" s="173" t="str">
        <f t="shared" ca="1" si="23"/>
        <v>PPL</v>
      </c>
    </row>
    <row r="17" spans="1:61" ht="13.8" x14ac:dyDescent="0.25">
      <c r="A17" s="223" t="s">
        <v>293</v>
      </c>
      <c r="B17" s="224" t="s">
        <v>139</v>
      </c>
      <c r="C17" s="224">
        <v>20</v>
      </c>
      <c r="D17" s="224" t="s">
        <v>294</v>
      </c>
      <c r="E17" s="225" t="str">
        <f t="shared" ca="1" si="9"/>
        <v>R</v>
      </c>
      <c r="F17" s="348"/>
      <c r="G17" s="349">
        <f t="shared" ca="1" si="1"/>
        <v>43</v>
      </c>
      <c r="H17" s="350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9"/>
        <v/>
      </c>
      <c r="AJ17" s="169">
        <f t="shared" ca="1" si="20"/>
        <v>17</v>
      </c>
      <c r="AK17" s="169" t="str">
        <f t="shared" ca="1" si="21"/>
        <v>A-</v>
      </c>
      <c r="AL17" s="169">
        <f t="shared" ca="1" si="21"/>
        <v>20</v>
      </c>
      <c r="AM17" s="169" t="str">
        <f t="shared" ca="1" si="4"/>
        <v/>
      </c>
      <c r="AQ17" s="207" t="s">
        <v>256</v>
      </c>
      <c r="AR17" s="207" t="s">
        <v>140</v>
      </c>
      <c r="AS17" s="207">
        <v>19</v>
      </c>
      <c r="AT17" s="207" t="s">
        <v>257</v>
      </c>
      <c r="AV17" s="168">
        <f t="shared" si="5"/>
        <v>14</v>
      </c>
      <c r="AW17" s="168">
        <f>COUNTIF( AV$7:AV17, AV17 )</f>
        <v>5</v>
      </c>
      <c r="AX17" s="208">
        <f t="shared" si="22"/>
        <v>14.5</v>
      </c>
      <c r="AY17" s="168">
        <f t="shared" si="6"/>
        <v>18</v>
      </c>
      <c r="AZ17" s="169"/>
      <c r="BA17" s="169"/>
      <c r="BC17" s="168">
        <f t="shared" ca="1" si="24"/>
        <v>11</v>
      </c>
      <c r="BD17" s="209">
        <f t="shared" ca="1" si="8"/>
        <v>41</v>
      </c>
      <c r="BF17" s="173" t="str">
        <f t="shared" ca="1" si="23"/>
        <v>Southern Company</v>
      </c>
      <c r="BG17" s="173" t="str">
        <f t="shared" ca="1" si="23"/>
        <v>A-</v>
      </c>
      <c r="BH17" s="173">
        <f t="shared" ca="1" si="23"/>
        <v>20</v>
      </c>
      <c r="BI17" s="173" t="str">
        <f t="shared" ca="1" si="23"/>
        <v>SO</v>
      </c>
    </row>
    <row r="18" spans="1:61" ht="13.8" x14ac:dyDescent="0.25">
      <c r="A18" s="223" t="s">
        <v>247</v>
      </c>
      <c r="B18" s="224" t="s">
        <v>139</v>
      </c>
      <c r="C18" s="224">
        <v>20</v>
      </c>
      <c r="D18" s="224" t="s">
        <v>248</v>
      </c>
      <c r="E18" s="225" t="str">
        <f t="shared" ca="1" si="9"/>
        <v>R</v>
      </c>
      <c r="F18" s="348"/>
      <c r="G18" s="349">
        <f t="shared" ca="1" si="1"/>
        <v>45</v>
      </c>
      <c r="H18" s="350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9"/>
        <v/>
      </c>
      <c r="AJ18" s="169">
        <f t="shared" ca="1" si="20"/>
        <v>18</v>
      </c>
      <c r="AK18" s="169" t="str">
        <f t="shared" ca="1" si="21"/>
        <v>A-</v>
      </c>
      <c r="AL18" s="169">
        <f t="shared" ca="1" si="21"/>
        <v>20</v>
      </c>
      <c r="AM18" s="169" t="str">
        <f t="shared" ca="1" si="4"/>
        <v/>
      </c>
      <c r="AQ18" s="207" t="s">
        <v>227</v>
      </c>
      <c r="AR18" s="207" t="s">
        <v>139</v>
      </c>
      <c r="AS18" s="207">
        <v>20</v>
      </c>
      <c r="AT18" s="207" t="s">
        <v>228</v>
      </c>
      <c r="AV18" s="168">
        <f t="shared" si="5"/>
        <v>2</v>
      </c>
      <c r="AW18" s="168">
        <f>COUNTIF( AV$7:AV18, AV18 )</f>
        <v>3</v>
      </c>
      <c r="AX18" s="208">
        <f t="shared" si="22"/>
        <v>2.2999999999999998</v>
      </c>
      <c r="AY18" s="168">
        <f t="shared" si="6"/>
        <v>4</v>
      </c>
      <c r="AZ18" s="169"/>
      <c r="BA18" s="169"/>
      <c r="BC18" s="168">
        <f t="shared" ca="1" si="24"/>
        <v>12</v>
      </c>
      <c r="BD18" s="209">
        <f t="shared" ca="1" si="8"/>
        <v>43</v>
      </c>
      <c r="BF18" s="173" t="str">
        <f t="shared" ca="1" si="23"/>
        <v>Wisconsin Energy Corporation</v>
      </c>
      <c r="BG18" s="173" t="str">
        <f t="shared" ca="1" si="23"/>
        <v>A-</v>
      </c>
      <c r="BH18" s="173">
        <f t="shared" ca="1" si="23"/>
        <v>20</v>
      </c>
      <c r="BI18" s="173" t="str">
        <f t="shared" ca="1" si="23"/>
        <v>WEC</v>
      </c>
    </row>
    <row r="19" spans="1:61" ht="13.8" x14ac:dyDescent="0.25">
      <c r="A19" s="223" t="s">
        <v>251</v>
      </c>
      <c r="B19" s="224" t="s">
        <v>139</v>
      </c>
      <c r="C19" s="224">
        <v>20</v>
      </c>
      <c r="D19" s="224" t="s">
        <v>252</v>
      </c>
      <c r="E19" s="225" t="str">
        <f t="shared" ca="1" si="9"/>
        <v>R</v>
      </c>
      <c r="F19" s="348"/>
      <c r="G19" s="349">
        <f t="shared" ca="1" si="1"/>
        <v>46</v>
      </c>
      <c r="H19" s="350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9"/>
        <v/>
      </c>
      <c r="AJ19" s="169">
        <f t="shared" ca="1" si="20"/>
        <v>19</v>
      </c>
      <c r="AK19" s="169" t="str">
        <f t="shared" ca="1" si="21"/>
        <v>A-</v>
      </c>
      <c r="AL19" s="169">
        <f t="shared" ca="1" si="21"/>
        <v>20</v>
      </c>
      <c r="AM19" s="169" t="str">
        <f t="shared" ca="1" si="4"/>
        <v/>
      </c>
      <c r="AQ19" s="207" t="s">
        <v>258</v>
      </c>
      <c r="AR19" s="207" t="s">
        <v>140</v>
      </c>
      <c r="AS19" s="207">
        <v>19</v>
      </c>
      <c r="AT19" s="207" t="s">
        <v>194</v>
      </c>
      <c r="AV19" s="168">
        <f t="shared" si="5"/>
        <v>14</v>
      </c>
      <c r="AW19" s="168">
        <f>COUNTIF( AV$7:AV19, AV19 )</f>
        <v>6</v>
      </c>
      <c r="AX19" s="208">
        <f t="shared" si="22"/>
        <v>14.6</v>
      </c>
      <c r="AY19" s="168">
        <f t="shared" si="6"/>
        <v>19</v>
      </c>
      <c r="AZ19" s="169"/>
      <c r="BA19" s="169"/>
      <c r="BC19" s="168">
        <f t="shared" ca="1" si="24"/>
        <v>13</v>
      </c>
      <c r="BD19" s="209">
        <f t="shared" ca="1" si="8"/>
        <v>44</v>
      </c>
      <c r="BF19" s="173" t="str">
        <f t="shared" ca="1" si="23"/>
        <v>Xcel Energy Inc.</v>
      </c>
      <c r="BG19" s="173" t="str">
        <f t="shared" ca="1" si="23"/>
        <v>A-</v>
      </c>
      <c r="BH19" s="173">
        <f t="shared" ca="1" si="23"/>
        <v>20</v>
      </c>
      <c r="BI19" s="173" t="str">
        <f t="shared" ca="1" si="23"/>
        <v>XEL</v>
      </c>
    </row>
    <row r="20" spans="1:61" ht="13.8" x14ac:dyDescent="0.25">
      <c r="A20" s="223" t="s">
        <v>225</v>
      </c>
      <c r="B20" s="224" t="s">
        <v>140</v>
      </c>
      <c r="C20" s="224">
        <v>19</v>
      </c>
      <c r="D20" s="224" t="s">
        <v>226</v>
      </c>
      <c r="E20" s="225" t="str">
        <f t="shared" ca="1" si="9"/>
        <v>R</v>
      </c>
      <c r="F20" s="348"/>
      <c r="G20" s="349">
        <f t="shared" ca="1" si="1"/>
        <v>9</v>
      </c>
      <c r="H20" s="350"/>
      <c r="I20" s="352"/>
      <c r="K20" s="352"/>
      <c r="N20" s="352"/>
      <c r="O20" s="173"/>
      <c r="Q20" s="352"/>
      <c r="T20" s="352"/>
      <c r="W20" s="352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9"/>
        <v/>
      </c>
      <c r="AJ20" s="169">
        <f t="shared" ca="1" si="20"/>
        <v>20</v>
      </c>
      <c r="AK20" s="169" t="str">
        <f t="shared" ca="1" si="21"/>
        <v>BBB+</v>
      </c>
      <c r="AL20" s="169">
        <f t="shared" ca="1" si="21"/>
        <v>19</v>
      </c>
      <c r="AM20" s="169" t="str">
        <f t="shared" ca="1" si="4"/>
        <v/>
      </c>
      <c r="AQ20" s="207" t="s">
        <v>259</v>
      </c>
      <c r="AR20" s="207" t="s">
        <v>175</v>
      </c>
      <c r="AS20" s="207">
        <v>15</v>
      </c>
      <c r="AT20" s="207" t="s">
        <v>260</v>
      </c>
      <c r="AV20" s="168">
        <f t="shared" si="5"/>
        <v>42</v>
      </c>
      <c r="AW20" s="168">
        <f>COUNTIF( AV$7:AV20, AV20 )</f>
        <v>1</v>
      </c>
      <c r="AX20" s="208">
        <f t="shared" si="22"/>
        <v>42.1</v>
      </c>
      <c r="AY20" s="168">
        <f t="shared" si="6"/>
        <v>42</v>
      </c>
      <c r="AZ20" s="169"/>
      <c r="BA20" s="169"/>
      <c r="BC20" s="168">
        <f t="shared" ca="1" si="24"/>
        <v>14</v>
      </c>
      <c r="BD20" s="209">
        <f t="shared" ca="1" si="8"/>
        <v>3</v>
      </c>
      <c r="BF20" s="173" t="str">
        <f t="shared" ca="1" si="23"/>
        <v>Ameren Corporation</v>
      </c>
      <c r="BG20" s="173" t="str">
        <f t="shared" ca="1" si="23"/>
        <v>BBB+</v>
      </c>
      <c r="BH20" s="173">
        <f t="shared" ca="1" si="23"/>
        <v>19</v>
      </c>
      <c r="BI20" s="173" t="str">
        <f t="shared" ca="1" si="23"/>
        <v>AEE</v>
      </c>
    </row>
    <row r="21" spans="1:61" ht="13.8" x14ac:dyDescent="0.25">
      <c r="A21" s="223" t="s">
        <v>233</v>
      </c>
      <c r="B21" s="224" t="s">
        <v>140</v>
      </c>
      <c r="C21" s="224">
        <v>19</v>
      </c>
      <c r="D21" s="224" t="s">
        <v>234</v>
      </c>
      <c r="E21" s="225" t="str">
        <f t="shared" ca="1" si="9"/>
        <v>MR</v>
      </c>
      <c r="F21" s="348"/>
      <c r="G21" s="349">
        <f t="shared" ca="1" si="1"/>
        <v>11</v>
      </c>
      <c r="H21" s="350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9"/>
        <v/>
      </c>
      <c r="AJ21" s="169">
        <f t="shared" ca="1" si="20"/>
        <v>21</v>
      </c>
      <c r="AK21" s="169" t="str">
        <f t="shared" ca="1" si="21"/>
        <v>BBB+</v>
      </c>
      <c r="AL21" s="169">
        <f t="shared" ca="1" si="21"/>
        <v>19</v>
      </c>
      <c r="AM21" s="169" t="str">
        <f t="shared" ca="1" si="4"/>
        <v/>
      </c>
      <c r="AQ21" s="207" t="s">
        <v>261</v>
      </c>
      <c r="AR21" s="207" t="s">
        <v>140</v>
      </c>
      <c r="AS21" s="207">
        <v>19</v>
      </c>
      <c r="AT21" s="207" t="s">
        <v>262</v>
      </c>
      <c r="AV21" s="168">
        <f t="shared" si="5"/>
        <v>14</v>
      </c>
      <c r="AW21" s="168">
        <f>COUNTIF( AV$7:AV21, AV21 )</f>
        <v>7</v>
      </c>
      <c r="AX21" s="208">
        <f t="shared" si="22"/>
        <v>14.7</v>
      </c>
      <c r="AY21" s="168">
        <f t="shared" si="6"/>
        <v>20</v>
      </c>
      <c r="AZ21" s="169"/>
      <c r="BA21" s="169"/>
      <c r="BC21" s="168">
        <f t="shared" ca="1" si="24"/>
        <v>15</v>
      </c>
      <c r="BD21" s="209">
        <f t="shared" ca="1" si="8"/>
        <v>5</v>
      </c>
      <c r="BF21" s="173" t="str">
        <f t="shared" ca="1" si="23"/>
        <v>AVANGRID, Inc.</v>
      </c>
      <c r="BG21" s="173" t="str">
        <f t="shared" ca="1" si="23"/>
        <v>BBB+</v>
      </c>
      <c r="BH21" s="173">
        <f t="shared" ca="1" si="23"/>
        <v>19</v>
      </c>
      <c r="BI21" s="173" t="str">
        <f t="shared" ca="1" si="23"/>
        <v>AGR</v>
      </c>
    </row>
    <row r="22" spans="1:61" ht="13.8" x14ac:dyDescent="0.25">
      <c r="A22" s="223" t="s">
        <v>245</v>
      </c>
      <c r="B22" s="224" t="s">
        <v>140</v>
      </c>
      <c r="C22" s="224">
        <v>19</v>
      </c>
      <c r="D22" s="224" t="s">
        <v>246</v>
      </c>
      <c r="E22" s="225" t="str">
        <f t="shared" ca="1" si="9"/>
        <v>R</v>
      </c>
      <c r="F22" s="348"/>
      <c r="G22" s="349">
        <f t="shared" ca="1" si="1"/>
        <v>13</v>
      </c>
      <c r="H22" s="350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20"/>
        <v>22</v>
      </c>
      <c r="AK22" s="169" t="str">
        <f t="shared" ca="1" si="21"/>
        <v>BBB+</v>
      </c>
      <c r="AL22" s="169">
        <f t="shared" ca="1" si="21"/>
        <v>19</v>
      </c>
      <c r="AM22" s="169" t="str">
        <f t="shared" ca="1" si="4"/>
        <v/>
      </c>
      <c r="AQ22" s="207" t="s">
        <v>263</v>
      </c>
      <c r="AR22" s="207" t="s">
        <v>139</v>
      </c>
      <c r="AS22" s="207">
        <v>20</v>
      </c>
      <c r="AT22" s="207" t="s">
        <v>264</v>
      </c>
      <c r="AV22" s="168">
        <f t="shared" si="5"/>
        <v>2</v>
      </c>
      <c r="AW22" s="168">
        <f>COUNTIF( AV$7:AV22, AV22 )</f>
        <v>4</v>
      </c>
      <c r="AX22" s="208">
        <f t="shared" si="22"/>
        <v>2.4</v>
      </c>
      <c r="AY22" s="168">
        <f t="shared" si="6"/>
        <v>5</v>
      </c>
      <c r="AZ22" s="169"/>
      <c r="BA22" s="169"/>
      <c r="BC22" s="168">
        <f t="shared" ca="1" si="24"/>
        <v>16</v>
      </c>
      <c r="BD22" s="209">
        <f t="shared" ca="1" si="8"/>
        <v>8</v>
      </c>
      <c r="BF22" s="173" t="str">
        <f t="shared" ca="1" si="23"/>
        <v>Black Hills Corporation</v>
      </c>
      <c r="BG22" s="173" t="str">
        <f t="shared" ca="1" si="23"/>
        <v>BBB+</v>
      </c>
      <c r="BH22" s="173">
        <f t="shared" ca="1" si="23"/>
        <v>19</v>
      </c>
      <c r="BI22" s="173" t="str">
        <f t="shared" ca="1" si="23"/>
        <v>BKH</v>
      </c>
    </row>
    <row r="23" spans="1:61" ht="13.8" x14ac:dyDescent="0.25">
      <c r="A23" s="223" t="s">
        <v>249</v>
      </c>
      <c r="B23" s="224" t="s">
        <v>140</v>
      </c>
      <c r="C23" s="224">
        <v>19</v>
      </c>
      <c r="D23" s="224" t="s">
        <v>250</v>
      </c>
      <c r="E23" s="225" t="str">
        <f t="shared" ca="1" si="9"/>
        <v>R</v>
      </c>
      <c r="F23" s="348"/>
      <c r="G23" s="349">
        <f t="shared" ca="1" si="1"/>
        <v>14</v>
      </c>
      <c r="H23" s="350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20"/>
        <v>23</v>
      </c>
      <c r="AK23" s="169" t="str">
        <f t="shared" ca="1" si="21"/>
        <v>BBB+</v>
      </c>
      <c r="AL23" s="169">
        <f t="shared" ca="1" si="21"/>
        <v>19</v>
      </c>
      <c r="AM23" s="169" t="str">
        <f t="shared" ca="1" si="4"/>
        <v/>
      </c>
      <c r="AQ23" s="207" t="s">
        <v>265</v>
      </c>
      <c r="AR23" s="207" t="s">
        <v>141</v>
      </c>
      <c r="AS23" s="207">
        <v>18</v>
      </c>
      <c r="AT23" s="207" t="s">
        <v>266</v>
      </c>
      <c r="AV23" s="168">
        <f t="shared" si="5"/>
        <v>30</v>
      </c>
      <c r="AW23" s="168">
        <f>COUNTIF( AV$7:AV23, AV23 )</f>
        <v>3</v>
      </c>
      <c r="AX23" s="208">
        <f t="shared" si="22"/>
        <v>30.3</v>
      </c>
      <c r="AY23" s="168">
        <f t="shared" si="6"/>
        <v>32</v>
      </c>
      <c r="AZ23" s="169"/>
      <c r="BA23" s="169"/>
      <c r="BC23" s="168">
        <f t="shared" ca="1" si="24"/>
        <v>17</v>
      </c>
      <c r="BD23" s="209">
        <f t="shared" ca="1" si="8"/>
        <v>9</v>
      </c>
      <c r="BF23" s="173" t="str">
        <f t="shared" ca="1" si="23"/>
        <v>CenterPoint Energy, Inc.</v>
      </c>
      <c r="BG23" s="173" t="str">
        <f t="shared" ca="1" si="23"/>
        <v>BBB+</v>
      </c>
      <c r="BH23" s="173">
        <f t="shared" ca="1" si="23"/>
        <v>19</v>
      </c>
      <c r="BI23" s="173" t="str">
        <f t="shared" ca="1" si="23"/>
        <v>CNP</v>
      </c>
    </row>
    <row r="24" spans="1:61" ht="13.8" x14ac:dyDescent="0.25">
      <c r="A24" s="223" t="s">
        <v>256</v>
      </c>
      <c r="B24" s="224" t="s">
        <v>140</v>
      </c>
      <c r="C24" s="224">
        <v>19</v>
      </c>
      <c r="D24" s="224" t="s">
        <v>257</v>
      </c>
      <c r="E24" s="225" t="str">
        <f t="shared" ca="1" si="9"/>
        <v>R</v>
      </c>
      <c r="F24" s="348"/>
      <c r="G24" s="349">
        <f t="shared" ca="1" si="1"/>
        <v>15</v>
      </c>
      <c r="H24" s="350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20"/>
        <v>24</v>
      </c>
      <c r="AK24" s="169" t="str">
        <f t="shared" ca="1" si="21"/>
        <v>BBB+</v>
      </c>
      <c r="AL24" s="169">
        <f t="shared" ca="1" si="21"/>
        <v>19</v>
      </c>
      <c r="AM24" s="169" t="str">
        <f t="shared" ca="1" si="4"/>
        <v/>
      </c>
      <c r="AQ24" s="207" t="s">
        <v>328</v>
      </c>
      <c r="AR24" s="207" t="s">
        <v>310</v>
      </c>
      <c r="AS24" s="207" t="s">
        <v>310</v>
      </c>
      <c r="AT24" s="207"/>
      <c r="AV24" s="168">
        <f t="shared" si="5"/>
        <v>99</v>
      </c>
      <c r="AW24" s="168">
        <f>COUNTIF( AV$7:AV24, AV24 )</f>
        <v>1</v>
      </c>
      <c r="AX24" s="208">
        <f t="shared" si="22"/>
        <v>99.1</v>
      </c>
      <c r="AY24" s="168">
        <f t="shared" si="6"/>
        <v>44</v>
      </c>
      <c r="AZ24" s="169"/>
      <c r="BA24" s="169"/>
      <c r="BC24" s="168">
        <f t="shared" ca="1" si="24"/>
        <v>18</v>
      </c>
      <c r="BD24" s="209">
        <f t="shared" ca="1" si="8"/>
        <v>11</v>
      </c>
      <c r="BF24" s="173" t="str">
        <f t="shared" ca="1" si="23"/>
        <v>CMS Energy Corporation</v>
      </c>
      <c r="BG24" s="173" t="str">
        <f t="shared" ca="1" si="23"/>
        <v>BBB+</v>
      </c>
      <c r="BH24" s="173">
        <f t="shared" ca="1" si="23"/>
        <v>19</v>
      </c>
      <c r="BI24" s="173" t="str">
        <f t="shared" ca="1" si="23"/>
        <v>CMS</v>
      </c>
    </row>
    <row r="25" spans="1:61" ht="13.8" x14ac:dyDescent="0.25">
      <c r="A25" s="223" t="s">
        <v>258</v>
      </c>
      <c r="B25" s="224" t="s">
        <v>140</v>
      </c>
      <c r="C25" s="224">
        <v>19</v>
      </c>
      <c r="D25" s="224" t="s">
        <v>194</v>
      </c>
      <c r="E25" s="225" t="str">
        <f t="shared" ca="1" si="9"/>
        <v>R</v>
      </c>
      <c r="F25" s="348"/>
      <c r="G25" s="349">
        <f t="shared" ca="1" si="1"/>
        <v>17</v>
      </c>
      <c r="H25" s="350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9"/>
        <v/>
      </c>
      <c r="AJ25" s="169">
        <f t="shared" ca="1" si="20"/>
        <v>25</v>
      </c>
      <c r="AK25" s="169" t="str">
        <f t="shared" ca="1" si="21"/>
        <v>BBB+</v>
      </c>
      <c r="AL25" s="169">
        <f t="shared" ca="1" si="21"/>
        <v>19</v>
      </c>
      <c r="AM25" s="169" t="str">
        <f t="shared" ca="1" si="4"/>
        <v/>
      </c>
      <c r="AQ25" s="207" t="s">
        <v>267</v>
      </c>
      <c r="AR25" s="207" t="s">
        <v>140</v>
      </c>
      <c r="AS25" s="207">
        <v>19</v>
      </c>
      <c r="AT25" s="207" t="s">
        <v>268</v>
      </c>
      <c r="AV25" s="168">
        <f t="shared" si="5"/>
        <v>14</v>
      </c>
      <c r="AW25" s="168">
        <f>COUNTIF( AV$7:AV25, AV25 )</f>
        <v>8</v>
      </c>
      <c r="AX25" s="208">
        <f t="shared" si="22"/>
        <v>14.8</v>
      </c>
      <c r="AY25" s="168">
        <f t="shared" si="6"/>
        <v>21</v>
      </c>
      <c r="AZ25" s="169"/>
      <c r="BA25" s="169"/>
      <c r="BC25" s="168">
        <f t="shared" ca="1" si="24"/>
        <v>19</v>
      </c>
      <c r="BD25" s="209">
        <f t="shared" ca="1" si="8"/>
        <v>13</v>
      </c>
      <c r="BF25" s="173" t="str">
        <f t="shared" ca="1" si="23"/>
        <v>Dominion Energy, Inc.</v>
      </c>
      <c r="BG25" s="173" t="str">
        <f t="shared" ca="1" si="23"/>
        <v>BBB+</v>
      </c>
      <c r="BH25" s="173">
        <f t="shared" ca="1" si="23"/>
        <v>19</v>
      </c>
      <c r="BI25" s="173" t="str">
        <f t="shared" ca="1" si="23"/>
        <v>D</v>
      </c>
    </row>
    <row r="26" spans="1:61" ht="13.8" x14ac:dyDescent="0.25">
      <c r="A26" s="223" t="s">
        <v>261</v>
      </c>
      <c r="B26" s="224" t="s">
        <v>140</v>
      </c>
      <c r="C26" s="224">
        <v>19</v>
      </c>
      <c r="D26" s="224" t="s">
        <v>262</v>
      </c>
      <c r="E26" s="225" t="str">
        <f t="shared" ca="1" si="9"/>
        <v>MR</v>
      </c>
      <c r="F26" s="348"/>
      <c r="G26" s="349">
        <f t="shared" ca="1" si="1"/>
        <v>18</v>
      </c>
      <c r="H26" s="350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9"/>
        <v/>
      </c>
      <c r="AJ26" s="169">
        <f t="shared" ca="1" si="20"/>
        <v>26</v>
      </c>
      <c r="AK26" s="169" t="str">
        <f t="shared" ca="1" si="21"/>
        <v>BBB+</v>
      </c>
      <c r="AL26" s="169">
        <f t="shared" ca="1" si="21"/>
        <v>19</v>
      </c>
      <c r="AM26" s="169" t="str">
        <f t="shared" ca="1" si="4"/>
        <v/>
      </c>
      <c r="AQ26" s="207" t="s">
        <v>230</v>
      </c>
      <c r="AR26" s="207" t="s">
        <v>139</v>
      </c>
      <c r="AS26" s="207">
        <v>20</v>
      </c>
      <c r="AT26" s="207" t="s">
        <v>231</v>
      </c>
      <c r="AV26" s="168">
        <f t="shared" si="5"/>
        <v>2</v>
      </c>
      <c r="AW26" s="168">
        <f>COUNTIF( AV$7:AV26, AV26 )</f>
        <v>5</v>
      </c>
      <c r="AX26" s="208">
        <f t="shared" si="22"/>
        <v>2.5</v>
      </c>
      <c r="AY26" s="168">
        <f t="shared" si="6"/>
        <v>6</v>
      </c>
      <c r="AZ26" s="169"/>
      <c r="BA26" s="169"/>
      <c r="BC26" s="168">
        <f t="shared" ca="1" si="24"/>
        <v>20</v>
      </c>
      <c r="BD26" s="209">
        <f t="shared" ca="1" si="8"/>
        <v>15</v>
      </c>
      <c r="BF26" s="173" t="str">
        <f t="shared" ca="1" si="23"/>
        <v>DTE Energy Company</v>
      </c>
      <c r="BG26" s="173" t="str">
        <f t="shared" ca="1" si="23"/>
        <v>BBB+</v>
      </c>
      <c r="BH26" s="173">
        <f t="shared" ca="1" si="23"/>
        <v>19</v>
      </c>
      <c r="BI26" s="173" t="str">
        <f t="shared" ca="1" si="23"/>
        <v>DTE</v>
      </c>
    </row>
    <row r="27" spans="1:61" ht="13.8" x14ac:dyDescent="0.25">
      <c r="A27" s="223" t="s">
        <v>267</v>
      </c>
      <c r="B27" s="224" t="s">
        <v>140</v>
      </c>
      <c r="C27" s="224">
        <v>19</v>
      </c>
      <c r="D27" s="224" t="s">
        <v>268</v>
      </c>
      <c r="E27" s="225" t="str">
        <f t="shared" ca="1" si="9"/>
        <v>R</v>
      </c>
      <c r="F27" s="348"/>
      <c r="G27" s="349">
        <f t="shared" ca="1" si="1"/>
        <v>22</v>
      </c>
      <c r="H27" s="350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20"/>
        <v>27</v>
      </c>
      <c r="AK27" s="169" t="str">
        <f t="shared" ca="1" si="21"/>
        <v>BBB+</v>
      </c>
      <c r="AL27" s="169">
        <f t="shared" ca="1" si="21"/>
        <v>19</v>
      </c>
      <c r="AM27" s="169" t="str">
        <f t="shared" ca="1" si="4"/>
        <v/>
      </c>
      <c r="AQ27" s="207" t="s">
        <v>235</v>
      </c>
      <c r="AR27" s="207" t="s">
        <v>139</v>
      </c>
      <c r="AS27" s="207">
        <v>20</v>
      </c>
      <c r="AT27" s="207" t="s">
        <v>236</v>
      </c>
      <c r="AV27" s="168">
        <f t="shared" si="5"/>
        <v>2</v>
      </c>
      <c r="AW27" s="168">
        <f>COUNTIF( AV$7:AV27, AV27 )</f>
        <v>6</v>
      </c>
      <c r="AX27" s="208">
        <f t="shared" si="22"/>
        <v>2.6</v>
      </c>
      <c r="AY27" s="168">
        <f t="shared" si="6"/>
        <v>7</v>
      </c>
      <c r="AZ27" s="169"/>
      <c r="BA27" s="169"/>
      <c r="BC27" s="168">
        <f t="shared" ca="1" si="24"/>
        <v>21</v>
      </c>
      <c r="BD27" s="209">
        <f t="shared" ca="1" si="8"/>
        <v>19</v>
      </c>
      <c r="BF27" s="173" t="str">
        <f t="shared" ca="1" si="23"/>
        <v>Entergy Corporation</v>
      </c>
      <c r="BG27" s="173" t="str">
        <f t="shared" ca="1" si="23"/>
        <v>BBB+</v>
      </c>
      <c r="BH27" s="173">
        <f t="shared" ca="1" si="23"/>
        <v>19</v>
      </c>
      <c r="BI27" s="173" t="str">
        <f t="shared" ca="1" si="23"/>
        <v>ETR</v>
      </c>
    </row>
    <row r="28" spans="1:61" ht="13.8" x14ac:dyDescent="0.25">
      <c r="A28" s="223" t="s">
        <v>269</v>
      </c>
      <c r="B28" s="224" t="s">
        <v>140</v>
      </c>
      <c r="C28" s="224">
        <v>19</v>
      </c>
      <c r="D28" s="224" t="s">
        <v>270</v>
      </c>
      <c r="E28" s="225" t="str">
        <f t="shared" ca="1" si="9"/>
        <v>MR</v>
      </c>
      <c r="F28" s="348"/>
      <c r="G28" s="349">
        <f t="shared" ca="1" si="1"/>
        <v>25</v>
      </c>
      <c r="H28" s="350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20"/>
        <v>28</v>
      </c>
      <c r="AK28" s="169" t="str">
        <f t="shared" ca="1" si="21"/>
        <v>BBB+</v>
      </c>
      <c r="AL28" s="169">
        <f t="shared" ca="1" si="21"/>
        <v>19</v>
      </c>
      <c r="AM28" s="169" t="str">
        <f t="shared" ca="1" si="4"/>
        <v/>
      </c>
      <c r="AQ28" s="207" t="s">
        <v>269</v>
      </c>
      <c r="AR28" s="207" t="s">
        <v>140</v>
      </c>
      <c r="AS28" s="207">
        <v>19</v>
      </c>
      <c r="AT28" s="207" t="s">
        <v>270</v>
      </c>
      <c r="AV28" s="168">
        <f t="shared" si="5"/>
        <v>14</v>
      </c>
      <c r="AW28" s="168">
        <f>COUNTIF( AV$7:AV28, AV28 )</f>
        <v>9</v>
      </c>
      <c r="AX28" s="208">
        <f t="shared" si="22"/>
        <v>14.9</v>
      </c>
      <c r="AY28" s="168">
        <f t="shared" si="6"/>
        <v>22</v>
      </c>
      <c r="AZ28" s="169"/>
      <c r="BA28" s="169"/>
      <c r="BC28" s="168">
        <f t="shared" ca="1" si="24"/>
        <v>22</v>
      </c>
      <c r="BD28" s="209">
        <f t="shared" ca="1" si="8"/>
        <v>22</v>
      </c>
      <c r="BF28" s="173" t="str">
        <f t="shared" ca="1" si="23"/>
        <v>Exelon Corporation</v>
      </c>
      <c r="BG28" s="173" t="str">
        <f t="shared" ca="1" si="23"/>
        <v>BBB+</v>
      </c>
      <c r="BH28" s="173">
        <f t="shared" ca="1" si="23"/>
        <v>19</v>
      </c>
      <c r="BI28" s="173" t="str">
        <f t="shared" ca="1" si="23"/>
        <v>EXC</v>
      </c>
    </row>
    <row r="29" spans="1:61" ht="13.8" x14ac:dyDescent="0.25">
      <c r="A29" s="223" t="s">
        <v>271</v>
      </c>
      <c r="B29" s="224" t="s">
        <v>140</v>
      </c>
      <c r="C29" s="224">
        <v>19</v>
      </c>
      <c r="D29" s="224" t="s">
        <v>272</v>
      </c>
      <c r="E29" s="225" t="str">
        <f t="shared" ca="1" si="9"/>
        <v>MR</v>
      </c>
      <c r="F29" s="348"/>
      <c r="G29" s="349">
        <f t="shared" ca="1" si="1"/>
        <v>29</v>
      </c>
      <c r="H29" s="350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9"/>
        <v/>
      </c>
      <c r="AJ29" s="169">
        <f t="shared" ca="1" si="20"/>
        <v>29</v>
      </c>
      <c r="AK29" s="169" t="str">
        <f t="shared" ca="1" si="21"/>
        <v>BBB+</v>
      </c>
      <c r="AL29" s="169">
        <f t="shared" ca="1" si="21"/>
        <v>19</v>
      </c>
      <c r="AM29" s="169" t="str">
        <f t="shared" ca="1" si="4"/>
        <v/>
      </c>
      <c r="AQ29" s="207" t="s">
        <v>275</v>
      </c>
      <c r="AR29" s="207" t="s">
        <v>141</v>
      </c>
      <c r="AS29" s="207">
        <v>18</v>
      </c>
      <c r="AT29" s="207" t="s">
        <v>276</v>
      </c>
      <c r="AV29" s="168">
        <f t="shared" si="5"/>
        <v>30</v>
      </c>
      <c r="AW29" s="168">
        <f>COUNTIF( AV$7:AV29, AV29 )</f>
        <v>4</v>
      </c>
      <c r="AX29" s="208">
        <f t="shared" si="22"/>
        <v>30.4</v>
      </c>
      <c r="AY29" s="168">
        <f t="shared" si="6"/>
        <v>33</v>
      </c>
      <c r="AZ29" s="169"/>
      <c r="BA29" s="169"/>
      <c r="BC29" s="168">
        <f t="shared" ca="1" si="24"/>
        <v>23</v>
      </c>
      <c r="BD29" s="209">
        <f t="shared" ca="1" si="8"/>
        <v>27</v>
      </c>
      <c r="BF29" s="173" t="str">
        <f t="shared" ca="1" si="23"/>
        <v>MDU Resources Group, Inc.</v>
      </c>
      <c r="BG29" s="173" t="str">
        <f t="shared" ca="1" si="23"/>
        <v>BBB+</v>
      </c>
      <c r="BH29" s="173">
        <f t="shared" ca="1" si="23"/>
        <v>19</v>
      </c>
      <c r="BI29" s="173" t="str">
        <f t="shared" ca="1" si="23"/>
        <v>MDU</v>
      </c>
    </row>
    <row r="30" spans="1:61" ht="13.8" x14ac:dyDescent="0.25">
      <c r="A30" s="223" t="s">
        <v>273</v>
      </c>
      <c r="B30" s="224" t="s">
        <v>140</v>
      </c>
      <c r="C30" s="224">
        <v>19</v>
      </c>
      <c r="D30" s="224" t="s">
        <v>274</v>
      </c>
      <c r="E30" s="225" t="str">
        <f t="shared" ca="1" si="9"/>
        <v>R</v>
      </c>
      <c r="F30" s="348"/>
      <c r="G30" s="349">
        <f t="shared" ca="1" si="1"/>
        <v>32</v>
      </c>
      <c r="H30" s="350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9"/>
        <v/>
      </c>
      <c r="AJ30" s="169">
        <f t="shared" ca="1" si="20"/>
        <v>30</v>
      </c>
      <c r="AK30" s="169" t="str">
        <f t="shared" ca="1" si="21"/>
        <v>BBB+</v>
      </c>
      <c r="AL30" s="169">
        <f t="shared" ca="1" si="21"/>
        <v>19</v>
      </c>
      <c r="AM30" s="169" t="str">
        <f t="shared" ca="1" si="4"/>
        <v/>
      </c>
      <c r="AQ30" s="207" t="s">
        <v>279</v>
      </c>
      <c r="AR30" s="207" t="s">
        <v>142</v>
      </c>
      <c r="AS30" s="207">
        <v>17</v>
      </c>
      <c r="AT30" s="207" t="s">
        <v>280</v>
      </c>
      <c r="AV30" s="168">
        <f t="shared" si="5"/>
        <v>39</v>
      </c>
      <c r="AW30" s="168">
        <f>COUNTIF( AV$7:AV30, AV30 )</f>
        <v>2</v>
      </c>
      <c r="AX30" s="208">
        <f t="shared" si="22"/>
        <v>39.200000000000003</v>
      </c>
      <c r="AY30" s="168">
        <f t="shared" si="6"/>
        <v>40</v>
      </c>
      <c r="AZ30" s="169"/>
      <c r="BA30" s="169"/>
      <c r="BC30" s="168">
        <f t="shared" ca="1" si="24"/>
        <v>24</v>
      </c>
      <c r="BD30" s="209">
        <f t="shared" ca="1" si="8"/>
        <v>29</v>
      </c>
      <c r="BF30" s="173" t="str">
        <f t="shared" ca="1" si="23"/>
        <v>NiSource Inc.</v>
      </c>
      <c r="BG30" s="173" t="str">
        <f t="shared" ca="1" si="23"/>
        <v>BBB+</v>
      </c>
      <c r="BH30" s="173">
        <f t="shared" ca="1" si="23"/>
        <v>19</v>
      </c>
      <c r="BI30" s="173" t="str">
        <f t="shared" ca="1" si="23"/>
        <v>NI</v>
      </c>
    </row>
    <row r="31" spans="1:61" ht="13.8" x14ac:dyDescent="0.25">
      <c r="A31" s="223" t="s">
        <v>277</v>
      </c>
      <c r="B31" s="224" t="s">
        <v>140</v>
      </c>
      <c r="C31" s="224">
        <v>19</v>
      </c>
      <c r="D31" s="224" t="s">
        <v>278</v>
      </c>
      <c r="E31" s="225" t="str">
        <f t="shared" ca="1" si="9"/>
        <v>R</v>
      </c>
      <c r="F31" s="348"/>
      <c r="G31" s="349">
        <f t="shared" ca="1" si="1"/>
        <v>34</v>
      </c>
      <c r="H31" s="350"/>
      <c r="I31" s="237"/>
      <c r="J31" s="191"/>
      <c r="K31" s="237"/>
      <c r="N31" s="237"/>
      <c r="O31" s="351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9"/>
        <v/>
      </c>
      <c r="AJ31" s="169">
        <f t="shared" ca="1" si="20"/>
        <v>31</v>
      </c>
      <c r="AK31" s="169" t="str">
        <f t="shared" ca="1" si="21"/>
        <v>BBB+</v>
      </c>
      <c r="AL31" s="169">
        <f t="shared" ca="1" si="21"/>
        <v>19</v>
      </c>
      <c r="AM31" s="169" t="str">
        <f t="shared" ca="1" si="4"/>
        <v/>
      </c>
      <c r="AQ31" s="207" t="s">
        <v>283</v>
      </c>
      <c r="AR31" s="207" t="s">
        <v>141</v>
      </c>
      <c r="AS31" s="207">
        <v>18</v>
      </c>
      <c r="AT31" s="207" t="s">
        <v>284</v>
      </c>
      <c r="AV31" s="168">
        <f t="shared" si="5"/>
        <v>30</v>
      </c>
      <c r="AW31" s="168">
        <f>COUNTIF( AV$7:AV31, AV31 )</f>
        <v>5</v>
      </c>
      <c r="AX31" s="208">
        <f t="shared" si="22"/>
        <v>30.5</v>
      </c>
      <c r="AY31" s="168">
        <f t="shared" si="6"/>
        <v>34</v>
      </c>
      <c r="AZ31" s="169"/>
      <c r="BA31" s="169"/>
      <c r="BC31" s="168">
        <f t="shared" ca="1" si="24"/>
        <v>25</v>
      </c>
      <c r="BD31" s="209">
        <f t="shared" ca="1" si="8"/>
        <v>31</v>
      </c>
      <c r="BF31" s="173" t="str">
        <f t="shared" ca="1" si="23"/>
        <v>OGE Energy Corp.</v>
      </c>
      <c r="BG31" s="173" t="str">
        <f t="shared" ca="1" si="23"/>
        <v>BBB+</v>
      </c>
      <c r="BH31" s="173">
        <f t="shared" ca="1" si="23"/>
        <v>19</v>
      </c>
      <c r="BI31" s="173" t="str">
        <f t="shared" ca="1" si="23"/>
        <v>OGE</v>
      </c>
    </row>
    <row r="32" spans="1:61" ht="13.8" x14ac:dyDescent="0.25">
      <c r="A32" s="223" t="s">
        <v>285</v>
      </c>
      <c r="B32" s="224" t="s">
        <v>140</v>
      </c>
      <c r="C32" s="224">
        <v>19</v>
      </c>
      <c r="D32" s="224" t="s">
        <v>286</v>
      </c>
      <c r="E32" s="225" t="str">
        <f t="shared" ca="1" si="9"/>
        <v>R</v>
      </c>
      <c r="F32" s="348"/>
      <c r="G32" s="349">
        <f t="shared" ca="1" si="1"/>
        <v>39</v>
      </c>
      <c r="H32" s="350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9"/>
        <v/>
      </c>
      <c r="AJ32" s="169">
        <f t="shared" ca="1" si="20"/>
        <v>32</v>
      </c>
      <c r="AK32" s="169" t="str">
        <f t="shared" ca="1" si="21"/>
        <v>BBB+</v>
      </c>
      <c r="AL32" s="169">
        <f t="shared" ca="1" si="21"/>
        <v>19</v>
      </c>
      <c r="AM32" s="169" t="str">
        <f t="shared" ca="1" si="4"/>
        <v/>
      </c>
      <c r="AQ32" s="207" t="s">
        <v>287</v>
      </c>
      <c r="AR32" s="207" t="s">
        <v>141</v>
      </c>
      <c r="AS32" s="207">
        <v>18</v>
      </c>
      <c r="AT32" s="207" t="s">
        <v>288</v>
      </c>
      <c r="AV32" s="168">
        <f t="shared" si="5"/>
        <v>30</v>
      </c>
      <c r="AW32" s="168">
        <f>COUNTIF( AV$7:AV32, AV32 )</f>
        <v>6</v>
      </c>
      <c r="AX32" s="208">
        <f t="shared" si="22"/>
        <v>30.6</v>
      </c>
      <c r="AY32" s="168">
        <f t="shared" si="6"/>
        <v>35</v>
      </c>
      <c r="AZ32" s="169"/>
      <c r="BA32" s="169"/>
      <c r="BC32" s="168">
        <f t="shared" ca="1" si="24"/>
        <v>26</v>
      </c>
      <c r="BD32" s="209">
        <f t="shared" ca="1" si="8"/>
        <v>36</v>
      </c>
      <c r="BF32" s="173" t="str">
        <f t="shared" ca="1" si="23"/>
        <v>Portland General Electric Company</v>
      </c>
      <c r="BG32" s="173" t="str">
        <f t="shared" ca="1" si="23"/>
        <v>BBB+</v>
      </c>
      <c r="BH32" s="173">
        <f t="shared" ca="1" si="23"/>
        <v>19</v>
      </c>
      <c r="BI32" s="173" t="str">
        <f t="shared" ca="1" si="23"/>
        <v>POR</v>
      </c>
    </row>
    <row r="33" spans="1:61" ht="13.8" x14ac:dyDescent="0.25">
      <c r="A33" s="223" t="s">
        <v>289</v>
      </c>
      <c r="B33" s="224" t="s">
        <v>140</v>
      </c>
      <c r="C33" s="224">
        <v>19</v>
      </c>
      <c r="D33" s="224" t="s">
        <v>290</v>
      </c>
      <c r="E33" s="225" t="str">
        <f t="shared" ca="1" si="9"/>
        <v>MR</v>
      </c>
      <c r="F33" s="348"/>
      <c r="G33" s="349">
        <f t="shared" ca="1" si="1"/>
        <v>41</v>
      </c>
      <c r="H33" s="350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9"/>
        <v/>
      </c>
      <c r="AJ33" s="169">
        <f t="shared" ca="1" si="20"/>
        <v>33</v>
      </c>
      <c r="AK33" s="169" t="str">
        <f t="shared" ca="1" si="21"/>
        <v>BBB+</v>
      </c>
      <c r="AL33" s="169">
        <f t="shared" ca="1" si="21"/>
        <v>19</v>
      </c>
      <c r="AM33" s="169" t="str">
        <f t="shared" ca="1" si="4"/>
        <v/>
      </c>
      <c r="AQ33" s="207" t="s">
        <v>271</v>
      </c>
      <c r="AR33" s="207" t="s">
        <v>140</v>
      </c>
      <c r="AS33" s="207">
        <v>19</v>
      </c>
      <c r="AT33" s="207" t="s">
        <v>272</v>
      </c>
      <c r="AV33" s="168">
        <f t="shared" si="5"/>
        <v>14</v>
      </c>
      <c r="AW33" s="168">
        <f>COUNTIF( AV$7:AV33, AV33 )</f>
        <v>10</v>
      </c>
      <c r="AX33" s="208">
        <f t="shared" si="22"/>
        <v>15</v>
      </c>
      <c r="AY33" s="168">
        <f t="shared" si="6"/>
        <v>23</v>
      </c>
      <c r="AZ33" s="169"/>
      <c r="BA33" s="169"/>
      <c r="BC33" s="168">
        <f t="shared" ca="1" si="24"/>
        <v>27</v>
      </c>
      <c r="BD33" s="209">
        <f t="shared" ca="1" si="8"/>
        <v>38</v>
      </c>
      <c r="BF33" s="173" t="str">
        <f t="shared" ca="1" si="23"/>
        <v>Public Service Enterprise Group Incorporated</v>
      </c>
      <c r="BG33" s="173" t="str">
        <f t="shared" ca="1" si="23"/>
        <v>BBB+</v>
      </c>
      <c r="BH33" s="173">
        <f t="shared" ca="1" si="23"/>
        <v>19</v>
      </c>
      <c r="BI33" s="173" t="str">
        <f t="shared" ca="1" si="23"/>
        <v>PEG</v>
      </c>
    </row>
    <row r="34" spans="1:61" ht="13.8" x14ac:dyDescent="0.25">
      <c r="A34" s="223" t="s">
        <v>291</v>
      </c>
      <c r="B34" s="224" t="s">
        <v>140</v>
      </c>
      <c r="C34" s="224">
        <v>19</v>
      </c>
      <c r="D34" s="224" t="s">
        <v>292</v>
      </c>
      <c r="E34" s="225" t="str">
        <f t="shared" ca="1" si="9"/>
        <v>MR</v>
      </c>
      <c r="F34" s="348"/>
      <c r="G34" s="349">
        <f t="shared" ca="1" si="1"/>
        <v>42</v>
      </c>
      <c r="H34" s="350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9"/>
        <v/>
      </c>
      <c r="AJ34" s="169">
        <f t="shared" ca="1" si="20"/>
        <v>34</v>
      </c>
      <c r="AK34" s="169" t="str">
        <f t="shared" ca="1" si="21"/>
        <v>BBB+</v>
      </c>
      <c r="AL34" s="169">
        <f t="shared" ca="1" si="21"/>
        <v>19</v>
      </c>
      <c r="AM34" s="169" t="str">
        <f t="shared" ca="1" si="4"/>
        <v/>
      </c>
      <c r="AQ34" s="207" t="s">
        <v>240</v>
      </c>
      <c r="AR34" s="207" t="s">
        <v>139</v>
      </c>
      <c r="AS34" s="207">
        <v>20</v>
      </c>
      <c r="AT34" s="207" t="s">
        <v>241</v>
      </c>
      <c r="AV34" s="168">
        <f t="shared" si="5"/>
        <v>2</v>
      </c>
      <c r="AW34" s="168">
        <f>COUNTIF( AV$7:AV34, AV34 )</f>
        <v>7</v>
      </c>
      <c r="AX34" s="208">
        <f t="shared" si="22"/>
        <v>2.7</v>
      </c>
      <c r="AY34" s="168">
        <f t="shared" si="6"/>
        <v>8</v>
      </c>
      <c r="AZ34" s="169"/>
      <c r="BA34" s="169"/>
      <c r="BC34" s="168">
        <f t="shared" ca="1" si="24"/>
        <v>28</v>
      </c>
      <c r="BD34" s="209">
        <f t="shared" ca="1" si="8"/>
        <v>40</v>
      </c>
      <c r="BF34" s="173" t="str">
        <f t="shared" ca="1" si="23"/>
        <v>Sempra Energy</v>
      </c>
      <c r="BG34" s="173" t="str">
        <f t="shared" ca="1" si="23"/>
        <v>BBB+</v>
      </c>
      <c r="BH34" s="173">
        <f t="shared" ca="1" si="23"/>
        <v>19</v>
      </c>
      <c r="BI34" s="173" t="str">
        <f t="shared" ca="1" si="23"/>
        <v>SRE</v>
      </c>
    </row>
    <row r="35" spans="1:61" ht="13.8" x14ac:dyDescent="0.25">
      <c r="A35" s="223" t="s">
        <v>295</v>
      </c>
      <c r="B35" s="224" t="s">
        <v>140</v>
      </c>
      <c r="C35" s="224">
        <v>19</v>
      </c>
      <c r="D35" s="224" t="s">
        <v>296</v>
      </c>
      <c r="E35" s="225" t="str">
        <f t="shared" ca="1" si="9"/>
        <v>R</v>
      </c>
      <c r="F35" s="348"/>
      <c r="G35" s="349">
        <f t="shared" ca="1" si="1"/>
        <v>44</v>
      </c>
      <c r="H35" s="350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9"/>
        <v/>
      </c>
      <c r="AJ35" s="169">
        <f t="shared" ca="1" si="20"/>
        <v>35</v>
      </c>
      <c r="AK35" s="169" t="str">
        <f t="shared" ca="1" si="21"/>
        <v>BBB+</v>
      </c>
      <c r="AL35" s="169">
        <f t="shared" ca="1" si="21"/>
        <v>19</v>
      </c>
      <c r="AM35" s="169" t="str">
        <f t="shared" ca="1" si="4"/>
        <v/>
      </c>
      <c r="AQ35" s="207" t="s">
        <v>273</v>
      </c>
      <c r="AR35" s="207" t="s">
        <v>140</v>
      </c>
      <c r="AS35" s="207">
        <v>19</v>
      </c>
      <c r="AT35" s="207" t="s">
        <v>274</v>
      </c>
      <c r="AV35" s="168">
        <f t="shared" si="5"/>
        <v>14</v>
      </c>
      <c r="AW35" s="168">
        <f>COUNTIF( AV$7:AV35, AV35 )</f>
        <v>11</v>
      </c>
      <c r="AX35" s="208">
        <f t="shared" si="22"/>
        <v>15.1</v>
      </c>
      <c r="AY35" s="168">
        <f t="shared" si="6"/>
        <v>24</v>
      </c>
      <c r="AZ35" s="169"/>
      <c r="BA35" s="169"/>
      <c r="BC35" s="168">
        <f t="shared" ca="1" si="24"/>
        <v>29</v>
      </c>
      <c r="BD35" s="209">
        <f t="shared" ca="1" si="8"/>
        <v>42</v>
      </c>
      <c r="BF35" s="173" t="str">
        <f t="shared" ca="1" si="23"/>
        <v>Unitil Corporation</v>
      </c>
      <c r="BG35" s="173" t="str">
        <f t="shared" ca="1" si="23"/>
        <v>BBB+</v>
      </c>
      <c r="BH35" s="173">
        <f t="shared" ca="1" si="23"/>
        <v>19</v>
      </c>
      <c r="BI35" s="173" t="str">
        <f t="shared" ca="1" si="23"/>
        <v>UTL</v>
      </c>
    </row>
    <row r="36" spans="1:61" ht="13.8" x14ac:dyDescent="0.25">
      <c r="A36" s="223" t="s">
        <v>217</v>
      </c>
      <c r="B36" s="224" t="s">
        <v>141</v>
      </c>
      <c r="C36" s="224">
        <v>18</v>
      </c>
      <c r="D36" s="224" t="s">
        <v>218</v>
      </c>
      <c r="E36" s="225" t="str">
        <f t="shared" ca="1" si="9"/>
        <v>MR</v>
      </c>
      <c r="F36" s="348"/>
      <c r="G36" s="349">
        <f t="shared" ca="1" si="1"/>
        <v>7</v>
      </c>
      <c r="H36" s="350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9"/>
        <v/>
      </c>
      <c r="AJ36" s="169">
        <f t="shared" ca="1" si="20"/>
        <v>36</v>
      </c>
      <c r="AK36" s="169" t="str">
        <f t="shared" ca="1" si="21"/>
        <v>BBB</v>
      </c>
      <c r="AL36" s="169">
        <f t="shared" ca="1" si="21"/>
        <v>18</v>
      </c>
      <c r="AM36" s="169" t="str">
        <f t="shared" ca="1" si="4"/>
        <v/>
      </c>
      <c r="AQ36" s="207" t="s">
        <v>297</v>
      </c>
      <c r="AR36" s="207" t="s">
        <v>141</v>
      </c>
      <c r="AS36" s="207">
        <v>18</v>
      </c>
      <c r="AT36" s="207" t="s">
        <v>298</v>
      </c>
      <c r="AV36" s="168">
        <f t="shared" si="5"/>
        <v>30</v>
      </c>
      <c r="AW36" s="168">
        <f>COUNTIF( AV$7:AV36, AV36 )</f>
        <v>7</v>
      </c>
      <c r="AX36" s="208">
        <f t="shared" si="22"/>
        <v>30.7</v>
      </c>
      <c r="AY36" s="168">
        <f t="shared" si="6"/>
        <v>36</v>
      </c>
      <c r="AZ36" s="169"/>
      <c r="BA36" s="169"/>
      <c r="BC36" s="168">
        <f t="shared" ca="1" si="24"/>
        <v>30</v>
      </c>
      <c r="BD36" s="209">
        <f t="shared" ca="1" si="8"/>
        <v>1</v>
      </c>
      <c r="BF36" s="173" t="str">
        <f t="shared" ca="1" si="23"/>
        <v>ALLETE, Inc.</v>
      </c>
      <c r="BG36" s="173" t="str">
        <f t="shared" ca="1" si="23"/>
        <v>BBB</v>
      </c>
      <c r="BH36" s="173">
        <f t="shared" ca="1" si="23"/>
        <v>18</v>
      </c>
      <c r="BI36" s="173" t="str">
        <f t="shared" ca="1" si="23"/>
        <v>ALE</v>
      </c>
    </row>
    <row r="37" spans="1:61" ht="13.8" x14ac:dyDescent="0.25">
      <c r="A37" s="223" t="s">
        <v>238</v>
      </c>
      <c r="B37" s="224" t="s">
        <v>141</v>
      </c>
      <c r="C37" s="224">
        <v>18</v>
      </c>
      <c r="D37" s="224" t="s">
        <v>239</v>
      </c>
      <c r="E37" s="225" t="str">
        <f t="shared" ca="1" si="9"/>
        <v>R</v>
      </c>
      <c r="F37" s="348"/>
      <c r="G37" s="349">
        <f t="shared" ca="1" si="1"/>
        <v>12</v>
      </c>
      <c r="H37" s="350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20"/>
        <v>37</v>
      </c>
      <c r="AK37" s="169" t="str">
        <f t="shared" ca="1" si="21"/>
        <v>BBB</v>
      </c>
      <c r="AL37" s="169">
        <f t="shared" ca="1" si="21"/>
        <v>18</v>
      </c>
      <c r="AM37" s="169" t="str">
        <f t="shared" ca="1" si="4"/>
        <v/>
      </c>
      <c r="AQ37" s="207" t="s">
        <v>277</v>
      </c>
      <c r="AR37" s="207" t="s">
        <v>140</v>
      </c>
      <c r="AS37" s="207">
        <v>19</v>
      </c>
      <c r="AT37" s="207" t="s">
        <v>278</v>
      </c>
      <c r="AV37" s="168">
        <f t="shared" si="5"/>
        <v>14</v>
      </c>
      <c r="AW37" s="168">
        <f>COUNTIF( AV$7:AV37, AV37 )</f>
        <v>12</v>
      </c>
      <c r="AX37" s="208">
        <f t="shared" si="22"/>
        <v>15.2</v>
      </c>
      <c r="AY37" s="168">
        <f t="shared" si="6"/>
        <v>25</v>
      </c>
      <c r="AZ37" s="169"/>
      <c r="BA37" s="169"/>
      <c r="BC37" s="168">
        <f t="shared" ca="1" si="24"/>
        <v>31</v>
      </c>
      <c r="BD37" s="209">
        <f t="shared" ca="1" si="8"/>
        <v>6</v>
      </c>
      <c r="BF37" s="173" t="str">
        <f t="shared" ca="1" si="23"/>
        <v>Avista Corporation</v>
      </c>
      <c r="BG37" s="173" t="str">
        <f t="shared" ca="1" si="23"/>
        <v>BBB</v>
      </c>
      <c r="BH37" s="173">
        <f t="shared" ca="1" si="23"/>
        <v>18</v>
      </c>
      <c r="BI37" s="173" t="str">
        <f t="shared" ca="1" si="23"/>
        <v>AVA</v>
      </c>
    </row>
    <row r="38" spans="1:61" ht="13.2" customHeight="1" x14ac:dyDescent="0.25">
      <c r="A38" s="223" t="s">
        <v>265</v>
      </c>
      <c r="B38" s="224" t="s">
        <v>141</v>
      </c>
      <c r="C38" s="224">
        <v>18</v>
      </c>
      <c r="D38" s="224" t="s">
        <v>266</v>
      </c>
      <c r="E38" s="225" t="str">
        <f t="shared" ca="1" si="9"/>
        <v>R</v>
      </c>
      <c r="F38" s="348"/>
      <c r="G38" s="349">
        <f t="shared" ca="1" si="1"/>
        <v>20</v>
      </c>
      <c r="H38" s="350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20"/>
        <v>38</v>
      </c>
      <c r="AK38" s="169" t="str">
        <f t="shared" ca="1" si="21"/>
        <v>BBB</v>
      </c>
      <c r="AL38" s="169">
        <f t="shared" ca="1" si="21"/>
        <v>18</v>
      </c>
      <c r="AM38" s="169" t="str">
        <f t="shared" ca="1" si="4"/>
        <v/>
      </c>
      <c r="AQ38" s="207" t="s">
        <v>299</v>
      </c>
      <c r="AR38" s="207" t="s">
        <v>141</v>
      </c>
      <c r="AS38" s="207">
        <v>18</v>
      </c>
      <c r="AT38" s="207" t="s">
        <v>300</v>
      </c>
      <c r="AV38" s="168">
        <f t="shared" si="5"/>
        <v>30</v>
      </c>
      <c r="AW38" s="168">
        <f>COUNTIF( AV$7:AV38, AV38 )</f>
        <v>8</v>
      </c>
      <c r="AX38" s="208">
        <f t="shared" si="22"/>
        <v>30.8</v>
      </c>
      <c r="AY38" s="168">
        <f t="shared" si="6"/>
        <v>37</v>
      </c>
      <c r="AZ38" s="169"/>
      <c r="BA38" s="169"/>
      <c r="BC38" s="168">
        <f t="shared" ca="1" si="24"/>
        <v>32</v>
      </c>
      <c r="BD38" s="209">
        <f t="shared" ca="1" si="8"/>
        <v>17</v>
      </c>
      <c r="BF38" s="173" t="str">
        <f t="shared" ca="1" si="23"/>
        <v>Edison International</v>
      </c>
      <c r="BG38" s="173" t="str">
        <f t="shared" ca="1" si="23"/>
        <v>BBB</v>
      </c>
      <c r="BH38" s="173">
        <f t="shared" ca="1" si="23"/>
        <v>18</v>
      </c>
      <c r="BI38" s="173" t="str">
        <f t="shared" ca="1" si="23"/>
        <v>EIX</v>
      </c>
    </row>
    <row r="39" spans="1:61" ht="13.8" x14ac:dyDescent="0.25">
      <c r="A39" s="223" t="s">
        <v>275</v>
      </c>
      <c r="B39" s="224" t="s">
        <v>141</v>
      </c>
      <c r="C39" s="224">
        <v>18</v>
      </c>
      <c r="D39" s="224" t="s">
        <v>276</v>
      </c>
      <c r="E39" s="225" t="str">
        <f t="shared" ca="1" si="9"/>
        <v>R</v>
      </c>
      <c r="F39" s="348"/>
      <c r="G39" s="349">
        <f t="shared" ca="1" si="1"/>
        <v>26</v>
      </c>
      <c r="H39" s="350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9"/>
        <v/>
      </c>
      <c r="AJ39" s="169">
        <f t="shared" ca="1" si="20"/>
        <v>40</v>
      </c>
      <c r="AK39" s="169" t="str">
        <f t="shared" ca="1" si="21"/>
        <v>BBB</v>
      </c>
      <c r="AL39" s="169">
        <f t="shared" ca="1" si="21"/>
        <v>18</v>
      </c>
      <c r="AM39" s="169" t="str">
        <f t="shared" ca="1" si="4"/>
        <v/>
      </c>
      <c r="AQ39" s="207" t="s">
        <v>301</v>
      </c>
      <c r="AR39" s="207" t="s">
        <v>177</v>
      </c>
      <c r="AS39" s="207">
        <v>14</v>
      </c>
      <c r="AT39" s="207" t="s">
        <v>302</v>
      </c>
      <c r="AV39" s="168">
        <f t="shared" si="5"/>
        <v>43</v>
      </c>
      <c r="AW39" s="168">
        <f>COUNTIF( AV$7:AV39, AV39 )</f>
        <v>1</v>
      </c>
      <c r="AX39" s="208">
        <f t="shared" si="22"/>
        <v>43.1</v>
      </c>
      <c r="AY39" s="168">
        <f t="shared" si="6"/>
        <v>43</v>
      </c>
      <c r="AZ39" s="169"/>
      <c r="BA39" s="169"/>
      <c r="BC39" s="168">
        <f t="shared" ca="1" si="24"/>
        <v>33</v>
      </c>
      <c r="BD39" s="209">
        <f t="shared" ca="1" si="8"/>
        <v>23</v>
      </c>
      <c r="BF39" s="173" t="str">
        <f t="shared" ca="1" si="23"/>
        <v>FirstEnergy Corp.</v>
      </c>
      <c r="BG39" s="173" t="str">
        <f t="shared" ca="1" si="23"/>
        <v>BBB</v>
      </c>
      <c r="BH39" s="173">
        <f t="shared" ca="1" si="23"/>
        <v>18</v>
      </c>
      <c r="BI39" s="173" t="str">
        <f t="shared" ca="1" si="23"/>
        <v>FE</v>
      </c>
    </row>
    <row r="40" spans="1:61" ht="13.8" x14ac:dyDescent="0.25">
      <c r="A40" s="223" t="s">
        <v>283</v>
      </c>
      <c r="B40" s="224" t="s">
        <v>141</v>
      </c>
      <c r="C40" s="224">
        <v>18</v>
      </c>
      <c r="D40" s="224" t="s">
        <v>284</v>
      </c>
      <c r="E40" s="225" t="str">
        <f t="shared" ca="1" si="9"/>
        <v>R</v>
      </c>
      <c r="F40" s="348"/>
      <c r="G40" s="349">
        <f t="shared" ca="1" si="1"/>
        <v>28</v>
      </c>
      <c r="H40" s="350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20"/>
        <v>41</v>
      </c>
      <c r="AK40" s="169" t="str">
        <f t="shared" ca="1" si="21"/>
        <v>BBB</v>
      </c>
      <c r="AL40" s="169">
        <f t="shared" ca="1" si="21"/>
        <v>18</v>
      </c>
      <c r="AM40" s="169" t="str">
        <f t="shared" ca="1" si="4"/>
        <v/>
      </c>
      <c r="AQ40" s="207" t="s">
        <v>281</v>
      </c>
      <c r="AR40" s="207" t="s">
        <v>139</v>
      </c>
      <c r="AS40" s="207">
        <v>20</v>
      </c>
      <c r="AT40" s="207" t="s">
        <v>282</v>
      </c>
      <c r="AV40" s="168">
        <f t="shared" si="5"/>
        <v>2</v>
      </c>
      <c r="AW40" s="168">
        <f>COUNTIF( AV$7:AV40, AV40 )</f>
        <v>8</v>
      </c>
      <c r="AX40" s="208">
        <f t="shared" si="22"/>
        <v>2.8</v>
      </c>
      <c r="AY40" s="168">
        <f t="shared" si="6"/>
        <v>9</v>
      </c>
      <c r="AZ40" s="169"/>
      <c r="BA40" s="169"/>
      <c r="BC40" s="168">
        <f t="shared" ca="1" si="24"/>
        <v>34</v>
      </c>
      <c r="BD40" s="209">
        <f t="shared" ca="1" si="8"/>
        <v>25</v>
      </c>
      <c r="BF40" s="173" t="str">
        <f t="shared" ca="1" si="23"/>
        <v>IDACORP, Inc.</v>
      </c>
      <c r="BG40" s="173" t="str">
        <f t="shared" ca="1" si="23"/>
        <v>BBB</v>
      </c>
      <c r="BH40" s="173">
        <f t="shared" ca="1" si="23"/>
        <v>18</v>
      </c>
      <c r="BI40" s="173" t="str">
        <f t="shared" ca="1" si="23"/>
        <v>IDA</v>
      </c>
    </row>
    <row r="41" spans="1:61" ht="13.8" x14ac:dyDescent="0.25">
      <c r="A41" s="223" t="s">
        <v>287</v>
      </c>
      <c r="B41" s="224" t="s">
        <v>141</v>
      </c>
      <c r="C41" s="224">
        <v>18</v>
      </c>
      <c r="D41" s="224" t="s">
        <v>288</v>
      </c>
      <c r="E41" s="225" t="str">
        <f t="shared" ca="1" si="9"/>
        <v>R</v>
      </c>
      <c r="F41" s="348"/>
      <c r="G41" s="349">
        <f t="shared" ca="1" si="1"/>
        <v>55</v>
      </c>
      <c r="H41" s="350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20"/>
        <v>42</v>
      </c>
      <c r="AK41" s="169" t="str">
        <f t="shared" ca="1" si="21"/>
        <v>BBB</v>
      </c>
      <c r="AL41" s="169">
        <f t="shared" ca="1" si="21"/>
        <v>18</v>
      </c>
      <c r="AM41" s="169" t="str">
        <f t="shared" ca="1" si="4"/>
        <v/>
      </c>
      <c r="AQ41" s="207" t="s">
        <v>303</v>
      </c>
      <c r="AR41" s="207" t="s">
        <v>141</v>
      </c>
      <c r="AS41" s="207">
        <v>18</v>
      </c>
      <c r="AT41" s="207" t="s">
        <v>304</v>
      </c>
      <c r="AV41" s="168">
        <f t="shared" si="5"/>
        <v>30</v>
      </c>
      <c r="AW41" s="168">
        <f>COUNTIF( AV$7:AV41, AV41 )</f>
        <v>9</v>
      </c>
      <c r="AX41" s="208">
        <f t="shared" si="22"/>
        <v>30.9</v>
      </c>
      <c r="AY41" s="168">
        <f t="shared" si="6"/>
        <v>38</v>
      </c>
      <c r="AZ41" s="169"/>
      <c r="BA41" s="169"/>
      <c r="BC41" s="168">
        <f t="shared" ca="1" si="24"/>
        <v>35</v>
      </c>
      <c r="BD41" s="209">
        <f t="shared" ca="1" si="8"/>
        <v>26</v>
      </c>
      <c r="BF41" s="173" t="str">
        <f t="shared" ca="1" si="23"/>
        <v>IPALCO Enterprises, Inc.</v>
      </c>
      <c r="BG41" s="173" t="str">
        <f t="shared" ca="1" si="23"/>
        <v>BBB</v>
      </c>
      <c r="BH41" s="173">
        <f t="shared" ca="1" si="23"/>
        <v>18</v>
      </c>
      <c r="BI41" s="173" t="str">
        <f t="shared" ca="1" si="23"/>
        <v>**IPALCO</v>
      </c>
    </row>
    <row r="42" spans="1:61" ht="13.8" x14ac:dyDescent="0.25">
      <c r="A42" s="223" t="s">
        <v>297</v>
      </c>
      <c r="B42" s="224" t="s">
        <v>141</v>
      </c>
      <c r="C42" s="224">
        <v>18</v>
      </c>
      <c r="D42" s="224" t="s">
        <v>298</v>
      </c>
      <c r="E42" s="225" t="str">
        <f t="shared" ca="1" si="9"/>
        <v>R</v>
      </c>
      <c r="F42" s="348"/>
      <c r="G42" s="349">
        <f t="shared" ca="1" si="1"/>
        <v>33</v>
      </c>
      <c r="H42" s="350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20"/>
        <v>43</v>
      </c>
      <c r="AK42" s="169" t="str">
        <f t="shared" ca="1" si="21"/>
        <v>BBB</v>
      </c>
      <c r="AL42" s="169">
        <f t="shared" ca="1" si="21"/>
        <v>18</v>
      </c>
      <c r="AM42" s="169" t="str">
        <f t="shared" ca="1" si="4"/>
        <v/>
      </c>
      <c r="AQ42" s="207" t="s">
        <v>285</v>
      </c>
      <c r="AR42" s="207" t="s">
        <v>140</v>
      </c>
      <c r="AS42" s="207">
        <v>19</v>
      </c>
      <c r="AT42" s="207" t="s">
        <v>286</v>
      </c>
      <c r="AV42" s="168">
        <f t="shared" si="5"/>
        <v>14</v>
      </c>
      <c r="AW42" s="168">
        <f>COUNTIF( AV$7:AV42, AV42 )</f>
        <v>13</v>
      </c>
      <c r="AX42" s="208">
        <f t="shared" si="22"/>
        <v>15.3</v>
      </c>
      <c r="AY42" s="168">
        <f t="shared" si="6"/>
        <v>26</v>
      </c>
      <c r="AZ42" s="169"/>
      <c r="BA42" s="169"/>
      <c r="BC42" s="168">
        <f t="shared" ca="1" si="24"/>
        <v>36</v>
      </c>
      <c r="BD42" s="209">
        <f t="shared" ca="1" si="8"/>
        <v>30</v>
      </c>
      <c r="BF42" s="173" t="str">
        <f t="shared" ca="1" si="23"/>
        <v>NorthWestern Corporation</v>
      </c>
      <c r="BG42" s="173" t="str">
        <f t="shared" ca="1" si="23"/>
        <v>BBB</v>
      </c>
      <c r="BH42" s="173">
        <f t="shared" ca="1" si="23"/>
        <v>18</v>
      </c>
      <c r="BI42" s="173" t="str">
        <f t="shared" ca="1" si="23"/>
        <v>NWE</v>
      </c>
    </row>
    <row r="43" spans="1:61" ht="13.8" x14ac:dyDescent="0.25">
      <c r="A43" s="223" t="s">
        <v>299</v>
      </c>
      <c r="B43" s="224" t="s">
        <v>141</v>
      </c>
      <c r="C43" s="224">
        <v>18</v>
      </c>
      <c r="D43" s="224" t="s">
        <v>300</v>
      </c>
      <c r="E43" s="225" t="str">
        <f t="shared" ca="1" si="9"/>
        <v>R</v>
      </c>
      <c r="F43" s="348"/>
      <c r="G43" s="349">
        <f t="shared" ca="1" si="1"/>
        <v>35</v>
      </c>
      <c r="H43" s="350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9"/>
        <v/>
      </c>
      <c r="AJ43" s="169">
        <f t="shared" ca="1" si="20"/>
        <v>44</v>
      </c>
      <c r="AK43" s="169" t="str">
        <f t="shared" ca="1" si="21"/>
        <v>BBB</v>
      </c>
      <c r="AL43" s="169">
        <f t="shared" ca="1" si="21"/>
        <v>18</v>
      </c>
      <c r="AM43" s="169" t="str">
        <f t="shared" ca="1" si="4"/>
        <v/>
      </c>
      <c r="AQ43" s="207" t="s">
        <v>243</v>
      </c>
      <c r="AR43" s="207" t="s">
        <v>139</v>
      </c>
      <c r="AS43" s="207">
        <v>20</v>
      </c>
      <c r="AT43" s="207" t="s">
        <v>244</v>
      </c>
      <c r="AV43" s="168">
        <f t="shared" si="5"/>
        <v>2</v>
      </c>
      <c r="AW43" s="168">
        <f>COUNTIF( AV$7:AV43, AV43 )</f>
        <v>9</v>
      </c>
      <c r="AX43" s="208">
        <f t="shared" si="22"/>
        <v>2.9</v>
      </c>
      <c r="AY43" s="168">
        <f t="shared" si="6"/>
        <v>10</v>
      </c>
      <c r="AZ43" s="169"/>
      <c r="BA43" s="169"/>
      <c r="BC43" s="168">
        <f t="shared" ca="1" si="24"/>
        <v>37</v>
      </c>
      <c r="BD43" s="209">
        <f t="shared" ca="1" si="8"/>
        <v>32</v>
      </c>
      <c r="BF43" s="173" t="str">
        <f t="shared" ca="1" si="23"/>
        <v>Otter Tail Corporation</v>
      </c>
      <c r="BG43" s="173" t="str">
        <f t="shared" ca="1" si="23"/>
        <v>BBB</v>
      </c>
      <c r="BH43" s="173">
        <f t="shared" ca="1" si="23"/>
        <v>18</v>
      </c>
      <c r="BI43" s="173" t="str">
        <f t="shared" ca="1" si="23"/>
        <v>OTTR</v>
      </c>
    </row>
    <row r="44" spans="1:61" ht="13.8" x14ac:dyDescent="0.25">
      <c r="A44" s="223" t="s">
        <v>303</v>
      </c>
      <c r="B44" s="224" t="s">
        <v>141</v>
      </c>
      <c r="C44" s="224">
        <v>18</v>
      </c>
      <c r="D44" s="224" t="s">
        <v>304</v>
      </c>
      <c r="E44" s="225" t="str">
        <f t="shared" ca="1" si="9"/>
        <v>R</v>
      </c>
      <c r="F44" s="348"/>
      <c r="G44" s="349">
        <f t="shared" ca="1" si="1"/>
        <v>38</v>
      </c>
      <c r="H44" s="350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9"/>
        <v/>
      </c>
      <c r="AJ44" s="169">
        <f t="shared" ca="1" si="20"/>
        <v>45</v>
      </c>
      <c r="AK44" s="169" t="str">
        <f t="shared" ca="1" si="21"/>
        <v>BBB</v>
      </c>
      <c r="AL44" s="169">
        <f t="shared" ca="1" si="21"/>
        <v>18</v>
      </c>
      <c r="AM44" s="169" t="str">
        <f t="shared" ca="1" si="4"/>
        <v/>
      </c>
      <c r="AQ44" s="207" t="s">
        <v>289</v>
      </c>
      <c r="AR44" s="207" t="s">
        <v>140</v>
      </c>
      <c r="AS44" s="207">
        <v>19</v>
      </c>
      <c r="AT44" s="207" t="s">
        <v>290</v>
      </c>
      <c r="AV44" s="168">
        <f t="shared" si="5"/>
        <v>14</v>
      </c>
      <c r="AW44" s="168">
        <f>COUNTIF( AV$7:AV44, AV44 )</f>
        <v>14</v>
      </c>
      <c r="AX44" s="208">
        <f t="shared" si="22"/>
        <v>15.4</v>
      </c>
      <c r="AY44" s="168">
        <f t="shared" si="6"/>
        <v>27</v>
      </c>
      <c r="AZ44" s="169"/>
      <c r="BA44" s="169"/>
      <c r="BC44" s="168">
        <f t="shared" ca="1" si="24"/>
        <v>38</v>
      </c>
      <c r="BD44" s="209">
        <f t="shared" ca="1" si="8"/>
        <v>35</v>
      </c>
      <c r="BF44" s="173" t="str">
        <f t="shared" ca="1" si="23"/>
        <v>PNM Resources, Inc.</v>
      </c>
      <c r="BG44" s="173" t="str">
        <f t="shared" ca="1" si="23"/>
        <v>BBB</v>
      </c>
      <c r="BH44" s="173">
        <f t="shared" ca="1" si="23"/>
        <v>18</v>
      </c>
      <c r="BI44" s="173" t="str">
        <f t="shared" ca="1" si="23"/>
        <v>PNM</v>
      </c>
    </row>
    <row r="45" spans="1:61" ht="13.8" x14ac:dyDescent="0.25">
      <c r="A45" s="223" t="s">
        <v>254</v>
      </c>
      <c r="B45" s="224" t="s">
        <v>142</v>
      </c>
      <c r="C45" s="224">
        <v>17</v>
      </c>
      <c r="D45" s="224" t="s">
        <v>255</v>
      </c>
      <c r="E45" s="225" t="str">
        <f t="shared" ca="1" si="9"/>
        <v>R</v>
      </c>
      <c r="F45" s="348"/>
      <c r="G45" s="349">
        <f t="shared" ca="1" si="1"/>
        <v>53</v>
      </c>
      <c r="H45" s="350"/>
      <c r="I45" s="237"/>
      <c r="J45" s="191"/>
      <c r="K45" s="237"/>
      <c r="N45" s="237"/>
      <c r="Q45" s="237"/>
      <c r="T45" s="237"/>
      <c r="W45" s="237"/>
      <c r="AF45" s="169">
        <f t="shared" si="2"/>
        <v>1</v>
      </c>
      <c r="AG45" s="169" t="str">
        <f t="shared" ca="1" si="3"/>
        <v/>
      </c>
      <c r="AH45" s="169" t="str">
        <f t="shared" ca="1" si="19"/>
        <v/>
      </c>
      <c r="AJ45" s="169">
        <f t="shared" ca="1" si="20"/>
        <v>46</v>
      </c>
      <c r="AK45" s="169" t="str">
        <f t="shared" ca="1" si="21"/>
        <v>BBB-</v>
      </c>
      <c r="AL45" s="169">
        <f t="shared" ca="1" si="21"/>
        <v>17</v>
      </c>
      <c r="AM45" s="169" t="str">
        <f t="shared" ca="1" si="4"/>
        <v/>
      </c>
      <c r="AQ45" s="207" t="s">
        <v>305</v>
      </c>
      <c r="AR45" s="207" t="s">
        <v>142</v>
      </c>
      <c r="AS45" s="207">
        <v>17</v>
      </c>
      <c r="AT45" s="207" t="s">
        <v>306</v>
      </c>
      <c r="AV45" s="168">
        <f t="shared" si="5"/>
        <v>39</v>
      </c>
      <c r="AW45" s="168">
        <f>COUNTIF( AV$7:AV45, AV45 )</f>
        <v>3</v>
      </c>
      <c r="AX45" s="208">
        <f t="shared" si="22"/>
        <v>39.299999999999997</v>
      </c>
      <c r="AY45" s="168">
        <f t="shared" si="6"/>
        <v>41</v>
      </c>
      <c r="AZ45" s="169"/>
      <c r="BA45" s="169"/>
      <c r="BC45" s="168">
        <f t="shared" ca="1" si="24"/>
        <v>39</v>
      </c>
      <c r="BD45" s="209">
        <f t="shared" ca="1" si="8"/>
        <v>10</v>
      </c>
      <c r="BF45" s="173" t="str">
        <f t="shared" ca="1" si="23"/>
        <v>Cleco Corporation</v>
      </c>
      <c r="BG45" s="173" t="str">
        <f t="shared" ca="1" si="23"/>
        <v>BBB-</v>
      </c>
      <c r="BH45" s="173">
        <f t="shared" ca="1" si="23"/>
        <v>17</v>
      </c>
      <c r="BI45" s="173" t="str">
        <f t="shared" ca="1" si="23"/>
        <v>**CNL</v>
      </c>
    </row>
    <row r="46" spans="1:61" ht="13.8" x14ac:dyDescent="0.25">
      <c r="A46" s="223" t="s">
        <v>279</v>
      </c>
      <c r="B46" s="224" t="s">
        <v>142</v>
      </c>
      <c r="C46" s="224">
        <v>17</v>
      </c>
      <c r="D46" s="224" t="s">
        <v>280</v>
      </c>
      <c r="E46" s="225" t="str">
        <f t="shared" ca="1" si="9"/>
        <v>MR</v>
      </c>
      <c r="F46" s="348"/>
      <c r="G46" s="349">
        <f t="shared" ca="1" si="1"/>
        <v>27</v>
      </c>
      <c r="H46" s="350"/>
      <c r="I46" s="191"/>
      <c r="K46" s="191"/>
      <c r="N46" s="351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9"/>
        <v/>
      </c>
      <c r="AJ46" s="169">
        <f t="shared" ca="1" si="20"/>
        <v>47</v>
      </c>
      <c r="AK46" s="169" t="str">
        <f t="shared" ca="1" si="21"/>
        <v>BBB-</v>
      </c>
      <c r="AL46" s="169">
        <f t="shared" ca="1" si="21"/>
        <v>17</v>
      </c>
      <c r="AM46" s="169" t="str">
        <f t="shared" ca="1" si="4"/>
        <v/>
      </c>
      <c r="AQ46" s="207" t="s">
        <v>291</v>
      </c>
      <c r="AR46" s="207" t="s">
        <v>140</v>
      </c>
      <c r="AS46" s="207">
        <v>19</v>
      </c>
      <c r="AT46" s="207" t="s">
        <v>292</v>
      </c>
      <c r="AV46" s="168">
        <f t="shared" si="5"/>
        <v>14</v>
      </c>
      <c r="AW46" s="168">
        <f>COUNTIF( AV$7:AV46, AV46 )</f>
        <v>15</v>
      </c>
      <c r="AX46" s="208">
        <f t="shared" si="22"/>
        <v>15.5</v>
      </c>
      <c r="AY46" s="168">
        <f t="shared" si="6"/>
        <v>28</v>
      </c>
      <c r="AZ46" s="169"/>
      <c r="BA46" s="169"/>
      <c r="BC46" s="168">
        <f t="shared" ca="1" si="24"/>
        <v>40</v>
      </c>
      <c r="BD46" s="209">
        <f t="shared" ca="1" si="8"/>
        <v>24</v>
      </c>
      <c r="BF46" s="173" t="str">
        <f t="shared" ca="1" si="23"/>
        <v>Hawaiian Electric Industries, Inc.</v>
      </c>
      <c r="BG46" s="173" t="str">
        <f t="shared" ca="1" si="23"/>
        <v>BBB-</v>
      </c>
      <c r="BH46" s="173">
        <f t="shared" ca="1" si="23"/>
        <v>17</v>
      </c>
      <c r="BI46" s="173" t="str">
        <f t="shared" ca="1" si="23"/>
        <v>HE</v>
      </c>
    </row>
    <row r="47" spans="1:61" ht="13.8" x14ac:dyDescent="0.25">
      <c r="A47" s="223" t="s">
        <v>305</v>
      </c>
      <c r="B47" s="224" t="s">
        <v>142</v>
      </c>
      <c r="C47" s="224">
        <v>17</v>
      </c>
      <c r="D47" s="224" t="s">
        <v>306</v>
      </c>
      <c r="E47" s="225" t="str">
        <f t="shared" ca="1" si="9"/>
        <v>R</v>
      </c>
      <c r="F47" s="348"/>
      <c r="G47" s="349">
        <f t="shared" ca="1" si="1"/>
        <v>57</v>
      </c>
      <c r="H47" s="350"/>
      <c r="I47" s="350"/>
      <c r="J47" s="187" t="s">
        <v>307</v>
      </c>
      <c r="K47" s="191"/>
      <c r="M47" s="351"/>
      <c r="N47" s="351"/>
      <c r="AF47" s="169">
        <f t="shared" si="2"/>
        <v>1</v>
      </c>
      <c r="AG47" s="169" t="str">
        <f t="shared" ca="1" si="3"/>
        <v/>
      </c>
      <c r="AH47" s="169" t="str">
        <f t="shared" ca="1" si="19"/>
        <v/>
      </c>
      <c r="AJ47" s="169">
        <f t="shared" ca="1" si="20"/>
        <v>48</v>
      </c>
      <c r="AK47" s="169" t="str">
        <f t="shared" ca="1" si="21"/>
        <v>BBB-</v>
      </c>
      <c r="AL47" s="169">
        <f t="shared" ca="1" si="21"/>
        <v>17</v>
      </c>
      <c r="AM47" s="169" t="str">
        <f t="shared" ca="1" si="4"/>
        <v/>
      </c>
      <c r="AQ47" s="207" t="s">
        <v>293</v>
      </c>
      <c r="AR47" s="207" t="s">
        <v>139</v>
      </c>
      <c r="AS47" s="207">
        <v>20</v>
      </c>
      <c r="AT47" s="207" t="s">
        <v>294</v>
      </c>
      <c r="AV47" s="168">
        <f t="shared" si="5"/>
        <v>2</v>
      </c>
      <c r="AW47" s="168">
        <f>COUNTIF( AV$7:AV47, AV47 )</f>
        <v>10</v>
      </c>
      <c r="AX47" s="208">
        <f t="shared" si="22"/>
        <v>3</v>
      </c>
      <c r="AY47" s="168">
        <f t="shared" si="6"/>
        <v>11</v>
      </c>
      <c r="AZ47" s="169"/>
      <c r="BA47" s="169"/>
      <c r="BC47" s="168">
        <f t="shared" ca="1" si="24"/>
        <v>41</v>
      </c>
      <c r="BD47" s="209">
        <f t="shared" ca="1" si="8"/>
        <v>39</v>
      </c>
      <c r="BF47" s="173" t="str">
        <f t="shared" ca="1" si="23"/>
        <v>Puget Energy, Inc.</v>
      </c>
      <c r="BG47" s="173" t="str">
        <f t="shared" ca="1" si="23"/>
        <v>BBB-</v>
      </c>
      <c r="BH47" s="173">
        <f t="shared" ca="1" si="23"/>
        <v>17</v>
      </c>
      <c r="BI47" s="173" t="str">
        <f t="shared" ca="1" si="23"/>
        <v>**PSD</v>
      </c>
    </row>
    <row r="48" spans="1:61" ht="13.8" x14ac:dyDescent="0.25">
      <c r="A48" s="223" t="s">
        <v>259</v>
      </c>
      <c r="B48" s="224" t="s">
        <v>175</v>
      </c>
      <c r="C48" s="224">
        <v>15</v>
      </c>
      <c r="D48" s="224" t="s">
        <v>260</v>
      </c>
      <c r="E48" s="225" t="str">
        <f t="shared" ca="1" si="9"/>
        <v>R</v>
      </c>
      <c r="F48" s="348"/>
      <c r="G48" s="349">
        <f t="shared" ca="1" si="1"/>
        <v>54</v>
      </c>
      <c r="H48" s="350"/>
      <c r="I48" s="350"/>
      <c r="K48" s="191"/>
      <c r="M48" s="351"/>
      <c r="N48" s="351"/>
      <c r="AF48" s="169">
        <f t="shared" si="2"/>
        <v>0</v>
      </c>
      <c r="AG48" s="169" t="str">
        <f t="shared" ca="1" si="3"/>
        <v/>
      </c>
      <c r="AH48" s="169" t="str">
        <f t="shared" ca="1" si="19"/>
        <v/>
      </c>
      <c r="AJ48" s="169">
        <f t="shared" ca="1" si="20"/>
        <v>49</v>
      </c>
      <c r="AK48" s="169" t="str">
        <f t="shared" ca="1" si="21"/>
        <v>BB</v>
      </c>
      <c r="AL48" s="169">
        <f t="shared" ca="1" si="21"/>
        <v>15</v>
      </c>
      <c r="AM48" s="169" t="str">
        <f t="shared" ca="1" si="4"/>
        <v/>
      </c>
      <c r="AQ48" s="207" t="s">
        <v>295</v>
      </c>
      <c r="AR48" s="207" t="s">
        <v>140</v>
      </c>
      <c r="AS48" s="207">
        <v>19</v>
      </c>
      <c r="AT48" s="207" t="s">
        <v>296</v>
      </c>
      <c r="AV48" s="168">
        <f t="shared" si="5"/>
        <v>14</v>
      </c>
      <c r="AW48" s="168">
        <f>COUNTIF( AV$7:AV48, AV48 )</f>
        <v>16</v>
      </c>
      <c r="AX48" s="208">
        <f t="shared" si="22"/>
        <v>15.6</v>
      </c>
      <c r="AY48" s="168">
        <f t="shared" si="6"/>
        <v>29</v>
      </c>
      <c r="AZ48" s="169"/>
      <c r="BA48" s="169"/>
      <c r="BC48" s="168">
        <f t="shared" ca="1" si="24"/>
        <v>42</v>
      </c>
      <c r="BD48" s="209">
        <f t="shared" ca="1" si="8"/>
        <v>14</v>
      </c>
      <c r="BF48" s="173" t="str">
        <f t="shared" ca="1" si="23"/>
        <v>DPL Inc.</v>
      </c>
      <c r="BG48" s="173" t="str">
        <f t="shared" ca="1" si="23"/>
        <v>BB</v>
      </c>
      <c r="BH48" s="173">
        <f t="shared" ca="1" si="23"/>
        <v>15</v>
      </c>
      <c r="BI48" s="173" t="str">
        <f t="shared" ca="1" si="23"/>
        <v>**DPL</v>
      </c>
    </row>
    <row r="49" spans="1:61" ht="13.8" x14ac:dyDescent="0.25">
      <c r="A49" s="223" t="s">
        <v>301</v>
      </c>
      <c r="B49" s="224" t="s">
        <v>177</v>
      </c>
      <c r="C49" s="224">
        <v>14</v>
      </c>
      <c r="D49" s="224" t="s">
        <v>302</v>
      </c>
      <c r="E49" s="225" t="str">
        <f t="shared" ca="1" si="9"/>
        <v>R</v>
      </c>
      <c r="F49" s="348"/>
      <c r="G49" s="349">
        <f t="shared" ca="1" si="1"/>
        <v>36</v>
      </c>
      <c r="H49" s="350"/>
      <c r="I49" s="350"/>
      <c r="J49" s="191"/>
      <c r="K49" s="191"/>
      <c r="M49" s="351"/>
      <c r="N49" s="351"/>
      <c r="AF49" s="169">
        <f t="shared" si="2"/>
        <v>1</v>
      </c>
      <c r="AG49" s="169" t="str">
        <f t="shared" ca="1" si="3"/>
        <v/>
      </c>
      <c r="AH49" s="169" t="str">
        <f t="shared" ca="1" si="19"/>
        <v/>
      </c>
      <c r="AJ49" s="169">
        <f t="shared" ca="1" si="20"/>
        <v>50</v>
      </c>
      <c r="AK49" s="169" t="str">
        <f t="shared" ca="1" si="21"/>
        <v>BB-</v>
      </c>
      <c r="AL49" s="169">
        <f t="shared" ca="1" si="21"/>
        <v>14</v>
      </c>
      <c r="AM49" s="169" t="str">
        <f t="shared" ca="1" si="4"/>
        <v/>
      </c>
      <c r="AQ49" s="207" t="s">
        <v>247</v>
      </c>
      <c r="AR49" s="207" t="s">
        <v>139</v>
      </c>
      <c r="AS49" s="207">
        <v>20</v>
      </c>
      <c r="AT49" s="207" t="s">
        <v>248</v>
      </c>
      <c r="AV49" s="168">
        <f t="shared" si="5"/>
        <v>2</v>
      </c>
      <c r="AW49" s="168">
        <f>COUNTIF( AV$7:AV49, AV49 )</f>
        <v>11</v>
      </c>
      <c r="AX49" s="208">
        <f t="shared" si="22"/>
        <v>3.1</v>
      </c>
      <c r="AY49" s="168">
        <f t="shared" si="6"/>
        <v>12</v>
      </c>
      <c r="AZ49" s="169"/>
      <c r="BA49" s="169"/>
      <c r="BC49" s="168">
        <f t="shared" ca="1" si="24"/>
        <v>43</v>
      </c>
      <c r="BD49" s="209">
        <f t="shared" ca="1" si="8"/>
        <v>33</v>
      </c>
      <c r="BF49" s="173" t="str">
        <f t="shared" ca="1" si="23"/>
        <v>PG&amp;E Corporation</v>
      </c>
      <c r="BG49" s="173" t="str">
        <f t="shared" ca="1" si="23"/>
        <v>BB-</v>
      </c>
      <c r="BH49" s="173">
        <f t="shared" ca="1" si="23"/>
        <v>14</v>
      </c>
      <c r="BI49" s="173" t="str">
        <f t="shared" ca="1" si="23"/>
        <v>PCG</v>
      </c>
    </row>
    <row r="50" spans="1:61" ht="13.8" x14ac:dyDescent="0.25">
      <c r="A50" s="223"/>
      <c r="B50" s="224"/>
      <c r="C50" s="224"/>
      <c r="D50" s="224"/>
      <c r="E50" s="225"/>
      <c r="F50" s="348"/>
      <c r="G50" s="349"/>
      <c r="H50" s="350"/>
      <c r="I50" s="350"/>
      <c r="J50" s="191"/>
      <c r="K50" s="191"/>
      <c r="M50" s="351"/>
      <c r="N50" s="351"/>
      <c r="AF50" s="169">
        <f t="shared" si="2"/>
        <v>0</v>
      </c>
      <c r="AG50" s="169" t="str">
        <f t="shared" si="3"/>
        <v/>
      </c>
      <c r="AH50" s="169" t="str">
        <f t="shared" si="19"/>
        <v/>
      </c>
      <c r="AJ50" s="169" t="e">
        <f t="shared" ca="1" si="20"/>
        <v>#N/A</v>
      </c>
      <c r="AK50" s="169" t="str">
        <f t="shared" ca="1" si="21"/>
        <v/>
      </c>
      <c r="AL50" s="169" t="str">
        <f t="shared" ca="1" si="21"/>
        <v/>
      </c>
      <c r="AM50" s="169" t="str">
        <f t="shared" ca="1" si="4"/>
        <v/>
      </c>
      <c r="AQ50" s="207" t="s">
        <v>251</v>
      </c>
      <c r="AR50" s="207" t="s">
        <v>139</v>
      </c>
      <c r="AS50" s="207">
        <v>20</v>
      </c>
      <c r="AT50" s="207" t="s">
        <v>252</v>
      </c>
      <c r="AV50" s="168">
        <f t="shared" si="5"/>
        <v>2</v>
      </c>
      <c r="AW50" s="168">
        <f>COUNTIF( AV$7:AV50, AV50 )</f>
        <v>12</v>
      </c>
      <c r="AX50" s="208">
        <f t="shared" si="22"/>
        <v>3.2</v>
      </c>
      <c r="AY50" s="168">
        <f t="shared" si="6"/>
        <v>13</v>
      </c>
      <c r="AZ50" s="169"/>
      <c r="BA50" s="169"/>
      <c r="BC50" s="168">
        <f t="shared" ca="1" si="24"/>
        <v>44</v>
      </c>
      <c r="BD50" s="209">
        <f t="shared" ca="1" si="8"/>
        <v>18</v>
      </c>
      <c r="BF50" s="173" t="str">
        <f t="shared" ca="1" si="23"/>
        <v>El Paso Electric Company</v>
      </c>
      <c r="BG50" s="173" t="str">
        <f t="shared" ca="1" si="23"/>
        <v/>
      </c>
      <c r="BH50" s="173" t="str">
        <f t="shared" ca="1" si="23"/>
        <v/>
      </c>
      <c r="BI50" s="173">
        <f t="shared" ca="1" si="23"/>
        <v>0</v>
      </c>
    </row>
    <row r="51" spans="1:61" ht="13.8" x14ac:dyDescent="0.25">
      <c r="A51" s="223"/>
      <c r="B51" s="224"/>
      <c r="C51" s="224"/>
      <c r="D51" s="224"/>
      <c r="E51" s="225"/>
      <c r="F51" s="348"/>
      <c r="G51" s="349"/>
      <c r="H51" s="350"/>
      <c r="I51" s="350"/>
      <c r="J51" s="191"/>
      <c r="K51" s="191"/>
      <c r="M51" s="351"/>
      <c r="N51" s="351"/>
      <c r="AF51" s="169">
        <f t="shared" si="2"/>
        <v>0</v>
      </c>
      <c r="AG51" s="169" t="str">
        <f t="shared" si="3"/>
        <v/>
      </c>
      <c r="AH51" s="169" t="str">
        <f t="shared" si="19"/>
        <v/>
      </c>
      <c r="AJ51" s="169" t="e">
        <f t="shared" ca="1" si="20"/>
        <v>#N/A</v>
      </c>
      <c r="AK51" s="169" t="str">
        <f t="shared" ca="1" si="21"/>
        <v/>
      </c>
      <c r="AL51" s="169" t="str">
        <f t="shared" ca="1" si="21"/>
        <v/>
      </c>
      <c r="AM51" s="169" t="str">
        <f t="shared" ca="1" si="4"/>
        <v/>
      </c>
      <c r="AQ51" s="207"/>
      <c r="AR51" s="207"/>
      <c r="AS51" s="207"/>
      <c r="AT51" s="207"/>
      <c r="AV51" s="168">
        <f t="shared" si="5"/>
        <v>99</v>
      </c>
      <c r="AW51" s="168">
        <f>COUNTIF( AV$7:AV51, AV51 )</f>
        <v>2</v>
      </c>
      <c r="AX51" s="208">
        <f t="shared" si="22"/>
        <v>99.2</v>
      </c>
      <c r="AY51" s="168">
        <f t="shared" si="6"/>
        <v>45</v>
      </c>
      <c r="AZ51" s="169"/>
      <c r="BA51" s="169"/>
      <c r="BC51" s="168">
        <f t="shared" ca="1" si="24"/>
        <v>45</v>
      </c>
      <c r="BD51" s="209">
        <f t="shared" ca="1" si="8"/>
        <v>45</v>
      </c>
      <c r="BF51" s="173">
        <f t="shared" ref="BF51:BI63" ca="1" si="25">OFFSET( AQ$6, $BD52, 0 )</f>
        <v>0</v>
      </c>
      <c r="BG51" s="173">
        <f t="shared" ca="1" si="25"/>
        <v>0</v>
      </c>
      <c r="BH51" s="173">
        <f t="shared" ca="1" si="25"/>
        <v>0</v>
      </c>
      <c r="BI51" s="173">
        <f t="shared" ca="1" si="25"/>
        <v>0</v>
      </c>
    </row>
    <row r="52" spans="1:61" ht="13.8" x14ac:dyDescent="0.25">
      <c r="A52" s="223"/>
      <c r="B52" s="224"/>
      <c r="C52" s="224"/>
      <c r="D52" s="224"/>
      <c r="E52" s="225"/>
      <c r="F52" s="348"/>
      <c r="G52" s="349"/>
      <c r="H52" s="350"/>
      <c r="I52" s="350"/>
      <c r="J52" s="191"/>
      <c r="K52" s="191"/>
      <c r="AF52" s="169">
        <f t="shared" si="2"/>
        <v>0</v>
      </c>
      <c r="AG52" s="169" t="str">
        <f t="shared" si="3"/>
        <v/>
      </c>
      <c r="AH52" s="169" t="str">
        <f t="shared" si="19"/>
        <v/>
      </c>
      <c r="AJ52" s="169" t="e">
        <f t="shared" ca="1" si="20"/>
        <v>#N/A</v>
      </c>
      <c r="AK52" s="169" t="str">
        <f t="shared" ca="1" si="21"/>
        <v/>
      </c>
      <c r="AL52" s="169" t="str">
        <f t="shared" ca="1" si="21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si="5"/>
        <v>99</v>
      </c>
      <c r="AW52" s="168">
        <f>COUNTIF( AV$7:AV52, AV52 )</f>
        <v>3</v>
      </c>
      <c r="AX52" s="208">
        <f t="shared" si="22"/>
        <v>99.3</v>
      </c>
      <c r="AY52" s="168">
        <f t="shared" si="6"/>
        <v>46</v>
      </c>
      <c r="AZ52" s="169"/>
      <c r="BA52" s="169"/>
      <c r="BC52" s="168">
        <f t="shared" ca="1" si="24"/>
        <v>46</v>
      </c>
      <c r="BD52" s="209">
        <f t="shared" ca="1" si="8"/>
        <v>46</v>
      </c>
      <c r="BF52" s="173">
        <f t="shared" ca="1" si="25"/>
        <v>0</v>
      </c>
      <c r="BG52" s="173">
        <f t="shared" ca="1" si="25"/>
        <v>0</v>
      </c>
      <c r="BH52" s="173">
        <f t="shared" ca="1" si="25"/>
        <v>0</v>
      </c>
      <c r="BI52" s="173">
        <f t="shared" ca="1" si="25"/>
        <v>0</v>
      </c>
    </row>
    <row r="53" spans="1:61" ht="13.8" x14ac:dyDescent="0.25">
      <c r="A53" s="223"/>
      <c r="B53" s="224"/>
      <c r="C53" s="224"/>
      <c r="D53" s="224"/>
      <c r="E53" s="225"/>
      <c r="F53" s="348"/>
      <c r="G53" s="349" t="str">
        <f t="shared" ca="1" si="1"/>
        <v/>
      </c>
      <c r="H53" s="350"/>
      <c r="I53" s="350"/>
      <c r="J53" s="191"/>
      <c r="K53" s="191"/>
      <c r="AF53" s="169">
        <f t="shared" si="2"/>
        <v>0</v>
      </c>
      <c r="AG53" s="169" t="str">
        <f t="shared" si="3"/>
        <v/>
      </c>
      <c r="AH53" s="169" t="str">
        <f t="shared" si="19"/>
        <v/>
      </c>
      <c r="AJ53" s="169" t="e">
        <f t="shared" ca="1" si="20"/>
        <v>#N/A</v>
      </c>
      <c r="AK53" s="169" t="str">
        <f t="shared" ca="1" si="21"/>
        <v/>
      </c>
      <c r="AL53" s="169" t="str">
        <f t="shared" ca="1" si="21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si="5"/>
        <v>99</v>
      </c>
      <c r="AW53" s="168">
        <f>COUNTIF( AV$7:AV53, AV53 )</f>
        <v>4</v>
      </c>
      <c r="AX53" s="208">
        <f t="shared" si="22"/>
        <v>99.4</v>
      </c>
      <c r="AY53" s="168">
        <f t="shared" si="6"/>
        <v>47</v>
      </c>
      <c r="AZ53" s="169"/>
      <c r="BA53" s="169"/>
      <c r="BC53" s="168">
        <f t="shared" ca="1" si="24"/>
        <v>47</v>
      </c>
      <c r="BD53" s="209">
        <f t="shared" ca="1" si="8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ht="13.8" x14ac:dyDescent="0.25">
      <c r="A54" s="223"/>
      <c r="B54" s="224"/>
      <c r="C54" s="224"/>
      <c r="D54" s="224"/>
      <c r="E54" s="225"/>
      <c r="F54" s="348"/>
      <c r="G54" s="349" t="str">
        <f t="shared" ca="1" si="1"/>
        <v/>
      </c>
      <c r="H54" s="350"/>
      <c r="I54" s="350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9"/>
        <v/>
      </c>
      <c r="AJ54" s="169" t="e">
        <f t="shared" ca="1" si="20"/>
        <v>#N/A</v>
      </c>
      <c r="AK54" s="169" t="str">
        <f t="shared" ca="1" si="21"/>
        <v/>
      </c>
      <c r="AL54" s="169" t="str">
        <f t="shared" ca="1" si="21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5"/>
        <v>99</v>
      </c>
      <c r="AW54" s="168">
        <f>COUNTIF( AV$7:AV54, AV54 )</f>
        <v>5</v>
      </c>
      <c r="AX54" s="208">
        <f t="shared" si="22"/>
        <v>99.5</v>
      </c>
      <c r="AY54" s="168">
        <f t="shared" si="6"/>
        <v>48</v>
      </c>
      <c r="AZ54" s="169"/>
      <c r="BA54" s="169"/>
      <c r="BC54" s="168">
        <f t="shared" ca="1" si="24"/>
        <v>48</v>
      </c>
      <c r="BD54" s="209">
        <f t="shared" ca="1" si="8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3.8" x14ac:dyDescent="0.25">
      <c r="A55" s="223"/>
      <c r="B55" s="224"/>
      <c r="C55" s="224"/>
      <c r="D55" s="224"/>
      <c r="E55" s="225"/>
      <c r="F55" s="348"/>
      <c r="G55" s="349" t="str">
        <f t="shared" ca="1" si="1"/>
        <v/>
      </c>
      <c r="H55" s="350"/>
      <c r="I55" s="350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9"/>
        <v/>
      </c>
      <c r="AJ55" s="169" t="e">
        <f t="shared" ca="1" si="20"/>
        <v>#N/A</v>
      </c>
      <c r="AK55" s="169" t="str">
        <f t="shared" ca="1" si="21"/>
        <v/>
      </c>
      <c r="AL55" s="169" t="str">
        <f t="shared" ca="1" si="21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5"/>
        <v>99</v>
      </c>
      <c r="AW55" s="168">
        <f>COUNTIF( AV$7:AV55, AV55 )</f>
        <v>6</v>
      </c>
      <c r="AX55" s="208">
        <f t="shared" si="22"/>
        <v>99.6</v>
      </c>
      <c r="AY55" s="168">
        <f t="shared" si="6"/>
        <v>49</v>
      </c>
      <c r="AZ55" s="169"/>
      <c r="BA55" s="169"/>
      <c r="BC55" s="168">
        <f t="shared" ca="1" si="24"/>
        <v>49</v>
      </c>
      <c r="BD55" s="209">
        <f t="shared" ca="1" si="8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3.8" x14ac:dyDescent="0.25">
      <c r="A56" s="223"/>
      <c r="B56" s="224"/>
      <c r="C56" s="224"/>
      <c r="D56" s="224"/>
      <c r="E56" s="225"/>
      <c r="F56" s="348"/>
      <c r="G56" s="349" t="str">
        <f t="shared" ca="1" si="1"/>
        <v/>
      </c>
      <c r="H56" s="350"/>
      <c r="I56" s="350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9"/>
        <v/>
      </c>
      <c r="AJ56" s="169" t="e">
        <f t="shared" ca="1" si="20"/>
        <v>#N/A</v>
      </c>
      <c r="AK56" s="169" t="str">
        <f t="shared" ca="1" si="21"/>
        <v/>
      </c>
      <c r="AL56" s="169" t="str">
        <f t="shared" ca="1" si="21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5"/>
        <v>99</v>
      </c>
      <c r="AW56" s="168">
        <f>COUNTIF( AV$7:AV56, AV56 )</f>
        <v>7</v>
      </c>
      <c r="AX56" s="208">
        <f t="shared" si="22"/>
        <v>99.7</v>
      </c>
      <c r="AY56" s="168">
        <f t="shared" si="6"/>
        <v>50</v>
      </c>
      <c r="AZ56" s="169"/>
      <c r="BA56" s="169"/>
      <c r="BC56" s="168">
        <f t="shared" ca="1" si="24"/>
        <v>50</v>
      </c>
      <c r="BD56" s="209">
        <f t="shared" ca="1" si="8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8" x14ac:dyDescent="0.25">
      <c r="A57" s="223"/>
      <c r="B57" s="224"/>
      <c r="C57" s="224"/>
      <c r="D57" s="224"/>
      <c r="E57" s="225"/>
      <c r="F57" s="348"/>
      <c r="G57" s="349" t="str">
        <f t="shared" ca="1" si="1"/>
        <v/>
      </c>
      <c r="H57" s="350"/>
      <c r="I57" s="350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9"/>
        <v/>
      </c>
      <c r="AJ57" s="169" t="e">
        <f t="shared" ca="1" si="20"/>
        <v>#N/A</v>
      </c>
      <c r="AK57" s="169" t="str">
        <f t="shared" ca="1" si="21"/>
        <v/>
      </c>
      <c r="AL57" s="169" t="str">
        <f t="shared" ca="1" si="21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5"/>
        <v>99</v>
      </c>
      <c r="AW57" s="168">
        <f>COUNTIF( AV$7:AV57, AV57 )</f>
        <v>8</v>
      </c>
      <c r="AX57" s="208">
        <f t="shared" si="22"/>
        <v>99.8</v>
      </c>
      <c r="AY57" s="168">
        <f t="shared" si="6"/>
        <v>51</v>
      </c>
      <c r="AZ57" s="169"/>
      <c r="BA57" s="169"/>
      <c r="BC57" s="168">
        <f t="shared" ca="1" si="24"/>
        <v>51</v>
      </c>
      <c r="BD57" s="209">
        <f t="shared" ca="1" si="8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8" x14ac:dyDescent="0.25">
      <c r="A58" s="223"/>
      <c r="B58" s="224"/>
      <c r="C58" s="224"/>
      <c r="D58" s="224"/>
      <c r="E58" s="225"/>
      <c r="F58" s="348"/>
      <c r="G58" s="349" t="str">
        <f t="shared" ca="1" si="1"/>
        <v/>
      </c>
      <c r="H58" s="350"/>
      <c r="I58" s="350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9"/>
        <v/>
      </c>
      <c r="AJ58" s="169" t="e">
        <f t="shared" ca="1" si="20"/>
        <v>#N/A</v>
      </c>
      <c r="AK58" s="169" t="str">
        <f t="shared" ca="1" si="21"/>
        <v/>
      </c>
      <c r="AL58" s="169" t="str">
        <f t="shared" ca="1" si="21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5"/>
        <v>99</v>
      </c>
      <c r="AW58" s="168">
        <f>COUNTIF( AV$7:AV58, AV58 )</f>
        <v>9</v>
      </c>
      <c r="AX58" s="208">
        <f t="shared" si="22"/>
        <v>99.9</v>
      </c>
      <c r="AY58" s="168">
        <f t="shared" si="6"/>
        <v>52</v>
      </c>
      <c r="AZ58" s="169"/>
      <c r="BA58" s="169"/>
      <c r="BC58" s="168">
        <f t="shared" ca="1" si="24"/>
        <v>52</v>
      </c>
      <c r="BD58" s="209">
        <f t="shared" ca="1" si="8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8" x14ac:dyDescent="0.25">
      <c r="A59" s="223"/>
      <c r="B59" s="224"/>
      <c r="C59" s="224"/>
      <c r="D59" s="224"/>
      <c r="E59" s="225" t="str">
        <f t="shared" ca="1" si="9"/>
        <v/>
      </c>
      <c r="F59" s="348"/>
      <c r="G59" s="349" t="str">
        <f t="shared" ca="1" si="1"/>
        <v/>
      </c>
      <c r="H59" s="350"/>
      <c r="I59" s="350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9"/>
        <v/>
      </c>
      <c r="AJ59" s="169" t="e">
        <f t="shared" ca="1" si="20"/>
        <v>#N/A</v>
      </c>
      <c r="AK59" s="169" t="str">
        <f t="shared" ca="1" si="21"/>
        <v/>
      </c>
      <c r="AL59" s="169" t="str">
        <f t="shared" ca="1" si="21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5"/>
        <v>99</v>
      </c>
      <c r="AW59" s="168">
        <f>COUNTIF( AV$7:AV59, AV59 )</f>
        <v>10</v>
      </c>
      <c r="AX59" s="208">
        <f t="shared" si="22"/>
        <v>100</v>
      </c>
      <c r="AY59" s="168">
        <f t="shared" si="6"/>
        <v>53</v>
      </c>
      <c r="AZ59" s="169"/>
      <c r="BA59" s="169"/>
      <c r="BC59" s="168">
        <f t="shared" ca="1" si="24"/>
        <v>53</v>
      </c>
      <c r="BD59" s="209">
        <f t="shared" ca="1" si="8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" thickBot="1" x14ac:dyDescent="0.3">
      <c r="A60" s="192"/>
      <c r="B60" s="193"/>
      <c r="C60" s="193"/>
      <c r="D60" s="193"/>
      <c r="E60" s="194" t="str">
        <f t="shared" ca="1" si="9"/>
        <v/>
      </c>
      <c r="F60" s="350"/>
      <c r="G60" s="353" t="str">
        <f t="shared" ca="1" si="1"/>
        <v/>
      </c>
      <c r="H60" s="350"/>
      <c r="I60" s="350"/>
      <c r="AF60" s="169">
        <f t="shared" si="2"/>
        <v>0</v>
      </c>
      <c r="AG60" s="169" t="str">
        <f t="shared" si="3"/>
        <v/>
      </c>
      <c r="AH60" s="169" t="str">
        <f t="shared" si="19"/>
        <v/>
      </c>
      <c r="AJ60" s="169" t="e">
        <f t="shared" ca="1" si="20"/>
        <v>#N/A</v>
      </c>
      <c r="AK60" s="169" t="str">
        <f t="shared" ca="1" si="21"/>
        <v/>
      </c>
      <c r="AL60" s="169" t="str">
        <f t="shared" ca="1" si="21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5"/>
        <v>99</v>
      </c>
      <c r="AW60" s="168">
        <f>COUNTIF( AV$7:AV60, AV60 )</f>
        <v>11</v>
      </c>
      <c r="AX60" s="208">
        <f t="shared" si="22"/>
        <v>100.1</v>
      </c>
      <c r="AY60" s="168">
        <f t="shared" si="6"/>
        <v>54</v>
      </c>
      <c r="AZ60" s="169"/>
      <c r="BA60" s="169"/>
      <c r="BC60" s="168">
        <f t="shared" ca="1" si="24"/>
        <v>54</v>
      </c>
      <c r="BD60" s="209">
        <f t="shared" ca="1" si="8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8" x14ac:dyDescent="0.25">
      <c r="A61" s="226" t="s">
        <v>308</v>
      </c>
      <c r="B61" s="227" t="s">
        <v>162</v>
      </c>
      <c r="C61" s="227">
        <v>23</v>
      </c>
      <c r="D61" s="227" t="s">
        <v>309</v>
      </c>
      <c r="E61" s="228" t="str">
        <f t="shared" ca="1" si="9"/>
        <v>R</v>
      </c>
      <c r="F61" s="354"/>
      <c r="G61" s="355">
        <f t="shared" ca="1" si="1"/>
        <v>30</v>
      </c>
      <c r="H61" s="350"/>
      <c r="I61" s="350"/>
      <c r="AF61" s="169">
        <f t="shared" si="2"/>
        <v>1</v>
      </c>
      <c r="AG61" s="169" t="str">
        <f t="shared" ca="1" si="3"/>
        <v/>
      </c>
      <c r="AH61" s="169" t="str">
        <f t="shared" ca="1" si="19"/>
        <v/>
      </c>
      <c r="AJ61" s="169">
        <f t="shared" ca="1" si="20"/>
        <v>61</v>
      </c>
      <c r="AK61" s="169" t="str">
        <f t="shared" ca="1" si="21"/>
        <v>AA-</v>
      </c>
      <c r="AL61" s="169">
        <f t="shared" ca="1" si="21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5"/>
        <v>99</v>
      </c>
      <c r="AW61" s="168">
        <f>COUNTIF( AV$7:AV61, AV61 )</f>
        <v>12</v>
      </c>
      <c r="AX61" s="208">
        <f t="shared" si="22"/>
        <v>100.2</v>
      </c>
      <c r="AY61" s="168">
        <f t="shared" si="6"/>
        <v>55</v>
      </c>
      <c r="AZ61" s="169"/>
      <c r="BA61" s="169"/>
      <c r="BC61" s="168">
        <f t="shared" ca="1" si="24"/>
        <v>55</v>
      </c>
      <c r="BD61" s="209">
        <f t="shared" ca="1" si="8"/>
        <v>55</v>
      </c>
      <c r="BF61" s="173">
        <f ca="1">OFFSET( AQ$6, $BD62, 0 )</f>
        <v>0</v>
      </c>
      <c r="BG61" s="173">
        <f ca="1">OFFSET( AR$6, $BD62, 0 )</f>
        <v>0</v>
      </c>
      <c r="BH61" s="173">
        <f ca="1">OFFSET( AS$6, $BD62, 0 )</f>
        <v>0</v>
      </c>
      <c r="BI61" s="173">
        <f ca="1">OFFSET( AT$6, $BD62, 0 )</f>
        <v>0</v>
      </c>
    </row>
    <row r="62" spans="1:61" ht="13.8" x14ac:dyDescent="0.25">
      <c r="A62" s="223"/>
      <c r="B62" s="224"/>
      <c r="C62" s="224"/>
      <c r="D62" s="224"/>
      <c r="E62" s="225"/>
      <c r="F62" s="348"/>
      <c r="G62" s="349" t="str">
        <f t="shared" ca="1" si="1"/>
        <v/>
      </c>
      <c r="H62" s="350"/>
      <c r="I62" s="350"/>
      <c r="AF62" s="169">
        <f>IF( LEN( C62 ) = 0, 0, IF( C62 = C61, AF61, IF( AF61 = 1, 0, 1 ) ) )</f>
        <v>0</v>
      </c>
      <c r="AG62" s="169" t="str">
        <f t="shared" si="3"/>
        <v/>
      </c>
      <c r="AH62" s="169" t="str">
        <f t="shared" si="19"/>
        <v/>
      </c>
      <c r="AJ62" s="169" t="e">
        <f t="shared" ca="1" si="20"/>
        <v>#N/A</v>
      </c>
      <c r="AK62" s="169" t="str">
        <f t="shared" ca="1" si="21"/>
        <v/>
      </c>
      <c r="AL62" s="169" t="str">
        <f t="shared" ca="1" si="21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5"/>
        <v>99</v>
      </c>
      <c r="AW62" s="168">
        <f>COUNTIF( AV$7:AV62, AV62 )</f>
        <v>13</v>
      </c>
      <c r="AX62" s="208">
        <f t="shared" si="22"/>
        <v>100.3</v>
      </c>
      <c r="AY62" s="168">
        <f t="shared" si="6"/>
        <v>56</v>
      </c>
      <c r="AZ62" s="169"/>
      <c r="BA62" s="169"/>
      <c r="BC62" s="168">
        <f t="shared" ca="1" si="24"/>
        <v>56</v>
      </c>
      <c r="BD62" s="209">
        <f t="shared" ca="1" si="8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/>
      <c r="B63" s="229"/>
      <c r="C63" s="224"/>
      <c r="D63" s="224"/>
      <c r="E63" s="225"/>
      <c r="F63" s="348"/>
      <c r="G63" s="349"/>
      <c r="H63" s="350"/>
      <c r="I63" s="350"/>
      <c r="AF63" s="169">
        <f t="shared" si="2"/>
        <v>0</v>
      </c>
      <c r="AG63" s="169" t="str">
        <f t="shared" si="3"/>
        <v/>
      </c>
      <c r="AH63" s="169" t="str">
        <f t="shared" si="19"/>
        <v/>
      </c>
      <c r="AJ63" s="169" t="e">
        <f t="shared" ca="1" si="20"/>
        <v>#N/A</v>
      </c>
      <c r="AK63" s="169" t="str">
        <f t="shared" ca="1" si="21"/>
        <v/>
      </c>
      <c r="AL63" s="169" t="str">
        <f t="shared" ca="1" si="21"/>
        <v/>
      </c>
      <c r="AM63" s="169" t="str">
        <f t="shared" ca="1" si="4"/>
        <v/>
      </c>
      <c r="AU63" s="207"/>
      <c r="AV63" s="168">
        <f t="shared" si="5"/>
        <v>99</v>
      </c>
      <c r="AW63" s="168">
        <f>COUNTIF( AV$7:AV63, AV63 )</f>
        <v>14</v>
      </c>
      <c r="AX63" s="208">
        <f t="shared" si="22"/>
        <v>100.4</v>
      </c>
      <c r="AY63" s="168">
        <f t="shared" si="6"/>
        <v>57</v>
      </c>
      <c r="AZ63" s="169"/>
      <c r="BA63" s="169"/>
      <c r="BC63" s="168">
        <f t="shared" ca="1" si="24"/>
        <v>57</v>
      </c>
      <c r="BD63" s="209">
        <f t="shared" ca="1" si="8"/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/>
      <c r="B64" s="229"/>
      <c r="C64" s="224"/>
      <c r="D64" s="224"/>
      <c r="E64" s="225"/>
      <c r="F64" s="348"/>
      <c r="G64" s="349"/>
      <c r="H64" s="350"/>
      <c r="I64" s="350"/>
      <c r="AF64" s="169">
        <f t="shared" si="2"/>
        <v>0</v>
      </c>
      <c r="AG64" s="169" t="str">
        <f t="shared" si="3"/>
        <v/>
      </c>
      <c r="AH64" s="169" t="str">
        <f t="shared" si="19"/>
        <v/>
      </c>
      <c r="AJ64" s="169" t="e">
        <f t="shared" ca="1" si="20"/>
        <v>#N/A</v>
      </c>
      <c r="AK64" s="169" t="str">
        <f t="shared" ca="1" si="21"/>
        <v/>
      </c>
      <c r="AL64" s="169" t="str">
        <f t="shared" ca="1" si="21"/>
        <v/>
      </c>
      <c r="AM64" s="169" t="str">
        <f t="shared" ca="1" si="4"/>
        <v/>
      </c>
      <c r="AQ64" s="207" t="s">
        <v>308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61" ht="13.8" x14ac:dyDescent="0.25">
      <c r="A65" s="223"/>
      <c r="B65" s="229"/>
      <c r="C65" s="224"/>
      <c r="D65" s="224"/>
      <c r="E65" s="225"/>
      <c r="F65" s="348"/>
      <c r="G65" s="349"/>
      <c r="H65" s="350"/>
      <c r="I65" s="350"/>
      <c r="N65" s="168" t="s">
        <v>310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9"/>
        <v/>
      </c>
      <c r="AJ65" s="169" t="e">
        <f t="shared" ca="1" si="20"/>
        <v>#N/A</v>
      </c>
      <c r="AK65" s="169" t="str">
        <f t="shared" ca="1" si="21"/>
        <v/>
      </c>
      <c r="AL65" s="169" t="str">
        <f t="shared" ca="1" si="21"/>
        <v/>
      </c>
      <c r="AM65" s="169" t="str">
        <f t="shared" ca="1" si="4"/>
        <v/>
      </c>
      <c r="AU65" s="207"/>
      <c r="AZ65" s="169"/>
      <c r="BA65" s="169"/>
      <c r="BF65" s="169"/>
    </row>
    <row r="66" spans="1:61" ht="13.8" x14ac:dyDescent="0.25">
      <c r="A66" s="195"/>
      <c r="B66" s="196"/>
      <c r="C66" s="185"/>
      <c r="D66" s="185"/>
      <c r="E66" s="182"/>
      <c r="F66" s="350"/>
      <c r="H66" s="350"/>
      <c r="I66" s="350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9"/>
        <v/>
      </c>
      <c r="AJ66" s="169" t="e">
        <f t="shared" ca="1" si="20"/>
        <v>#N/A</v>
      </c>
      <c r="AK66" s="169" t="str">
        <f t="shared" ca="1" si="21"/>
        <v/>
      </c>
      <c r="AL66" s="169" t="str">
        <f t="shared" ca="1" si="21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61" ht="14.4" thickBot="1" x14ac:dyDescent="0.3">
      <c r="A67" s="197"/>
      <c r="B67" s="198"/>
      <c r="C67" s="248"/>
      <c r="D67" s="198"/>
      <c r="E67" s="199"/>
      <c r="F67" s="350"/>
      <c r="H67" s="350"/>
      <c r="I67" s="350"/>
      <c r="AF67" s="169">
        <f t="shared" si="2"/>
        <v>0</v>
      </c>
      <c r="AG67" s="169" t="str">
        <f t="shared" si="26"/>
        <v/>
      </c>
      <c r="AH67" s="169" t="str">
        <f t="shared" si="19"/>
        <v/>
      </c>
      <c r="AJ67" s="169" t="e">
        <f t="shared" ca="1" si="20"/>
        <v>#N/A</v>
      </c>
      <c r="AK67" s="169" t="str">
        <f t="shared" ca="1" si="21"/>
        <v/>
      </c>
      <c r="AL67" s="169" t="str">
        <f t="shared" ca="1" si="21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61" ht="13.8" x14ac:dyDescent="0.25">
      <c r="A68" s="200" t="s">
        <v>311</v>
      </c>
      <c r="B68" s="189" t="str">
        <f ca="1">OFFSET( Scale!$H$5, ROUND( C68, 0 ) - 1, 1 )</f>
        <v>BBB+</v>
      </c>
      <c r="C68" s="201">
        <f>AVERAGE(C7:C65)</f>
        <v>18.863636363636363</v>
      </c>
      <c r="D68" s="201"/>
      <c r="E68" s="201"/>
      <c r="F68" s="350"/>
      <c r="H68" s="350"/>
      <c r="I68" s="350"/>
      <c r="J68" s="351"/>
      <c r="K68" s="351"/>
      <c r="AX68" s="208"/>
      <c r="AZ68" s="169"/>
      <c r="BA68" s="169"/>
      <c r="BD68" s="209"/>
      <c r="BF68" s="169"/>
    </row>
    <row r="69" spans="1:61" x14ac:dyDescent="0.25">
      <c r="A69" s="202"/>
      <c r="B69" s="202"/>
      <c r="F69" s="350"/>
      <c r="H69" s="350"/>
      <c r="I69" s="350"/>
      <c r="AX69" s="208"/>
      <c r="AZ69" s="169"/>
      <c r="BA69" s="169"/>
      <c r="BD69" s="209"/>
    </row>
    <row r="70" spans="1:61" x14ac:dyDescent="0.25">
      <c r="A70" s="202"/>
      <c r="B70" s="202"/>
      <c r="F70" s="173"/>
      <c r="H70" s="173"/>
      <c r="I70" s="173"/>
      <c r="J70" s="351"/>
      <c r="K70" s="351"/>
    </row>
    <row r="71" spans="1:61" x14ac:dyDescent="0.25">
      <c r="A71" s="203" t="s">
        <v>312</v>
      </c>
      <c r="F71" s="173"/>
      <c r="H71" s="173"/>
      <c r="I71" s="173"/>
    </row>
    <row r="72" spans="1:61" x14ac:dyDescent="0.25">
      <c r="A72" s="203" t="s">
        <v>313</v>
      </c>
      <c r="B72" s="173"/>
      <c r="D72" s="173"/>
      <c r="E72" s="173"/>
      <c r="F72" s="204"/>
      <c r="H72" s="204"/>
      <c r="I72" s="204"/>
    </row>
    <row r="73" spans="1:61" x14ac:dyDescent="0.25">
      <c r="A73" s="205" t="s">
        <v>314</v>
      </c>
      <c r="B73" s="173"/>
      <c r="D73" s="173"/>
      <c r="E73" s="173"/>
      <c r="F73" s="204"/>
      <c r="H73" s="204"/>
      <c r="I73" s="204"/>
      <c r="AQ73" s="207"/>
      <c r="AR73" s="207"/>
      <c r="AS73" s="207"/>
    </row>
    <row r="74" spans="1:61" x14ac:dyDescent="0.25">
      <c r="A74" s="203" t="s">
        <v>315</v>
      </c>
      <c r="D74" s="204"/>
      <c r="F74" s="206"/>
      <c r="H74" s="206"/>
      <c r="I74" s="206"/>
      <c r="AQ74" s="207"/>
      <c r="AR74" s="207"/>
      <c r="AS74" s="207"/>
    </row>
    <row r="75" spans="1:61" x14ac:dyDescent="0.25">
      <c r="A75" s="203" t="s">
        <v>316</v>
      </c>
      <c r="D75" s="204"/>
      <c r="F75" s="206"/>
      <c r="H75" s="206"/>
      <c r="I75" s="206"/>
      <c r="AQ75" s="207"/>
      <c r="AR75" s="207"/>
      <c r="AS75" s="207"/>
    </row>
    <row r="76" spans="1:61" x14ac:dyDescent="0.25">
      <c r="A76" s="203"/>
      <c r="AQ76" s="207"/>
      <c r="AR76" s="207"/>
      <c r="AS76" s="207"/>
    </row>
    <row r="77" spans="1:61" x14ac:dyDescent="0.25">
      <c r="C77" s="190">
        <f>SUMPRODUCT( L8:L13, Y8:Y13 ) / L14</f>
        <v>18.886363636363637</v>
      </c>
      <c r="E77" s="191"/>
      <c r="G77" s="353"/>
      <c r="J77" s="173"/>
      <c r="K77" s="173"/>
      <c r="AQ77" s="207"/>
      <c r="AR77" s="207"/>
      <c r="AS77" s="207"/>
      <c r="AT77" s="173"/>
      <c r="BF77" s="173"/>
      <c r="BG77" s="173"/>
      <c r="BH77" s="173"/>
      <c r="BI77" s="173"/>
    </row>
    <row r="78" spans="1:61" s="173" customFormat="1" ht="13.8" x14ac:dyDescent="0.2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168"/>
      <c r="AR78" s="168"/>
      <c r="AS78" s="168"/>
      <c r="AT78" s="168"/>
      <c r="BF78" s="168"/>
      <c r="BG78" s="168"/>
      <c r="BH78" s="168"/>
      <c r="BI78" s="168"/>
    </row>
  </sheetData>
  <sortState ref="AQ7:AT52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343" priority="31" stopIfTrue="1">
      <formula>IF( $AH7 = 1, TRUE, FALSE )</formula>
    </cfRule>
    <cfRule type="expression" dxfId="1342" priority="32" stopIfTrue="1">
      <formula>IF( $AG7 = 1, TRUE, FALSE )</formula>
    </cfRule>
    <cfRule type="expression" dxfId="1341" priority="33" stopIfTrue="1">
      <formula>IF( $AF7 = 1, TRUE, FALSE )</formula>
    </cfRule>
  </conditionalFormatting>
  <conditionalFormatting sqref="A67:E67">
    <cfRule type="expression" dxfId="1340" priority="34" stopIfTrue="1">
      <formula>IF( $AH67 = 1, TRUE, FALSE )</formula>
    </cfRule>
    <cfRule type="expression" dxfId="1339" priority="35" stopIfTrue="1">
      <formula>IF( $AG67 = 1, TRUE, FALSE )</formula>
    </cfRule>
    <cfRule type="expression" dxfId="1338" priority="36" stopIfTrue="1">
      <formula>IF( $AF67 = 1, TRUE, FALSE )</formula>
    </cfRule>
  </conditionalFormatting>
  <conditionalFormatting sqref="A66:E66">
    <cfRule type="expression" dxfId="1337" priority="28" stopIfTrue="1">
      <formula>IF( $AH66 = 1, TRUE, FALSE )</formula>
    </cfRule>
    <cfRule type="expression" dxfId="1336" priority="29" stopIfTrue="1">
      <formula>IF( $AG66 = 1, TRUE, FALSE )</formula>
    </cfRule>
    <cfRule type="expression" dxfId="1335" priority="30" stopIfTrue="1">
      <formula>IF( $AF66 = 1, TRUE, FALSE )</formula>
    </cfRule>
  </conditionalFormatting>
  <conditionalFormatting sqref="A8:D33 B7:D7 A35:D58">
    <cfRule type="expression" dxfId="1334" priority="25" stopIfTrue="1">
      <formula>IF( $AH7 = 1, TRUE, FALSE )</formula>
    </cfRule>
    <cfRule type="expression" dxfId="1333" priority="26" stopIfTrue="1">
      <formula>IF( $AG7 = 1, TRUE, FALSE )</formula>
    </cfRule>
    <cfRule type="expression" dxfId="1332" priority="27" stopIfTrue="1">
      <formula>IF( $AF7 = 1, TRUE, FALSE )</formula>
    </cfRule>
  </conditionalFormatting>
  <conditionalFormatting sqref="A59:D59">
    <cfRule type="expression" dxfId="1331" priority="22" stopIfTrue="1">
      <formula>IF( $AH59 = 1, TRUE, FALSE )</formula>
    </cfRule>
    <cfRule type="expression" dxfId="1330" priority="23" stopIfTrue="1">
      <formula>IF( $AG59 = 1, TRUE, FALSE )</formula>
    </cfRule>
    <cfRule type="expression" dxfId="1329" priority="24" stopIfTrue="1">
      <formula>IF( $AF59 = 1, TRUE, FALSE )</formula>
    </cfRule>
  </conditionalFormatting>
  <conditionalFormatting sqref="A61:D65">
    <cfRule type="expression" dxfId="1328" priority="19" stopIfTrue="1">
      <formula>IF( $AH61 = 1, TRUE, FALSE )</formula>
    </cfRule>
    <cfRule type="expression" dxfId="1327" priority="20" stopIfTrue="1">
      <formula>IF( $AG61 = 1, TRUE, FALSE )</formula>
    </cfRule>
    <cfRule type="expression" dxfId="1326" priority="21" stopIfTrue="1">
      <formula>IF( $AF61 = 1, TRUE, FALSE )</formula>
    </cfRule>
  </conditionalFormatting>
  <conditionalFormatting sqref="U8:U12">
    <cfRule type="cellIs" dxfId="1325" priority="18" operator="equal">
      <formula>0</formula>
    </cfRule>
  </conditionalFormatting>
  <conditionalFormatting sqref="O8:O12 Q8:Q12">
    <cfRule type="cellIs" dxfId="1324" priority="17" operator="equal">
      <formula>0</formula>
    </cfRule>
  </conditionalFormatting>
  <conditionalFormatting sqref="V8:V12">
    <cfRule type="cellIs" dxfId="1323" priority="16" operator="equal">
      <formula>0</formula>
    </cfRule>
  </conditionalFormatting>
  <conditionalFormatting sqref="S8:S12">
    <cfRule type="cellIs" dxfId="1322" priority="14" operator="equal">
      <formula>0</formula>
    </cfRule>
  </conditionalFormatting>
  <conditionalFormatting sqref="R8:R12">
    <cfRule type="cellIs" dxfId="1321" priority="15" operator="equal">
      <formula>0</formula>
    </cfRule>
  </conditionalFormatting>
  <conditionalFormatting sqref="P8:P12">
    <cfRule type="cellIs" dxfId="1320" priority="13" operator="equal">
      <formula>0</formula>
    </cfRule>
  </conditionalFormatting>
  <conditionalFormatting sqref="M8:M12">
    <cfRule type="cellIs" dxfId="1319" priority="12" operator="equal">
      <formula>0</formula>
    </cfRule>
  </conditionalFormatting>
  <conditionalFormatting sqref="T8:T12">
    <cfRule type="cellIs" dxfId="1318" priority="11" operator="equal">
      <formula>0</formula>
    </cfRule>
  </conditionalFormatting>
  <conditionalFormatting sqref="N8:N12">
    <cfRule type="cellIs" dxfId="1317" priority="10" operator="equal">
      <formula>0</formula>
    </cfRule>
  </conditionalFormatting>
  <conditionalFormatting sqref="K8:K12">
    <cfRule type="cellIs" dxfId="1316" priority="9" operator="equal">
      <formula>0</formula>
    </cfRule>
  </conditionalFormatting>
  <conditionalFormatting sqref="I8:I12">
    <cfRule type="cellIs" dxfId="1315" priority="8" operator="equal">
      <formula>0</formula>
    </cfRule>
  </conditionalFormatting>
  <conditionalFormatting sqref="W8:W12">
    <cfRule type="cellIs" dxfId="1314" priority="7" operator="equal">
      <formula>0</formula>
    </cfRule>
  </conditionalFormatting>
  <conditionalFormatting sqref="A7">
    <cfRule type="expression" dxfId="1313" priority="4" stopIfTrue="1">
      <formula>IF( $AH7 = 1, TRUE, FALSE )</formula>
    </cfRule>
    <cfRule type="expression" dxfId="1312" priority="5" stopIfTrue="1">
      <formula>IF( $AG7 = 1, TRUE, FALSE )</formula>
    </cfRule>
    <cfRule type="expression" dxfId="1311" priority="6" stopIfTrue="1">
      <formula>IF( $AF7 = 1, TRUE, FALSE )</formula>
    </cfRule>
  </conditionalFormatting>
  <conditionalFormatting sqref="A34:D34">
    <cfRule type="expression" dxfId="1310" priority="1" stopIfTrue="1">
      <formula>IF( $AH34 = 1, TRUE, FALSE )</formula>
    </cfRule>
    <cfRule type="expression" dxfId="1309" priority="2" stopIfTrue="1">
      <formula>IF( $AG34 = 1, TRUE, FALSE )</formula>
    </cfRule>
    <cfRule type="expression" dxfId="1308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hidden="1" customWidth="1" outlineLevel="1"/>
    <col min="23" max="23" width="2" style="168" hidden="1" customWidth="1" outlineLevel="1"/>
    <col min="24" max="24" width="4.109375" style="168" customWidth="1" collapsed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15.88671875" style="169" hidden="1" customWidth="1" outlineLevel="1" collapsed="1"/>
    <col min="37" max="38" width="15.88671875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-- 2020 Q2</v>
      </c>
      <c r="G1" s="175" t="s">
        <v>195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 x14ac:dyDescent="0.25">
      <c r="A2" s="167"/>
      <c r="E2" s="171" t="str">
        <f>G2</f>
        <v>Reg_Percent_2019</v>
      </c>
      <c r="G2" s="172" t="s">
        <v>323</v>
      </c>
      <c r="AJ2" s="173" t="str">
        <f>AJ4 &amp; AJ3</f>
        <v>'Credit_2020Q1'!d:d</v>
      </c>
      <c r="AK2" s="173" t="str">
        <f>AK4 &amp; AK3</f>
        <v>'Credit_2020Q1'!b1</v>
      </c>
      <c r="AL2" s="173" t="str">
        <f>AL4 &amp; AL3</f>
        <v>'Credit_2020Q1'!c1</v>
      </c>
      <c r="AQ2" s="169"/>
    </row>
    <row r="3" spans="1:61" ht="18" hidden="1" outlineLevel="1" x14ac:dyDescent="0.25">
      <c r="A3" s="167"/>
      <c r="E3" s="174" t="str">
        <f>"'" &amp; E2 &amp; "'!"</f>
        <v>'Reg_Percent_2019'!</v>
      </c>
      <c r="G3" s="168" t="str">
        <f>"'" &amp; G2 &amp; "'!"</f>
        <v>'Reg_Percent_2019'!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205</v>
      </c>
      <c r="AK3" s="149" t="s">
        <v>206</v>
      </c>
      <c r="AL3" s="149" t="s">
        <v>207</v>
      </c>
      <c r="AQ3" s="169"/>
    </row>
    <row r="4" spans="1:61" ht="18" hidden="1" outlineLevel="1" x14ac:dyDescent="0.25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>$AQ$5</f>
        <v>'Credit_2020Q1'!</v>
      </c>
      <c r="AK4" s="169" t="str">
        <f t="shared" ref="AK4:AL4" si="0">$AQ$5</f>
        <v>'Credit_2020Q1'!</v>
      </c>
      <c r="AL4" s="169" t="str">
        <f t="shared" si="0"/>
        <v>'Credit_2020Q1'!</v>
      </c>
      <c r="AQ4" s="169"/>
    </row>
    <row r="5" spans="1:61" ht="13.8" collapsed="1" x14ac:dyDescent="0.25">
      <c r="E5" s="176" t="s">
        <v>209</v>
      </c>
      <c r="G5" s="170" t="s">
        <v>199</v>
      </c>
      <c r="I5" s="230"/>
      <c r="J5" s="389" t="s">
        <v>210</v>
      </c>
      <c r="K5" s="230"/>
      <c r="L5" s="391" t="str">
        <f>"All Companies" &amp; CHAR( 10 ) &amp; "("&amp; L14 &amp; ")"</f>
        <v>All Companies
(45)</v>
      </c>
      <c r="M5" s="391"/>
      <c r="N5" s="230"/>
      <c r="O5" s="389" t="str">
        <f ca="1">"Regulated" &amp; CHAR( 10 ) &amp; "(" &amp; O14 &amp; ")"</f>
        <v>Regulated
(35)</v>
      </c>
      <c r="P5" s="393"/>
      <c r="Q5" s="230"/>
      <c r="R5" s="389" t="str">
        <f ca="1">"Mostly Regulated" &amp; CHAR( 10 ) &amp; "(" &amp; R14 &amp; ")"</f>
        <v>Mostly Regulated
(10)</v>
      </c>
      <c r="S5" s="393"/>
      <c r="T5" s="230"/>
      <c r="U5" s="389" t="str">
        <f ca="1">"Diversified" &amp; CHAR( 10 ) &amp; "(" &amp; U14 &amp; ")"</f>
        <v>Diversified
(0)</v>
      </c>
      <c r="V5" s="393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329</v>
      </c>
    </row>
    <row r="6" spans="1:61" ht="28.5" customHeight="1" x14ac:dyDescent="0.25">
      <c r="A6" s="219" t="s">
        <v>212</v>
      </c>
      <c r="B6" s="220" t="s">
        <v>330</v>
      </c>
      <c r="C6" s="249" t="s">
        <v>214</v>
      </c>
      <c r="D6" s="221"/>
      <c r="E6" s="222">
        <f ca="1">INDIRECT( E3 &amp; G1 )</f>
        <v>43830</v>
      </c>
      <c r="I6" s="231"/>
      <c r="J6" s="390"/>
      <c r="K6" s="231"/>
      <c r="L6" s="392"/>
      <c r="M6" s="392"/>
      <c r="N6" s="231"/>
      <c r="O6" s="390"/>
      <c r="P6" s="390"/>
      <c r="Q6" s="231"/>
      <c r="R6" s="390" t="s">
        <v>136</v>
      </c>
      <c r="S6" s="390"/>
      <c r="T6" s="231"/>
      <c r="U6" s="390"/>
      <c r="V6" s="390"/>
      <c r="W6" s="231"/>
      <c r="AE6" s="178"/>
      <c r="AJ6" s="179"/>
    </row>
    <row r="7" spans="1:61" ht="13.8" x14ac:dyDescent="0.25">
      <c r="A7" s="223" t="s">
        <v>215</v>
      </c>
      <c r="B7" s="224" t="s">
        <v>166</v>
      </c>
      <c r="C7" s="224">
        <v>21</v>
      </c>
      <c r="D7" s="224" t="s">
        <v>216</v>
      </c>
      <c r="E7" s="225" t="str">
        <f ca="1">IF( LEN( $G7 ) = 0, "", OFFSET( INDIRECT( E$3 &amp; E$4 ), $G7 - 1, 0 ) )</f>
        <v>MR</v>
      </c>
      <c r="F7" s="348"/>
      <c r="G7" s="349">
        <f t="shared" ref="G7:G62" ca="1" si="1">IF( LEN( $D7 ) = 0, "", MATCH( $D7, INDIRECT( G$3 &amp; G$4 ), 0 ) )</f>
        <v>56</v>
      </c>
      <c r="H7" s="350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217</v>
      </c>
      <c r="AR7" s="207" t="s">
        <v>141</v>
      </c>
      <c r="AS7" s="207">
        <v>18</v>
      </c>
      <c r="AT7" s="207" t="s">
        <v>218</v>
      </c>
      <c r="AV7" s="168">
        <f t="shared" ref="AV7:AV38" si="5">IF( LEN( AS7 ) = 0, 99, RANK( AS7, $AS$7:$AS$62 ) )</f>
        <v>30</v>
      </c>
      <c r="AW7" s="168">
        <f>COUNTIF( AV7:AV$7, AV7 )</f>
        <v>1</v>
      </c>
      <c r="AX7" s="208">
        <f>AV7 + AW7 / 10</f>
        <v>30.1</v>
      </c>
      <c r="AY7" s="168">
        <f t="shared" ref="AY7:AY38" si="6">RANK( AX7, $AX$7:$AX$63, 1 )</f>
        <v>30</v>
      </c>
      <c r="AZ7" s="169"/>
      <c r="BA7" s="169"/>
      <c r="BC7" s="168">
        <f t="shared" ref="BC7" ca="1" si="7">OFFSET( BC7, -1, 0 ) + 1</f>
        <v>1</v>
      </c>
      <c r="BD7" s="209">
        <f t="shared" ref="BD7:BD38" ca="1" si="8">MATCH( BC7, $AY$7:$AY$63, 0 )</f>
        <v>7</v>
      </c>
      <c r="BF7" s="173" t="str">
        <f ca="1">OFFSET( AQ$6, $BD7, 0 )</f>
        <v>Berkshire Energy Holdings Company</v>
      </c>
      <c r="BG7" s="173" t="str">
        <f ca="1">OFFSET( AR$6, $BD7, 0 )</f>
        <v>A</v>
      </c>
      <c r="BH7" s="173">
        <f ca="1">OFFSET( AS$6, $BD7, 0 )</f>
        <v>21</v>
      </c>
      <c r="BI7" s="173" t="str">
        <f ca="1">OFFSET( AT$6, $BD7, 0 )</f>
        <v>**BRK</v>
      </c>
    </row>
    <row r="8" spans="1:61" ht="13.8" x14ac:dyDescent="0.25">
      <c r="A8" s="223" t="s">
        <v>219</v>
      </c>
      <c r="B8" s="224" t="s">
        <v>139</v>
      </c>
      <c r="C8" s="224">
        <v>20</v>
      </c>
      <c r="D8" s="224" t="s">
        <v>220</v>
      </c>
      <c r="E8" s="225" t="str">
        <f t="shared" ref="E8:E61" ca="1" si="9">IF( LEN( $G8 ) = 0, "", OFFSET( INDIRECT( E$3 &amp; E$4 ), $G8 - 1, 0 ) )</f>
        <v>R</v>
      </c>
      <c r="F8" s="348"/>
      <c r="G8" s="349">
        <f t="shared" ca="1" si="1"/>
        <v>8</v>
      </c>
      <c r="H8" s="350"/>
      <c r="I8" s="233"/>
      <c r="J8" s="213" t="s">
        <v>137</v>
      </c>
      <c r="K8" s="233"/>
      <c r="L8" s="213">
        <f t="shared" ref="L8:L13" si="10">COUNTIF($C$7:$C$67,$X8)</f>
        <v>2</v>
      </c>
      <c r="M8" s="214">
        <f t="shared" ref="M8:M13" si="11">IF( L8 = 0, "", L8/L$14 )</f>
        <v>4.4444444444444446E-2</v>
      </c>
      <c r="N8" s="233"/>
      <c r="O8" s="213">
        <f t="shared" ref="O8:O13" ca="1" si="12">COUNTIFS( $E$7:$E$66, O$3, $C$7:$C$66, $X8 )</f>
        <v>1</v>
      </c>
      <c r="P8" s="214">
        <f t="shared" ref="P8:P13" ca="1" si="13">IF( O8 = 0, "", O8/O$14 )</f>
        <v>2.8571428571428571E-2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0.1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8">SUM(O8, R8, U8)</f>
        <v>2</v>
      </c>
      <c r="AC8" s="351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ref="AJ8:AJ67" ca="1" si="20">MATCH( $D8, INDIRECT( AJ$2 ), 0 )</f>
        <v>8</v>
      </c>
      <c r="AK8" s="169" t="str">
        <f t="shared" ref="AK8:AL67" ca="1" si="21">IF( ISNA( $AJ8 ), "", OFFSET( INDIRECT( AK$2 ), $AJ8-1, 0 ) )</f>
        <v>A-</v>
      </c>
      <c r="AL8" s="169">
        <f t="shared" ca="1" si="21"/>
        <v>20</v>
      </c>
      <c r="AM8" s="169" t="str">
        <f t="shared" ca="1" si="4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si="5"/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si="6"/>
        <v>2</v>
      </c>
      <c r="AZ8" s="169"/>
      <c r="BA8" s="169"/>
      <c r="BC8" s="168">
        <f ca="1">OFFSET( BC8, -1, 0 ) + 1</f>
        <v>2</v>
      </c>
      <c r="BD8" s="209">
        <f t="shared" ca="1" si="8"/>
        <v>2</v>
      </c>
      <c r="BF8" s="173" t="str">
        <f t="shared" ref="BF8:BF50" ca="1" si="23">OFFSET( AQ$6, $BD8, 0 )</f>
        <v>Alliant Energy Corporation</v>
      </c>
      <c r="BG8" s="173" t="str">
        <f t="shared" ref="BG8:BG50" ca="1" si="24">OFFSET( AR$6, $BD8, 0 )</f>
        <v>A-</v>
      </c>
      <c r="BH8" s="173">
        <f t="shared" ref="BH8:BH50" ca="1" si="25">OFFSET( AS$6, $BD8, 0 )</f>
        <v>20</v>
      </c>
      <c r="BI8" s="173" t="str">
        <f t="shared" ref="BI8:BI50" ca="1" si="26">OFFSET( AT$6, $BD8, 0 )</f>
        <v>LNT</v>
      </c>
    </row>
    <row r="9" spans="1:61" ht="13.8" x14ac:dyDescent="0.25">
      <c r="A9" s="223" t="s">
        <v>222</v>
      </c>
      <c r="B9" s="224" t="s">
        <v>139</v>
      </c>
      <c r="C9" s="224">
        <v>20</v>
      </c>
      <c r="D9" s="224" t="s">
        <v>223</v>
      </c>
      <c r="E9" s="225" t="str">
        <f t="shared" ca="1" si="9"/>
        <v>R</v>
      </c>
      <c r="F9" s="348"/>
      <c r="G9" s="349">
        <f t="shared" ca="1" si="1"/>
        <v>10</v>
      </c>
      <c r="H9" s="350"/>
      <c r="I9" s="234"/>
      <c r="J9" s="215" t="s">
        <v>139</v>
      </c>
      <c r="K9" s="234"/>
      <c r="L9" s="215">
        <f t="shared" si="10"/>
        <v>12</v>
      </c>
      <c r="M9" s="216">
        <f t="shared" si="11"/>
        <v>0.26666666666666666</v>
      </c>
      <c r="N9" s="234"/>
      <c r="O9" s="215">
        <f t="shared" ca="1" si="12"/>
        <v>11</v>
      </c>
      <c r="P9" s="216">
        <f t="shared" ca="1" si="13"/>
        <v>0.31428571428571428</v>
      </c>
      <c r="Q9" s="234"/>
      <c r="R9" s="215">
        <f t="shared" ca="1" si="14"/>
        <v>1</v>
      </c>
      <c r="S9" s="216">
        <f t="shared" ca="1" si="15"/>
        <v>0.1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8"/>
        <v>12</v>
      </c>
      <c r="AC9" s="351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9"/>
        <v/>
      </c>
      <c r="AJ9" s="169">
        <f t="shared" ca="1" si="20"/>
        <v>9</v>
      </c>
      <c r="AK9" s="169" t="str">
        <f t="shared" ca="1" si="21"/>
        <v>A-</v>
      </c>
      <c r="AL9" s="169">
        <f t="shared" ca="1" si="21"/>
        <v>20</v>
      </c>
      <c r="AM9" s="169" t="str">
        <f t="shared" ca="1" si="4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si="5"/>
        <v>14</v>
      </c>
      <c r="AW9" s="168">
        <f>COUNTIF( AV$7:AV9, AV9 )</f>
        <v>1</v>
      </c>
      <c r="AX9" s="208">
        <f t="shared" si="22"/>
        <v>14.1</v>
      </c>
      <c r="AY9" s="168">
        <f t="shared" si="6"/>
        <v>14</v>
      </c>
      <c r="AZ9" s="169"/>
      <c r="BA9" s="169"/>
      <c r="BC9" s="168">
        <f t="shared" ref="BC9:BC63" ca="1" si="27">OFFSET( BC9, -1, 0 ) + 1</f>
        <v>3</v>
      </c>
      <c r="BD9" s="209">
        <f t="shared" ca="1" si="8"/>
        <v>4</v>
      </c>
      <c r="BF9" s="173" t="str">
        <f t="shared" ca="1" si="23"/>
        <v>American Electric Power Company, Inc.</v>
      </c>
      <c r="BG9" s="173" t="str">
        <f t="shared" ca="1" si="24"/>
        <v>A-</v>
      </c>
      <c r="BH9" s="173">
        <f t="shared" ca="1" si="25"/>
        <v>20</v>
      </c>
      <c r="BI9" s="173" t="str">
        <f t="shared" ca="1" si="26"/>
        <v>AEP</v>
      </c>
    </row>
    <row r="10" spans="1:61" ht="13.8" x14ac:dyDescent="0.25">
      <c r="A10" s="223" t="s">
        <v>227</v>
      </c>
      <c r="B10" s="224" t="s">
        <v>139</v>
      </c>
      <c r="C10" s="224">
        <v>20</v>
      </c>
      <c r="D10" s="224" t="s">
        <v>228</v>
      </c>
      <c r="E10" s="225" t="str">
        <f t="shared" ca="1" si="9"/>
        <v>R</v>
      </c>
      <c r="F10" s="348"/>
      <c r="G10" s="349">
        <f t="shared" ca="1" si="1"/>
        <v>16</v>
      </c>
      <c r="H10" s="350"/>
      <c r="I10" s="234"/>
      <c r="J10" s="215" t="s">
        <v>140</v>
      </c>
      <c r="K10" s="234"/>
      <c r="L10" s="215">
        <f t="shared" si="10"/>
        <v>16</v>
      </c>
      <c r="M10" s="216">
        <f t="shared" si="11"/>
        <v>0.35555555555555557</v>
      </c>
      <c r="N10" s="234"/>
      <c r="O10" s="215">
        <f t="shared" ca="1" si="12"/>
        <v>10</v>
      </c>
      <c r="P10" s="216">
        <f t="shared" ca="1" si="13"/>
        <v>0.2857142857142857</v>
      </c>
      <c r="Q10" s="234"/>
      <c r="R10" s="215">
        <f t="shared" ca="1" si="14"/>
        <v>6</v>
      </c>
      <c r="S10" s="216">
        <f t="shared" ca="1" si="15"/>
        <v>0.6</v>
      </c>
      <c r="T10" s="234"/>
      <c r="U10" s="215">
        <f t="shared" ca="1" si="16"/>
        <v>0</v>
      </c>
      <c r="V10" s="216" t="str">
        <f t="shared" ca="1" si="17"/>
        <v/>
      </c>
      <c r="W10" s="234"/>
      <c r="X10" s="186" t="s">
        <v>229</v>
      </c>
      <c r="Y10" s="186">
        <v>19</v>
      </c>
      <c r="Z10" s="186">
        <v>1</v>
      </c>
      <c r="AA10" s="185">
        <f t="shared" ca="1" si="18"/>
        <v>16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20"/>
        <v>10</v>
      </c>
      <c r="AK10" s="169" t="str">
        <f t="shared" ca="1" si="21"/>
        <v>A-</v>
      </c>
      <c r="AL10" s="169">
        <f t="shared" ca="1" si="21"/>
        <v>20</v>
      </c>
      <c r="AM10" s="169" t="str">
        <f t="shared" ca="1" si="4"/>
        <v/>
      </c>
      <c r="AQ10" s="207" t="s">
        <v>222</v>
      </c>
      <c r="AR10" s="207" t="s">
        <v>139</v>
      </c>
      <c r="AS10" s="207">
        <v>20</v>
      </c>
      <c r="AT10" s="207" t="s">
        <v>223</v>
      </c>
      <c r="AV10" s="168">
        <f t="shared" si="5"/>
        <v>2</v>
      </c>
      <c r="AW10" s="168">
        <f>COUNTIF( AV$7:AV10, AV10 )</f>
        <v>2</v>
      </c>
      <c r="AX10" s="208">
        <f t="shared" si="22"/>
        <v>2.2000000000000002</v>
      </c>
      <c r="AY10" s="168">
        <f t="shared" si="6"/>
        <v>3</v>
      </c>
      <c r="AZ10" s="169"/>
      <c r="BA10" s="169"/>
      <c r="BC10" s="168">
        <f t="shared" ca="1" si="27"/>
        <v>4</v>
      </c>
      <c r="BD10" s="209">
        <f t="shared" ca="1" si="8"/>
        <v>12</v>
      </c>
      <c r="BF10" s="173" t="str">
        <f t="shared" ca="1" si="23"/>
        <v>Consolidated Edison, Inc.</v>
      </c>
      <c r="BG10" s="173" t="str">
        <f t="shared" ca="1" si="24"/>
        <v>A-</v>
      </c>
      <c r="BH10" s="173">
        <f t="shared" ca="1" si="25"/>
        <v>20</v>
      </c>
      <c r="BI10" s="173" t="str">
        <f t="shared" ca="1" si="26"/>
        <v>ED</v>
      </c>
    </row>
    <row r="11" spans="1:61" ht="13.8" x14ac:dyDescent="0.25">
      <c r="A11" s="223" t="s">
        <v>263</v>
      </c>
      <c r="B11" s="224" t="s">
        <v>139</v>
      </c>
      <c r="C11" s="224">
        <v>20</v>
      </c>
      <c r="D11" s="224" t="s">
        <v>264</v>
      </c>
      <c r="E11" s="225" t="str">
        <f t="shared" ca="1" si="9"/>
        <v>R</v>
      </c>
      <c r="F11" s="348"/>
      <c r="G11" s="349">
        <f t="shared" ca="1" si="1"/>
        <v>19</v>
      </c>
      <c r="H11" s="350"/>
      <c r="I11" s="234"/>
      <c r="J11" s="215" t="s">
        <v>141</v>
      </c>
      <c r="K11" s="234"/>
      <c r="L11" s="215">
        <f t="shared" si="10"/>
        <v>10</v>
      </c>
      <c r="M11" s="216">
        <f t="shared" si="11"/>
        <v>0.22222222222222221</v>
      </c>
      <c r="N11" s="234"/>
      <c r="O11" s="215">
        <f t="shared" ca="1" si="12"/>
        <v>9</v>
      </c>
      <c r="P11" s="216">
        <f t="shared" ca="1" si="13"/>
        <v>0.25714285714285712</v>
      </c>
      <c r="Q11" s="234"/>
      <c r="R11" s="215">
        <f t="shared" ca="1" si="14"/>
        <v>1</v>
      </c>
      <c r="S11" s="216">
        <f t="shared" ca="1" si="15"/>
        <v>0.1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8"/>
        <v>10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20"/>
        <v>11</v>
      </c>
      <c r="AK11" s="169" t="str">
        <f t="shared" ca="1" si="21"/>
        <v>A-</v>
      </c>
      <c r="AL11" s="169">
        <f t="shared" ca="1" si="21"/>
        <v>20</v>
      </c>
      <c r="AM11" s="169" t="str">
        <f t="shared" ca="1" si="4"/>
        <v/>
      </c>
      <c r="AQ11" s="207" t="s">
        <v>233</v>
      </c>
      <c r="AR11" s="207" t="s">
        <v>140</v>
      </c>
      <c r="AS11" s="207">
        <v>19</v>
      </c>
      <c r="AT11" s="207" t="s">
        <v>234</v>
      </c>
      <c r="AV11" s="168">
        <f t="shared" si="5"/>
        <v>14</v>
      </c>
      <c r="AW11" s="168">
        <f>COUNTIF( AV$7:AV11, AV11 )</f>
        <v>2</v>
      </c>
      <c r="AX11" s="208">
        <f t="shared" si="22"/>
        <v>14.2</v>
      </c>
      <c r="AY11" s="168">
        <f t="shared" si="6"/>
        <v>15</v>
      </c>
      <c r="AZ11" s="169"/>
      <c r="BA11" s="169"/>
      <c r="BC11" s="168">
        <f t="shared" ca="1" si="27"/>
        <v>5</v>
      </c>
      <c r="BD11" s="209">
        <f t="shared" ca="1" si="8"/>
        <v>16</v>
      </c>
      <c r="BF11" s="173" t="str">
        <f t="shared" ca="1" si="23"/>
        <v>Duke Energy Corporation</v>
      </c>
      <c r="BG11" s="173" t="str">
        <f t="shared" ca="1" si="24"/>
        <v>A-</v>
      </c>
      <c r="BH11" s="173">
        <f t="shared" ca="1" si="25"/>
        <v>20</v>
      </c>
      <c r="BI11" s="173" t="str">
        <f t="shared" ca="1" si="26"/>
        <v>DUK</v>
      </c>
    </row>
    <row r="12" spans="1:61" ht="13.8" x14ac:dyDescent="0.25">
      <c r="A12" s="223" t="s">
        <v>230</v>
      </c>
      <c r="B12" s="224" t="s">
        <v>139</v>
      </c>
      <c r="C12" s="224">
        <v>20</v>
      </c>
      <c r="D12" s="224" t="s">
        <v>231</v>
      </c>
      <c r="E12" s="225" t="str">
        <f t="shared" ca="1" si="9"/>
        <v>R</v>
      </c>
      <c r="F12" s="348"/>
      <c r="G12" s="349">
        <f t="shared" ca="1" si="1"/>
        <v>23</v>
      </c>
      <c r="H12" s="350"/>
      <c r="I12" s="234"/>
      <c r="J12" s="215" t="s">
        <v>142</v>
      </c>
      <c r="K12" s="234"/>
      <c r="L12" s="215">
        <f t="shared" si="10"/>
        <v>3</v>
      </c>
      <c r="M12" s="216">
        <f t="shared" si="11"/>
        <v>6.6666666666666666E-2</v>
      </c>
      <c r="N12" s="234"/>
      <c r="O12" s="215">
        <f t="shared" ca="1" si="12"/>
        <v>2</v>
      </c>
      <c r="P12" s="216">
        <f t="shared" ca="1" si="13"/>
        <v>5.7142857142857141E-2</v>
      </c>
      <c r="Q12" s="234"/>
      <c r="R12" s="215">
        <f t="shared" ca="1" si="14"/>
        <v>1</v>
      </c>
      <c r="S12" s="216">
        <f t="shared" ca="1" si="15"/>
        <v>0.1</v>
      </c>
      <c r="T12" s="234"/>
      <c r="U12" s="215">
        <f t="shared" ca="1" si="16"/>
        <v>0</v>
      </c>
      <c r="V12" s="216" t="str">
        <f t="shared" ca="1" si="17"/>
        <v/>
      </c>
      <c r="W12" s="234"/>
      <c r="X12" s="186" t="s">
        <v>237</v>
      </c>
      <c r="Y12" s="186">
        <v>17</v>
      </c>
      <c r="Z12" s="186">
        <v>1</v>
      </c>
      <c r="AA12" s="185">
        <f t="shared" ca="1" si="18"/>
        <v>3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20"/>
        <v>12</v>
      </c>
      <c r="AK12" s="169" t="str">
        <f t="shared" ca="1" si="21"/>
        <v>A-</v>
      </c>
      <c r="AL12" s="169">
        <f t="shared" ca="1" si="21"/>
        <v>20</v>
      </c>
      <c r="AM12" s="169" t="str">
        <f t="shared" ca="1" si="4"/>
        <v/>
      </c>
      <c r="AQ12" s="207" t="s">
        <v>238</v>
      </c>
      <c r="AR12" s="207" t="s">
        <v>141</v>
      </c>
      <c r="AS12" s="207">
        <v>18</v>
      </c>
      <c r="AT12" s="207" t="s">
        <v>239</v>
      </c>
      <c r="AV12" s="168">
        <f t="shared" si="5"/>
        <v>30</v>
      </c>
      <c r="AW12" s="168">
        <f>COUNTIF( AV$7:AV12, AV12 )</f>
        <v>2</v>
      </c>
      <c r="AX12" s="208">
        <f t="shared" si="22"/>
        <v>30.2</v>
      </c>
      <c r="AY12" s="168">
        <f t="shared" si="6"/>
        <v>31</v>
      </c>
      <c r="AZ12" s="169"/>
      <c r="BA12" s="169"/>
      <c r="BC12" s="168">
        <f t="shared" ca="1" si="27"/>
        <v>6</v>
      </c>
      <c r="BD12" s="209">
        <f t="shared" ca="1" si="8"/>
        <v>20</v>
      </c>
      <c r="BF12" s="173" t="str">
        <f t="shared" ca="1" si="23"/>
        <v>Evergy, Inc.</v>
      </c>
      <c r="BG12" s="173" t="str">
        <f t="shared" ca="1" si="24"/>
        <v>A-</v>
      </c>
      <c r="BH12" s="173">
        <f t="shared" ca="1" si="25"/>
        <v>20</v>
      </c>
      <c r="BI12" s="173" t="str">
        <f t="shared" ca="1" si="26"/>
        <v>EVRG</v>
      </c>
    </row>
    <row r="13" spans="1:61" ht="13.8" x14ac:dyDescent="0.25">
      <c r="A13" s="223" t="s">
        <v>235</v>
      </c>
      <c r="B13" s="224" t="s">
        <v>139</v>
      </c>
      <c r="C13" s="224">
        <v>20</v>
      </c>
      <c r="D13" s="224" t="s">
        <v>236</v>
      </c>
      <c r="E13" s="225" t="str">
        <f t="shared" ca="1" si="9"/>
        <v>R</v>
      </c>
      <c r="F13" s="348"/>
      <c r="G13" s="349">
        <f t="shared" ca="1" si="1"/>
        <v>24</v>
      </c>
      <c r="H13" s="350"/>
      <c r="I13" s="235"/>
      <c r="J13" s="217" t="s">
        <v>143</v>
      </c>
      <c r="K13" s="235"/>
      <c r="L13" s="217">
        <f t="shared" si="10"/>
        <v>2</v>
      </c>
      <c r="M13" s="218">
        <f t="shared" si="11"/>
        <v>4.4444444444444446E-2</v>
      </c>
      <c r="N13" s="235"/>
      <c r="O13" s="217">
        <f t="shared" ca="1" si="12"/>
        <v>2</v>
      </c>
      <c r="P13" s="218">
        <f t="shared" ca="1" si="13"/>
        <v>5.7142857142857141E-2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0</v>
      </c>
      <c r="V13" s="218" t="str">
        <f t="shared" ca="1" si="17"/>
        <v/>
      </c>
      <c r="W13" s="235"/>
      <c r="X13" s="186" t="s">
        <v>242</v>
      </c>
      <c r="Y13" s="186">
        <v>16</v>
      </c>
      <c r="Z13" s="186">
        <v>1</v>
      </c>
      <c r="AA13" s="188">
        <f t="shared" ca="1" si="18"/>
        <v>2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9"/>
        <v/>
      </c>
      <c r="AJ13" s="169">
        <f t="shared" ca="1" si="20"/>
        <v>13</v>
      </c>
      <c r="AK13" s="169" t="str">
        <f t="shared" ca="1" si="21"/>
        <v>A-</v>
      </c>
      <c r="AL13" s="169">
        <f t="shared" ca="1" si="21"/>
        <v>20</v>
      </c>
      <c r="AM13" s="169" t="str">
        <f t="shared" ca="1" si="4"/>
        <v/>
      </c>
      <c r="AQ13" s="207" t="s">
        <v>215</v>
      </c>
      <c r="AR13" s="207" t="s">
        <v>166</v>
      </c>
      <c r="AS13" s="207">
        <v>21</v>
      </c>
      <c r="AT13" s="207" t="s">
        <v>216</v>
      </c>
      <c r="AV13" s="168">
        <f t="shared" si="5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6"/>
        <v>1</v>
      </c>
      <c r="AZ13" s="169"/>
      <c r="BA13" s="169"/>
      <c r="BC13" s="168">
        <f t="shared" ca="1" si="27"/>
        <v>7</v>
      </c>
      <c r="BD13" s="209">
        <f t="shared" ca="1" si="8"/>
        <v>21</v>
      </c>
      <c r="BF13" s="173" t="str">
        <f t="shared" ca="1" si="23"/>
        <v>Eversource Energy</v>
      </c>
      <c r="BG13" s="173" t="str">
        <f t="shared" ca="1" si="24"/>
        <v>A-</v>
      </c>
      <c r="BH13" s="173">
        <f t="shared" ca="1" si="25"/>
        <v>20</v>
      </c>
      <c r="BI13" s="173" t="str">
        <f t="shared" ca="1" si="26"/>
        <v>ES</v>
      </c>
    </row>
    <row r="14" spans="1:61" ht="13.8" x14ac:dyDescent="0.25">
      <c r="A14" s="223" t="s">
        <v>240</v>
      </c>
      <c r="B14" s="224" t="s">
        <v>139</v>
      </c>
      <c r="C14" s="224">
        <v>20</v>
      </c>
      <c r="D14" s="224" t="s">
        <v>241</v>
      </c>
      <c r="E14" s="225" t="str">
        <f t="shared" ca="1" si="9"/>
        <v>MR</v>
      </c>
      <c r="F14" s="348"/>
      <c r="G14" s="349">
        <f t="shared" ca="1" si="1"/>
        <v>31</v>
      </c>
      <c r="H14" s="350"/>
      <c r="I14" s="236"/>
      <c r="J14" s="211" t="s">
        <v>144</v>
      </c>
      <c r="K14" s="236"/>
      <c r="L14" s="211">
        <f>SUM(L8:L13)</f>
        <v>45</v>
      </c>
      <c r="M14" s="212">
        <f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10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18.866666666666667</v>
      </c>
      <c r="Z14" s="190"/>
      <c r="AA14" s="189">
        <f ca="1">SUM(AA8:AA13)</f>
        <v>45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20"/>
        <v>14</v>
      </c>
      <c r="AK14" s="169" t="str">
        <f t="shared" ca="1" si="21"/>
        <v>A-</v>
      </c>
      <c r="AL14" s="169">
        <f t="shared" ca="1" si="21"/>
        <v>20</v>
      </c>
      <c r="AM14" s="169" t="str">
        <f t="shared" ca="1" si="4"/>
        <v/>
      </c>
      <c r="AQ14" s="207" t="s">
        <v>245</v>
      </c>
      <c r="AR14" s="207" t="s">
        <v>140</v>
      </c>
      <c r="AS14" s="207">
        <v>19</v>
      </c>
      <c r="AT14" s="207" t="s">
        <v>246</v>
      </c>
      <c r="AV14" s="168">
        <f t="shared" si="5"/>
        <v>14</v>
      </c>
      <c r="AW14" s="168">
        <f>COUNTIF( AV$7:AV14, AV14 )</f>
        <v>3</v>
      </c>
      <c r="AX14" s="208">
        <f t="shared" si="22"/>
        <v>14.3</v>
      </c>
      <c r="AY14" s="168">
        <f t="shared" si="6"/>
        <v>16</v>
      </c>
      <c r="AZ14" s="169"/>
      <c r="BA14" s="169"/>
      <c r="BC14" s="168">
        <f t="shared" ca="1" si="27"/>
        <v>8</v>
      </c>
      <c r="BD14" s="209">
        <f t="shared" ca="1" si="8"/>
        <v>28</v>
      </c>
      <c r="BF14" s="173" t="str">
        <f t="shared" ca="1" si="23"/>
        <v>NextEra Energy, Inc.</v>
      </c>
      <c r="BG14" s="173" t="str">
        <f t="shared" ca="1" si="24"/>
        <v>A-</v>
      </c>
      <c r="BH14" s="173">
        <f t="shared" ca="1" si="25"/>
        <v>20</v>
      </c>
      <c r="BI14" s="173" t="str">
        <f t="shared" ca="1" si="26"/>
        <v>NEE</v>
      </c>
    </row>
    <row r="15" spans="1:61" ht="13.8" x14ac:dyDescent="0.25">
      <c r="A15" s="223" t="s">
        <v>281</v>
      </c>
      <c r="B15" s="224" t="s">
        <v>139</v>
      </c>
      <c r="C15" s="224">
        <v>20</v>
      </c>
      <c r="D15" s="224" t="s">
        <v>282</v>
      </c>
      <c r="E15" s="225" t="str">
        <f t="shared" ca="1" si="9"/>
        <v>R</v>
      </c>
      <c r="F15" s="348"/>
      <c r="G15" s="349">
        <f t="shared" ca="1" si="1"/>
        <v>37</v>
      </c>
      <c r="H15" s="350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9"/>
        <v/>
      </c>
      <c r="AJ15" s="169">
        <f t="shared" ca="1" si="20"/>
        <v>15</v>
      </c>
      <c r="AK15" s="169" t="str">
        <f t="shared" ca="1" si="21"/>
        <v>A-</v>
      </c>
      <c r="AL15" s="169">
        <f t="shared" ca="1" si="21"/>
        <v>20</v>
      </c>
      <c r="AM15" s="169" t="str">
        <f t="shared" ca="1" si="4"/>
        <v/>
      </c>
      <c r="AQ15" s="207" t="s">
        <v>249</v>
      </c>
      <c r="AR15" s="207" t="s">
        <v>140</v>
      </c>
      <c r="AS15" s="207">
        <v>19</v>
      </c>
      <c r="AT15" s="207" t="s">
        <v>250</v>
      </c>
      <c r="AV15" s="168">
        <f t="shared" si="5"/>
        <v>14</v>
      </c>
      <c r="AW15" s="168">
        <f>COUNTIF( AV$7:AV15, AV15 )</f>
        <v>4</v>
      </c>
      <c r="AX15" s="208">
        <f t="shared" si="22"/>
        <v>14.4</v>
      </c>
      <c r="AY15" s="168">
        <f t="shared" si="6"/>
        <v>17</v>
      </c>
      <c r="AZ15" s="169"/>
      <c r="BA15" s="169"/>
      <c r="BC15" s="168">
        <f t="shared" ca="1" si="27"/>
        <v>9</v>
      </c>
      <c r="BD15" s="209">
        <f t="shared" ca="1" si="8"/>
        <v>34</v>
      </c>
      <c r="BF15" s="173" t="str">
        <f t="shared" ca="1" si="23"/>
        <v>Pinnacle West Capital Corporation</v>
      </c>
      <c r="BG15" s="173" t="str">
        <f t="shared" ca="1" si="24"/>
        <v>A-</v>
      </c>
      <c r="BH15" s="173">
        <f t="shared" ca="1" si="25"/>
        <v>20</v>
      </c>
      <c r="BI15" s="173" t="str">
        <f t="shared" ca="1" si="26"/>
        <v>PNW</v>
      </c>
    </row>
    <row r="16" spans="1:61" ht="13.8" x14ac:dyDescent="0.25">
      <c r="A16" s="223" t="s">
        <v>243</v>
      </c>
      <c r="B16" s="224" t="s">
        <v>139</v>
      </c>
      <c r="C16" s="224">
        <v>20</v>
      </c>
      <c r="D16" s="224" t="s">
        <v>244</v>
      </c>
      <c r="E16" s="225" t="str">
        <f t="shared" ca="1" si="9"/>
        <v>R</v>
      </c>
      <c r="F16" s="348"/>
      <c r="G16" s="349">
        <f t="shared" ca="1" si="1"/>
        <v>40</v>
      </c>
      <c r="H16" s="350"/>
      <c r="I16" s="232"/>
      <c r="J16" s="210" t="s">
        <v>253</v>
      </c>
      <c r="K16" s="232"/>
      <c r="L16" s="386">
        <f t="array" ref="L16">SUM( IF( LEN( $C$7:$C$65 ) = 0, 0, $C$7:$C$65 ) ) / SUM( IF( LEN( $C$7:$C$65 ) = 0, 0, 1  ) )</f>
        <v>18.844444444444445</v>
      </c>
      <c r="M16" s="387"/>
      <c r="N16" s="232"/>
      <c r="O16" s="386">
        <f t="array" aca="1" ref="O16" ca="1">SUM( IF( LEN( $C$7:$C$65 ) = 0, 0, IF( $E$7:$E$65 = O3, $C$7:$C$65, 0 ) ) ) / SUM( IF( LEN( $C$7:$C$65 ) = 0, 0, IF( $E$7:$E$65 = O3, 1, 0 ) ) )</f>
        <v>18.8</v>
      </c>
      <c r="P16" s="387"/>
      <c r="Q16" s="232"/>
      <c r="R16" s="386">
        <f t="array" aca="1" ref="R16" ca="1">SUM( IF( LEN( $C$7:$C$65 ) = 0, 0, IF( $E$7:$E$65 = R3, $C$7:$C$65, 0 ) ) ) / SUM( IF( LEN( $C$7:$C$65 ) = 0, 0, IF( $E$7:$E$65 = R3, 1, 0 ) ) )</f>
        <v>19</v>
      </c>
      <c r="S16" s="387"/>
      <c r="T16" s="232"/>
      <c r="U16" s="386" t="e">
        <f t="array" aca="1" ref="U16" ca="1">SUM( IF( LEN( $C$7:$C$65 ) = 0, 0, IF( $E$7:$E$65 = U3, $C$7:$C$65, 0 ) ) ) / SUM( IF( LEN( $C$7:$C$65 ) = 0, 0, IF( $E$7:$E$65 = U3, 1, 0 ) ) )</f>
        <v>#DIV/0!</v>
      </c>
      <c r="V16" s="388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9"/>
        <v/>
      </c>
      <c r="AJ16" s="169">
        <f t="shared" ca="1" si="20"/>
        <v>16</v>
      </c>
      <c r="AK16" s="169" t="str">
        <f t="shared" ca="1" si="21"/>
        <v>A-</v>
      </c>
      <c r="AL16" s="169">
        <f t="shared" ca="1" si="21"/>
        <v>20</v>
      </c>
      <c r="AM16" s="169" t="str">
        <f t="shared" ca="1" si="4"/>
        <v/>
      </c>
      <c r="AQ16" s="207" t="s">
        <v>254</v>
      </c>
      <c r="AR16" s="207" t="s">
        <v>142</v>
      </c>
      <c r="AS16" s="207">
        <v>17</v>
      </c>
      <c r="AT16" s="207" t="s">
        <v>255</v>
      </c>
      <c r="AV16" s="168">
        <f t="shared" si="5"/>
        <v>40</v>
      </c>
      <c r="AW16" s="168">
        <f>COUNTIF( AV$7:AV16, AV16 )</f>
        <v>1</v>
      </c>
      <c r="AX16" s="208">
        <f t="shared" si="22"/>
        <v>40.1</v>
      </c>
      <c r="AY16" s="168">
        <f t="shared" si="6"/>
        <v>40</v>
      </c>
      <c r="AZ16" s="169"/>
      <c r="BA16" s="169"/>
      <c r="BC16" s="168">
        <f t="shared" ca="1" si="27"/>
        <v>10</v>
      </c>
      <c r="BD16" s="209">
        <f t="shared" ca="1" si="8"/>
        <v>37</v>
      </c>
      <c r="BF16" s="173" t="str">
        <f t="shared" ca="1" si="23"/>
        <v>PPL Corporation</v>
      </c>
      <c r="BG16" s="173" t="str">
        <f t="shared" ca="1" si="24"/>
        <v>A-</v>
      </c>
      <c r="BH16" s="173">
        <f t="shared" ca="1" si="25"/>
        <v>20</v>
      </c>
      <c r="BI16" s="173" t="str">
        <f t="shared" ca="1" si="26"/>
        <v>PPL</v>
      </c>
    </row>
    <row r="17" spans="1:61" ht="13.8" x14ac:dyDescent="0.25">
      <c r="A17" s="223" t="s">
        <v>293</v>
      </c>
      <c r="B17" s="224" t="s">
        <v>139</v>
      </c>
      <c r="C17" s="224">
        <v>20</v>
      </c>
      <c r="D17" s="224" t="s">
        <v>294</v>
      </c>
      <c r="E17" s="225" t="str">
        <f t="shared" ca="1" si="9"/>
        <v>R</v>
      </c>
      <c r="F17" s="348"/>
      <c r="G17" s="349">
        <f t="shared" ca="1" si="1"/>
        <v>43</v>
      </c>
      <c r="H17" s="350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9"/>
        <v/>
      </c>
      <c r="AJ17" s="169">
        <f t="shared" ca="1" si="20"/>
        <v>17</v>
      </c>
      <c r="AK17" s="169" t="str">
        <f t="shared" ca="1" si="21"/>
        <v>A-</v>
      </c>
      <c r="AL17" s="169">
        <f t="shared" ca="1" si="21"/>
        <v>20</v>
      </c>
      <c r="AM17" s="169" t="str">
        <f t="shared" ca="1" si="4"/>
        <v/>
      </c>
      <c r="AQ17" s="207" t="s">
        <v>256</v>
      </c>
      <c r="AR17" s="207" t="s">
        <v>140</v>
      </c>
      <c r="AS17" s="207">
        <v>19</v>
      </c>
      <c r="AT17" s="207" t="s">
        <v>257</v>
      </c>
      <c r="AV17" s="168">
        <f t="shared" si="5"/>
        <v>14</v>
      </c>
      <c r="AW17" s="168">
        <f>COUNTIF( AV$7:AV17, AV17 )</f>
        <v>5</v>
      </c>
      <c r="AX17" s="208">
        <f t="shared" si="22"/>
        <v>14.5</v>
      </c>
      <c r="AY17" s="168">
        <f t="shared" si="6"/>
        <v>18</v>
      </c>
      <c r="AZ17" s="169"/>
      <c r="BA17" s="169"/>
      <c r="BC17" s="168">
        <f t="shared" ca="1" si="27"/>
        <v>11</v>
      </c>
      <c r="BD17" s="209">
        <f t="shared" ca="1" si="8"/>
        <v>41</v>
      </c>
      <c r="BF17" s="173" t="str">
        <f t="shared" ca="1" si="23"/>
        <v>Southern Company</v>
      </c>
      <c r="BG17" s="173" t="str">
        <f t="shared" ca="1" si="24"/>
        <v>A-</v>
      </c>
      <c r="BH17" s="173">
        <f t="shared" ca="1" si="25"/>
        <v>20</v>
      </c>
      <c r="BI17" s="173" t="str">
        <f t="shared" ca="1" si="26"/>
        <v>SO</v>
      </c>
    </row>
    <row r="18" spans="1:61" ht="13.8" x14ac:dyDescent="0.25">
      <c r="A18" s="223" t="s">
        <v>247</v>
      </c>
      <c r="B18" s="224" t="s">
        <v>139</v>
      </c>
      <c r="C18" s="224">
        <v>20</v>
      </c>
      <c r="D18" s="224" t="s">
        <v>248</v>
      </c>
      <c r="E18" s="225" t="str">
        <f t="shared" ca="1" si="9"/>
        <v>R</v>
      </c>
      <c r="F18" s="348"/>
      <c r="G18" s="349">
        <f t="shared" ca="1" si="1"/>
        <v>45</v>
      </c>
      <c r="H18" s="350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9"/>
        <v/>
      </c>
      <c r="AJ18" s="169">
        <f t="shared" ca="1" si="20"/>
        <v>18</v>
      </c>
      <c r="AK18" s="169" t="str">
        <f t="shared" ca="1" si="21"/>
        <v>A-</v>
      </c>
      <c r="AL18" s="169">
        <f t="shared" ca="1" si="21"/>
        <v>20</v>
      </c>
      <c r="AM18" s="169" t="str">
        <f t="shared" ca="1" si="4"/>
        <v/>
      </c>
      <c r="AQ18" s="207" t="s">
        <v>227</v>
      </c>
      <c r="AR18" s="207" t="s">
        <v>139</v>
      </c>
      <c r="AS18" s="207">
        <v>20</v>
      </c>
      <c r="AT18" s="207" t="s">
        <v>228</v>
      </c>
      <c r="AV18" s="168">
        <f t="shared" si="5"/>
        <v>2</v>
      </c>
      <c r="AW18" s="168">
        <f>COUNTIF( AV$7:AV18, AV18 )</f>
        <v>3</v>
      </c>
      <c r="AX18" s="208">
        <f t="shared" si="22"/>
        <v>2.2999999999999998</v>
      </c>
      <c r="AY18" s="168">
        <f t="shared" si="6"/>
        <v>4</v>
      </c>
      <c r="AZ18" s="169"/>
      <c r="BA18" s="169"/>
      <c r="BC18" s="168">
        <f t="shared" ca="1" si="27"/>
        <v>12</v>
      </c>
      <c r="BD18" s="209">
        <f t="shared" ca="1" si="8"/>
        <v>43</v>
      </c>
      <c r="BF18" s="173" t="str">
        <f t="shared" ca="1" si="23"/>
        <v>Wisconsin Energy Corporation</v>
      </c>
      <c r="BG18" s="173" t="str">
        <f t="shared" ca="1" si="24"/>
        <v>A-</v>
      </c>
      <c r="BH18" s="173">
        <f t="shared" ca="1" si="25"/>
        <v>20</v>
      </c>
      <c r="BI18" s="173" t="str">
        <f t="shared" ca="1" si="26"/>
        <v>WEC</v>
      </c>
    </row>
    <row r="19" spans="1:61" ht="13.8" x14ac:dyDescent="0.25">
      <c r="A19" s="223" t="s">
        <v>251</v>
      </c>
      <c r="B19" s="224" t="s">
        <v>139</v>
      </c>
      <c r="C19" s="224">
        <v>20</v>
      </c>
      <c r="D19" s="224" t="s">
        <v>252</v>
      </c>
      <c r="E19" s="225" t="str">
        <f t="shared" ca="1" si="9"/>
        <v>R</v>
      </c>
      <c r="F19" s="348"/>
      <c r="G19" s="349">
        <f t="shared" ca="1" si="1"/>
        <v>46</v>
      </c>
      <c r="H19" s="350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9"/>
        <v/>
      </c>
      <c r="AJ19" s="169">
        <f t="shared" ca="1" si="20"/>
        <v>19</v>
      </c>
      <c r="AK19" s="169" t="str">
        <f t="shared" ca="1" si="21"/>
        <v>A-</v>
      </c>
      <c r="AL19" s="169">
        <f t="shared" ca="1" si="21"/>
        <v>20</v>
      </c>
      <c r="AM19" s="169" t="str">
        <f t="shared" ca="1" si="4"/>
        <v/>
      </c>
      <c r="AQ19" s="207" t="s">
        <v>258</v>
      </c>
      <c r="AR19" s="207" t="s">
        <v>140</v>
      </c>
      <c r="AS19" s="207">
        <v>19</v>
      </c>
      <c r="AT19" s="207" t="s">
        <v>194</v>
      </c>
      <c r="AV19" s="168">
        <f t="shared" si="5"/>
        <v>14</v>
      </c>
      <c r="AW19" s="168">
        <f>COUNTIF( AV$7:AV19, AV19 )</f>
        <v>6</v>
      </c>
      <c r="AX19" s="208">
        <f t="shared" si="22"/>
        <v>14.6</v>
      </c>
      <c r="AY19" s="168">
        <f t="shared" si="6"/>
        <v>19</v>
      </c>
      <c r="AZ19" s="169"/>
      <c r="BA19" s="169"/>
      <c r="BC19" s="168">
        <f t="shared" ca="1" si="27"/>
        <v>13</v>
      </c>
      <c r="BD19" s="209">
        <f t="shared" ca="1" si="8"/>
        <v>44</v>
      </c>
      <c r="BF19" s="173" t="str">
        <f t="shared" ca="1" si="23"/>
        <v>Xcel Energy Inc.</v>
      </c>
      <c r="BG19" s="173" t="str">
        <f t="shared" ca="1" si="24"/>
        <v>A-</v>
      </c>
      <c r="BH19" s="173">
        <f t="shared" ca="1" si="25"/>
        <v>20</v>
      </c>
      <c r="BI19" s="173" t="str">
        <f t="shared" ca="1" si="26"/>
        <v>XEL</v>
      </c>
    </row>
    <row r="20" spans="1:61" ht="13.8" x14ac:dyDescent="0.25">
      <c r="A20" s="223" t="s">
        <v>225</v>
      </c>
      <c r="B20" s="224" t="s">
        <v>140</v>
      </c>
      <c r="C20" s="224">
        <v>19</v>
      </c>
      <c r="D20" s="224" t="s">
        <v>226</v>
      </c>
      <c r="E20" s="225" t="str">
        <f t="shared" ca="1" si="9"/>
        <v>R</v>
      </c>
      <c r="F20" s="348"/>
      <c r="G20" s="349">
        <f t="shared" ca="1" si="1"/>
        <v>9</v>
      </c>
      <c r="H20" s="350"/>
      <c r="I20" s="352"/>
      <c r="K20" s="352"/>
      <c r="N20" s="352"/>
      <c r="O20" s="173"/>
      <c r="Q20" s="352"/>
      <c r="T20" s="352"/>
      <c r="W20" s="352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9"/>
        <v/>
      </c>
      <c r="AJ20" s="169">
        <f t="shared" ca="1" si="20"/>
        <v>21</v>
      </c>
      <c r="AK20" s="169" t="str">
        <f t="shared" ca="1" si="21"/>
        <v>BBB+</v>
      </c>
      <c r="AL20" s="169">
        <f t="shared" ca="1" si="21"/>
        <v>19</v>
      </c>
      <c r="AM20" s="169" t="str">
        <f t="shared" ca="1" si="4"/>
        <v/>
      </c>
      <c r="AQ20" s="207" t="s">
        <v>259</v>
      </c>
      <c r="AR20" s="207" t="s">
        <v>175</v>
      </c>
      <c r="AS20" s="207">
        <v>15</v>
      </c>
      <c r="AT20" s="207" t="s">
        <v>260</v>
      </c>
      <c r="AV20" s="168">
        <f t="shared" si="5"/>
        <v>43</v>
      </c>
      <c r="AW20" s="168">
        <f>COUNTIF( AV$7:AV20, AV20 )</f>
        <v>1</v>
      </c>
      <c r="AX20" s="208">
        <f t="shared" si="22"/>
        <v>43.1</v>
      </c>
      <c r="AY20" s="168">
        <f t="shared" si="6"/>
        <v>43</v>
      </c>
      <c r="AZ20" s="169"/>
      <c r="BA20" s="169"/>
      <c r="BC20" s="168">
        <f t="shared" ca="1" si="27"/>
        <v>14</v>
      </c>
      <c r="BD20" s="209">
        <f t="shared" ca="1" si="8"/>
        <v>3</v>
      </c>
      <c r="BF20" s="173" t="str">
        <f t="shared" ca="1" si="23"/>
        <v>Ameren Corporation</v>
      </c>
      <c r="BG20" s="173" t="str">
        <f t="shared" ca="1" si="24"/>
        <v>BBB+</v>
      </c>
      <c r="BH20" s="173">
        <f t="shared" ca="1" si="25"/>
        <v>19</v>
      </c>
      <c r="BI20" s="173" t="str">
        <f t="shared" ca="1" si="26"/>
        <v>AEE</v>
      </c>
    </row>
    <row r="21" spans="1:61" ht="13.8" x14ac:dyDescent="0.25">
      <c r="A21" s="223" t="s">
        <v>233</v>
      </c>
      <c r="B21" s="224" t="s">
        <v>140</v>
      </c>
      <c r="C21" s="224">
        <v>19</v>
      </c>
      <c r="D21" s="224" t="s">
        <v>234</v>
      </c>
      <c r="E21" s="225" t="str">
        <f t="shared" ca="1" si="9"/>
        <v>MR</v>
      </c>
      <c r="F21" s="348"/>
      <c r="G21" s="349">
        <f t="shared" ca="1" si="1"/>
        <v>11</v>
      </c>
      <c r="H21" s="350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9"/>
        <v/>
      </c>
      <c r="AJ21" s="169">
        <f t="shared" ca="1" si="20"/>
        <v>22</v>
      </c>
      <c r="AK21" s="169" t="str">
        <f t="shared" ca="1" si="21"/>
        <v>BBB+</v>
      </c>
      <c r="AL21" s="169">
        <f t="shared" ca="1" si="21"/>
        <v>19</v>
      </c>
      <c r="AM21" s="169" t="str">
        <f t="shared" ca="1" si="4"/>
        <v/>
      </c>
      <c r="AQ21" s="207" t="s">
        <v>261</v>
      </c>
      <c r="AR21" s="207" t="s">
        <v>140</v>
      </c>
      <c r="AS21" s="207">
        <v>19</v>
      </c>
      <c r="AT21" s="207" t="s">
        <v>262</v>
      </c>
      <c r="AV21" s="168">
        <f t="shared" si="5"/>
        <v>14</v>
      </c>
      <c r="AW21" s="168">
        <f>COUNTIF( AV$7:AV21, AV21 )</f>
        <v>7</v>
      </c>
      <c r="AX21" s="208">
        <f t="shared" si="22"/>
        <v>14.7</v>
      </c>
      <c r="AY21" s="168">
        <f t="shared" si="6"/>
        <v>20</v>
      </c>
      <c r="AZ21" s="169"/>
      <c r="BA21" s="169"/>
      <c r="BC21" s="168">
        <f t="shared" ca="1" si="27"/>
        <v>15</v>
      </c>
      <c r="BD21" s="209">
        <f t="shared" ca="1" si="8"/>
        <v>5</v>
      </c>
      <c r="BF21" s="173" t="str">
        <f t="shared" ca="1" si="23"/>
        <v>AVANGRID, Inc.</v>
      </c>
      <c r="BG21" s="173" t="str">
        <f t="shared" ca="1" si="24"/>
        <v>BBB+</v>
      </c>
      <c r="BH21" s="173">
        <f t="shared" ca="1" si="25"/>
        <v>19</v>
      </c>
      <c r="BI21" s="173" t="str">
        <f t="shared" ca="1" si="26"/>
        <v>AGR</v>
      </c>
    </row>
    <row r="22" spans="1:61" ht="13.8" x14ac:dyDescent="0.25">
      <c r="A22" s="223" t="s">
        <v>245</v>
      </c>
      <c r="B22" s="224" t="s">
        <v>140</v>
      </c>
      <c r="C22" s="224">
        <v>19</v>
      </c>
      <c r="D22" s="224" t="s">
        <v>246</v>
      </c>
      <c r="E22" s="225" t="str">
        <f t="shared" ca="1" si="9"/>
        <v>R</v>
      </c>
      <c r="F22" s="348"/>
      <c r="G22" s="349">
        <f t="shared" ca="1" si="1"/>
        <v>13</v>
      </c>
      <c r="H22" s="350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20"/>
        <v>23</v>
      </c>
      <c r="AK22" s="169" t="str">
        <f t="shared" ca="1" si="21"/>
        <v>BBB+</v>
      </c>
      <c r="AL22" s="169">
        <f t="shared" ca="1" si="21"/>
        <v>19</v>
      </c>
      <c r="AM22" s="169" t="str">
        <f t="shared" ca="1" si="4"/>
        <v/>
      </c>
      <c r="AQ22" s="207" t="s">
        <v>263</v>
      </c>
      <c r="AR22" s="207" t="s">
        <v>139</v>
      </c>
      <c r="AS22" s="207">
        <v>20</v>
      </c>
      <c r="AT22" s="207" t="s">
        <v>264</v>
      </c>
      <c r="AV22" s="168">
        <f t="shared" si="5"/>
        <v>2</v>
      </c>
      <c r="AW22" s="168">
        <f>COUNTIF( AV$7:AV22, AV22 )</f>
        <v>4</v>
      </c>
      <c r="AX22" s="208">
        <f t="shared" si="22"/>
        <v>2.4</v>
      </c>
      <c r="AY22" s="168">
        <f t="shared" si="6"/>
        <v>5</v>
      </c>
      <c r="AZ22" s="169"/>
      <c r="BA22" s="169"/>
      <c r="BC22" s="168">
        <f t="shared" ca="1" si="27"/>
        <v>16</v>
      </c>
      <c r="BD22" s="209">
        <f t="shared" ca="1" si="8"/>
        <v>8</v>
      </c>
      <c r="BF22" s="173" t="str">
        <f t="shared" ca="1" si="23"/>
        <v>Black Hills Corporation</v>
      </c>
      <c r="BG22" s="173" t="str">
        <f t="shared" ca="1" si="24"/>
        <v>BBB+</v>
      </c>
      <c r="BH22" s="173">
        <f t="shared" ca="1" si="25"/>
        <v>19</v>
      </c>
      <c r="BI22" s="173" t="str">
        <f t="shared" ca="1" si="26"/>
        <v>BKH</v>
      </c>
    </row>
    <row r="23" spans="1:61" ht="13.8" x14ac:dyDescent="0.25">
      <c r="A23" s="223" t="s">
        <v>249</v>
      </c>
      <c r="B23" s="224" t="s">
        <v>140</v>
      </c>
      <c r="C23" s="224">
        <v>19</v>
      </c>
      <c r="D23" s="224" t="s">
        <v>250</v>
      </c>
      <c r="E23" s="225" t="str">
        <f t="shared" ca="1" si="9"/>
        <v>R</v>
      </c>
      <c r="F23" s="348"/>
      <c r="G23" s="349">
        <f t="shared" ca="1" si="1"/>
        <v>14</v>
      </c>
      <c r="H23" s="350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20"/>
        <v>24</v>
      </c>
      <c r="AK23" s="169" t="str">
        <f t="shared" ca="1" si="21"/>
        <v>BBB+</v>
      </c>
      <c r="AL23" s="169">
        <f t="shared" ca="1" si="21"/>
        <v>19</v>
      </c>
      <c r="AM23" s="169" t="str">
        <f t="shared" ca="1" si="4"/>
        <v/>
      </c>
      <c r="AQ23" s="207" t="s">
        <v>265</v>
      </c>
      <c r="AR23" s="207" t="s">
        <v>141</v>
      </c>
      <c r="AS23" s="207">
        <v>18</v>
      </c>
      <c r="AT23" s="207" t="s">
        <v>266</v>
      </c>
      <c r="AV23" s="168">
        <f t="shared" si="5"/>
        <v>30</v>
      </c>
      <c r="AW23" s="168">
        <f>COUNTIF( AV$7:AV23, AV23 )</f>
        <v>3</v>
      </c>
      <c r="AX23" s="208">
        <f t="shared" si="22"/>
        <v>30.3</v>
      </c>
      <c r="AY23" s="168">
        <f t="shared" si="6"/>
        <v>32</v>
      </c>
      <c r="AZ23" s="169"/>
      <c r="BA23" s="169"/>
      <c r="BC23" s="168">
        <f t="shared" ca="1" si="27"/>
        <v>17</v>
      </c>
      <c r="BD23" s="209">
        <f t="shared" ca="1" si="8"/>
        <v>9</v>
      </c>
      <c r="BF23" s="173" t="str">
        <f t="shared" ca="1" si="23"/>
        <v>CenterPoint Energy, Inc.</v>
      </c>
      <c r="BG23" s="173" t="str">
        <f t="shared" ca="1" si="24"/>
        <v>BBB+</v>
      </c>
      <c r="BH23" s="173">
        <f t="shared" ca="1" si="25"/>
        <v>19</v>
      </c>
      <c r="BI23" s="173" t="str">
        <f t="shared" ca="1" si="26"/>
        <v>CNP</v>
      </c>
    </row>
    <row r="24" spans="1:61" ht="13.8" x14ac:dyDescent="0.25">
      <c r="A24" s="223" t="s">
        <v>256</v>
      </c>
      <c r="B24" s="224" t="s">
        <v>140</v>
      </c>
      <c r="C24" s="224">
        <v>19</v>
      </c>
      <c r="D24" s="224" t="s">
        <v>257</v>
      </c>
      <c r="E24" s="225" t="str">
        <f t="shared" ca="1" si="9"/>
        <v>R</v>
      </c>
      <c r="F24" s="348"/>
      <c r="G24" s="349">
        <f t="shared" ca="1" si="1"/>
        <v>15</v>
      </c>
      <c r="H24" s="350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20"/>
        <v>25</v>
      </c>
      <c r="AK24" s="169" t="str">
        <f t="shared" ca="1" si="21"/>
        <v>BBB+</v>
      </c>
      <c r="AL24" s="169">
        <f t="shared" ca="1" si="21"/>
        <v>19</v>
      </c>
      <c r="AM24" s="169" t="str">
        <f t="shared" ca="1" si="4"/>
        <v/>
      </c>
      <c r="AQ24" s="207" t="s">
        <v>328</v>
      </c>
      <c r="AR24" s="207" t="s">
        <v>141</v>
      </c>
      <c r="AS24" s="207">
        <v>18</v>
      </c>
      <c r="AT24" s="207" t="s">
        <v>331</v>
      </c>
      <c r="AV24" s="168">
        <f t="shared" si="5"/>
        <v>30</v>
      </c>
      <c r="AW24" s="168">
        <f>COUNTIF( AV$7:AV24, AV24 )</f>
        <v>4</v>
      </c>
      <c r="AX24" s="208">
        <f t="shared" si="22"/>
        <v>30.4</v>
      </c>
      <c r="AY24" s="168">
        <f t="shared" si="6"/>
        <v>33</v>
      </c>
      <c r="AZ24" s="169"/>
      <c r="BA24" s="169"/>
      <c r="BC24" s="168">
        <f t="shared" ca="1" si="27"/>
        <v>18</v>
      </c>
      <c r="BD24" s="209">
        <f t="shared" ca="1" si="8"/>
        <v>11</v>
      </c>
      <c r="BF24" s="173" t="str">
        <f t="shared" ca="1" si="23"/>
        <v>CMS Energy Corporation</v>
      </c>
      <c r="BG24" s="173" t="str">
        <f t="shared" ca="1" si="24"/>
        <v>BBB+</v>
      </c>
      <c r="BH24" s="173">
        <f t="shared" ca="1" si="25"/>
        <v>19</v>
      </c>
      <c r="BI24" s="173" t="str">
        <f t="shared" ca="1" si="26"/>
        <v>CMS</v>
      </c>
    </row>
    <row r="25" spans="1:61" ht="13.8" x14ac:dyDescent="0.25">
      <c r="A25" s="223" t="s">
        <v>258</v>
      </c>
      <c r="B25" s="224" t="s">
        <v>140</v>
      </c>
      <c r="C25" s="224">
        <v>19</v>
      </c>
      <c r="D25" s="224" t="s">
        <v>194</v>
      </c>
      <c r="E25" s="225" t="str">
        <f t="shared" ca="1" si="9"/>
        <v>R</v>
      </c>
      <c r="F25" s="348"/>
      <c r="G25" s="349">
        <f t="shared" ca="1" si="1"/>
        <v>17</v>
      </c>
      <c r="H25" s="350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9"/>
        <v/>
      </c>
      <c r="AJ25" s="169">
        <f t="shared" ca="1" si="20"/>
        <v>26</v>
      </c>
      <c r="AK25" s="169" t="str">
        <f t="shared" ca="1" si="21"/>
        <v>BBB+</v>
      </c>
      <c r="AL25" s="169">
        <f t="shared" ca="1" si="21"/>
        <v>19</v>
      </c>
      <c r="AM25" s="169" t="str">
        <f t="shared" ca="1" si="4"/>
        <v/>
      </c>
      <c r="AQ25" s="207" t="s">
        <v>267</v>
      </c>
      <c r="AR25" s="207" t="s">
        <v>140</v>
      </c>
      <c r="AS25" s="207">
        <v>19</v>
      </c>
      <c r="AT25" s="207" t="s">
        <v>268</v>
      </c>
      <c r="AV25" s="168">
        <f t="shared" si="5"/>
        <v>14</v>
      </c>
      <c r="AW25" s="168">
        <f>COUNTIF( AV$7:AV25, AV25 )</f>
        <v>8</v>
      </c>
      <c r="AX25" s="208">
        <f t="shared" si="22"/>
        <v>14.8</v>
      </c>
      <c r="AY25" s="168">
        <f t="shared" si="6"/>
        <v>21</v>
      </c>
      <c r="AZ25" s="169"/>
      <c r="BA25" s="169"/>
      <c r="BC25" s="168">
        <f t="shared" ca="1" si="27"/>
        <v>19</v>
      </c>
      <c r="BD25" s="209">
        <f t="shared" ca="1" si="8"/>
        <v>13</v>
      </c>
      <c r="BF25" s="173" t="str">
        <f t="shared" ca="1" si="23"/>
        <v>Dominion Energy, Inc.</v>
      </c>
      <c r="BG25" s="173" t="str">
        <f t="shared" ca="1" si="24"/>
        <v>BBB+</v>
      </c>
      <c r="BH25" s="173">
        <f t="shared" ca="1" si="25"/>
        <v>19</v>
      </c>
      <c r="BI25" s="173" t="str">
        <f t="shared" ca="1" si="26"/>
        <v>D</v>
      </c>
    </row>
    <row r="26" spans="1:61" ht="13.8" x14ac:dyDescent="0.25">
      <c r="A26" s="223" t="s">
        <v>261</v>
      </c>
      <c r="B26" s="224" t="s">
        <v>140</v>
      </c>
      <c r="C26" s="224">
        <v>19</v>
      </c>
      <c r="D26" s="224" t="s">
        <v>262</v>
      </c>
      <c r="E26" s="225" t="str">
        <f t="shared" ca="1" si="9"/>
        <v>MR</v>
      </c>
      <c r="F26" s="348"/>
      <c r="G26" s="349">
        <f t="shared" ca="1" si="1"/>
        <v>18</v>
      </c>
      <c r="H26" s="350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9"/>
        <v/>
      </c>
      <c r="AJ26" s="169">
        <f t="shared" ca="1" si="20"/>
        <v>27</v>
      </c>
      <c r="AK26" s="169" t="str">
        <f t="shared" ca="1" si="21"/>
        <v>BBB+</v>
      </c>
      <c r="AL26" s="169">
        <f t="shared" ca="1" si="21"/>
        <v>19</v>
      </c>
      <c r="AM26" s="169" t="str">
        <f t="shared" ca="1" si="4"/>
        <v/>
      </c>
      <c r="AQ26" s="207" t="s">
        <v>230</v>
      </c>
      <c r="AR26" s="207" t="s">
        <v>139</v>
      </c>
      <c r="AS26" s="207">
        <v>20</v>
      </c>
      <c r="AT26" s="207" t="s">
        <v>231</v>
      </c>
      <c r="AV26" s="168">
        <f t="shared" si="5"/>
        <v>2</v>
      </c>
      <c r="AW26" s="168">
        <f>COUNTIF( AV$7:AV26, AV26 )</f>
        <v>5</v>
      </c>
      <c r="AX26" s="208">
        <f t="shared" si="22"/>
        <v>2.5</v>
      </c>
      <c r="AY26" s="168">
        <f t="shared" si="6"/>
        <v>6</v>
      </c>
      <c r="AZ26" s="169"/>
      <c r="BA26" s="169"/>
      <c r="BC26" s="168">
        <f t="shared" ca="1" si="27"/>
        <v>20</v>
      </c>
      <c r="BD26" s="209">
        <f t="shared" ca="1" si="8"/>
        <v>15</v>
      </c>
      <c r="BF26" s="173" t="str">
        <f t="shared" ca="1" si="23"/>
        <v>DTE Energy Company</v>
      </c>
      <c r="BG26" s="173" t="str">
        <f t="shared" ca="1" si="24"/>
        <v>BBB+</v>
      </c>
      <c r="BH26" s="173">
        <f t="shared" ca="1" si="25"/>
        <v>19</v>
      </c>
      <c r="BI26" s="173" t="str">
        <f t="shared" ca="1" si="26"/>
        <v>DTE</v>
      </c>
    </row>
    <row r="27" spans="1:61" ht="13.8" x14ac:dyDescent="0.25">
      <c r="A27" s="223" t="s">
        <v>267</v>
      </c>
      <c r="B27" s="224" t="s">
        <v>140</v>
      </c>
      <c r="C27" s="224">
        <v>19</v>
      </c>
      <c r="D27" s="224" t="s">
        <v>268</v>
      </c>
      <c r="E27" s="225" t="str">
        <f t="shared" ca="1" si="9"/>
        <v>R</v>
      </c>
      <c r="F27" s="348"/>
      <c r="G27" s="349">
        <f t="shared" ca="1" si="1"/>
        <v>22</v>
      </c>
      <c r="H27" s="350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20"/>
        <v>28</v>
      </c>
      <c r="AK27" s="169" t="str">
        <f t="shared" ca="1" si="21"/>
        <v>BBB+</v>
      </c>
      <c r="AL27" s="169">
        <f t="shared" ca="1" si="21"/>
        <v>19</v>
      </c>
      <c r="AM27" s="169" t="str">
        <f t="shared" ca="1" si="4"/>
        <v/>
      </c>
      <c r="AQ27" s="207" t="s">
        <v>235</v>
      </c>
      <c r="AR27" s="207" t="s">
        <v>139</v>
      </c>
      <c r="AS27" s="207">
        <v>20</v>
      </c>
      <c r="AT27" s="207" t="s">
        <v>236</v>
      </c>
      <c r="AV27" s="168">
        <f t="shared" si="5"/>
        <v>2</v>
      </c>
      <c r="AW27" s="168">
        <f>COUNTIF( AV$7:AV27, AV27 )</f>
        <v>6</v>
      </c>
      <c r="AX27" s="208">
        <f t="shared" si="22"/>
        <v>2.6</v>
      </c>
      <c r="AY27" s="168">
        <f t="shared" si="6"/>
        <v>7</v>
      </c>
      <c r="AZ27" s="169"/>
      <c r="BA27" s="169"/>
      <c r="BC27" s="168">
        <f t="shared" ca="1" si="27"/>
        <v>21</v>
      </c>
      <c r="BD27" s="209">
        <f t="shared" ca="1" si="8"/>
        <v>19</v>
      </c>
      <c r="BF27" s="173" t="str">
        <f t="shared" ca="1" si="23"/>
        <v>Entergy Corporation</v>
      </c>
      <c r="BG27" s="173" t="str">
        <f t="shared" ca="1" si="24"/>
        <v>BBB+</v>
      </c>
      <c r="BH27" s="173">
        <f t="shared" ca="1" si="25"/>
        <v>19</v>
      </c>
      <c r="BI27" s="173" t="str">
        <f t="shared" ca="1" si="26"/>
        <v>ETR</v>
      </c>
    </row>
    <row r="28" spans="1:61" ht="13.8" x14ac:dyDescent="0.25">
      <c r="A28" s="223" t="s">
        <v>269</v>
      </c>
      <c r="B28" s="224" t="s">
        <v>140</v>
      </c>
      <c r="C28" s="224">
        <v>19</v>
      </c>
      <c r="D28" s="224" t="s">
        <v>270</v>
      </c>
      <c r="E28" s="225" t="str">
        <f t="shared" ca="1" si="9"/>
        <v>MR</v>
      </c>
      <c r="F28" s="348"/>
      <c r="G28" s="349">
        <f t="shared" ca="1" si="1"/>
        <v>25</v>
      </c>
      <c r="H28" s="350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20"/>
        <v>29</v>
      </c>
      <c r="AK28" s="169" t="str">
        <f t="shared" ca="1" si="21"/>
        <v>BBB+</v>
      </c>
      <c r="AL28" s="169">
        <f t="shared" ca="1" si="21"/>
        <v>19</v>
      </c>
      <c r="AM28" s="169" t="str">
        <f t="shared" ca="1" si="4"/>
        <v/>
      </c>
      <c r="AQ28" s="207" t="s">
        <v>269</v>
      </c>
      <c r="AR28" s="207" t="s">
        <v>140</v>
      </c>
      <c r="AS28" s="207">
        <v>19</v>
      </c>
      <c r="AT28" s="207" t="s">
        <v>270</v>
      </c>
      <c r="AV28" s="168">
        <f t="shared" si="5"/>
        <v>14</v>
      </c>
      <c r="AW28" s="168">
        <f>COUNTIF( AV$7:AV28, AV28 )</f>
        <v>9</v>
      </c>
      <c r="AX28" s="208">
        <f t="shared" si="22"/>
        <v>14.9</v>
      </c>
      <c r="AY28" s="168">
        <f t="shared" si="6"/>
        <v>22</v>
      </c>
      <c r="AZ28" s="169"/>
      <c r="BA28" s="169"/>
      <c r="BC28" s="168">
        <f t="shared" ca="1" si="27"/>
        <v>22</v>
      </c>
      <c r="BD28" s="209">
        <f t="shared" ca="1" si="8"/>
        <v>22</v>
      </c>
      <c r="BF28" s="173" t="str">
        <f t="shared" ca="1" si="23"/>
        <v>Exelon Corporation</v>
      </c>
      <c r="BG28" s="173" t="str">
        <f t="shared" ca="1" si="24"/>
        <v>BBB+</v>
      </c>
      <c r="BH28" s="173">
        <f t="shared" ca="1" si="25"/>
        <v>19</v>
      </c>
      <c r="BI28" s="173" t="str">
        <f t="shared" ca="1" si="26"/>
        <v>EXC</v>
      </c>
    </row>
    <row r="29" spans="1:61" ht="13.8" x14ac:dyDescent="0.25">
      <c r="A29" s="223" t="s">
        <v>271</v>
      </c>
      <c r="B29" s="224" t="s">
        <v>140</v>
      </c>
      <c r="C29" s="224">
        <v>19</v>
      </c>
      <c r="D29" s="224" t="s">
        <v>272</v>
      </c>
      <c r="E29" s="225" t="str">
        <f t="shared" ca="1" si="9"/>
        <v>MR</v>
      </c>
      <c r="F29" s="348"/>
      <c r="G29" s="349">
        <f t="shared" ca="1" si="1"/>
        <v>29</v>
      </c>
      <c r="H29" s="350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9"/>
        <v/>
      </c>
      <c r="AJ29" s="169">
        <f t="shared" ca="1" si="20"/>
        <v>30</v>
      </c>
      <c r="AK29" s="169" t="str">
        <f t="shared" ca="1" si="21"/>
        <v>BBB+</v>
      </c>
      <c r="AL29" s="169">
        <f t="shared" ca="1" si="21"/>
        <v>19</v>
      </c>
      <c r="AM29" s="169" t="str">
        <f t="shared" ca="1" si="4"/>
        <v/>
      </c>
      <c r="AQ29" s="207" t="s">
        <v>275</v>
      </c>
      <c r="AR29" s="207" t="s">
        <v>141</v>
      </c>
      <c r="AS29" s="207">
        <v>18</v>
      </c>
      <c r="AT29" s="207" t="s">
        <v>276</v>
      </c>
      <c r="AV29" s="168">
        <f t="shared" si="5"/>
        <v>30</v>
      </c>
      <c r="AW29" s="168">
        <f>COUNTIF( AV$7:AV29, AV29 )</f>
        <v>5</v>
      </c>
      <c r="AX29" s="208">
        <f t="shared" si="22"/>
        <v>30.5</v>
      </c>
      <c r="AY29" s="168">
        <f t="shared" si="6"/>
        <v>34</v>
      </c>
      <c r="AZ29" s="169"/>
      <c r="BA29" s="169"/>
      <c r="BC29" s="168">
        <f t="shared" ca="1" si="27"/>
        <v>23</v>
      </c>
      <c r="BD29" s="209">
        <f t="shared" ca="1" si="8"/>
        <v>27</v>
      </c>
      <c r="BF29" s="173" t="str">
        <f t="shared" ca="1" si="23"/>
        <v>MDU Resources Group, Inc.</v>
      </c>
      <c r="BG29" s="173" t="str">
        <f t="shared" ca="1" si="24"/>
        <v>BBB+</v>
      </c>
      <c r="BH29" s="173">
        <f t="shared" ca="1" si="25"/>
        <v>19</v>
      </c>
      <c r="BI29" s="173" t="str">
        <f t="shared" ca="1" si="26"/>
        <v>MDU</v>
      </c>
    </row>
    <row r="30" spans="1:61" ht="13.8" x14ac:dyDescent="0.25">
      <c r="A30" s="223" t="s">
        <v>273</v>
      </c>
      <c r="B30" s="224" t="s">
        <v>140</v>
      </c>
      <c r="C30" s="224">
        <v>19</v>
      </c>
      <c r="D30" s="224" t="s">
        <v>274</v>
      </c>
      <c r="E30" s="225" t="str">
        <f t="shared" ca="1" si="9"/>
        <v>R</v>
      </c>
      <c r="F30" s="348"/>
      <c r="G30" s="349">
        <f t="shared" ca="1" si="1"/>
        <v>32</v>
      </c>
      <c r="H30" s="350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9"/>
        <v/>
      </c>
      <c r="AJ30" s="169">
        <f t="shared" ca="1" si="20"/>
        <v>31</v>
      </c>
      <c r="AK30" s="169" t="str">
        <f t="shared" ca="1" si="21"/>
        <v>BBB+</v>
      </c>
      <c r="AL30" s="169">
        <f t="shared" ca="1" si="21"/>
        <v>19</v>
      </c>
      <c r="AM30" s="169" t="str">
        <f t="shared" ca="1" si="4"/>
        <v/>
      </c>
      <c r="AQ30" s="207" t="s">
        <v>279</v>
      </c>
      <c r="AR30" s="207" t="s">
        <v>142</v>
      </c>
      <c r="AS30" s="207">
        <v>17</v>
      </c>
      <c r="AT30" s="207" t="s">
        <v>280</v>
      </c>
      <c r="AV30" s="168">
        <f t="shared" si="5"/>
        <v>40</v>
      </c>
      <c r="AW30" s="168">
        <f>COUNTIF( AV$7:AV30, AV30 )</f>
        <v>2</v>
      </c>
      <c r="AX30" s="208">
        <f t="shared" si="22"/>
        <v>40.200000000000003</v>
      </c>
      <c r="AY30" s="168">
        <f t="shared" si="6"/>
        <v>41</v>
      </c>
      <c r="AZ30" s="169"/>
      <c r="BA30" s="169"/>
      <c r="BC30" s="168">
        <f t="shared" ca="1" si="27"/>
        <v>24</v>
      </c>
      <c r="BD30" s="209">
        <f t="shared" ca="1" si="8"/>
        <v>29</v>
      </c>
      <c r="BF30" s="173" t="str">
        <f t="shared" ca="1" si="23"/>
        <v>NiSource Inc.</v>
      </c>
      <c r="BG30" s="173" t="str">
        <f t="shared" ca="1" si="24"/>
        <v>BBB+</v>
      </c>
      <c r="BH30" s="173">
        <f t="shared" ca="1" si="25"/>
        <v>19</v>
      </c>
      <c r="BI30" s="173" t="str">
        <f t="shared" ca="1" si="26"/>
        <v>NI</v>
      </c>
    </row>
    <row r="31" spans="1:61" ht="13.8" x14ac:dyDescent="0.25">
      <c r="A31" s="223" t="s">
        <v>277</v>
      </c>
      <c r="B31" s="224" t="s">
        <v>140</v>
      </c>
      <c r="C31" s="224">
        <v>19</v>
      </c>
      <c r="D31" s="224" t="s">
        <v>278</v>
      </c>
      <c r="E31" s="225" t="str">
        <f t="shared" ca="1" si="9"/>
        <v>R</v>
      </c>
      <c r="F31" s="348"/>
      <c r="G31" s="349">
        <f t="shared" ca="1" si="1"/>
        <v>34</v>
      </c>
      <c r="H31" s="350"/>
      <c r="I31" s="237"/>
      <c r="J31" s="191"/>
      <c r="K31" s="237"/>
      <c r="N31" s="237"/>
      <c r="O31" s="351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9"/>
        <v/>
      </c>
      <c r="AJ31" s="169">
        <f t="shared" ca="1" si="20"/>
        <v>32</v>
      </c>
      <c r="AK31" s="169" t="str">
        <f t="shared" ca="1" si="21"/>
        <v>BBB+</v>
      </c>
      <c r="AL31" s="169">
        <f t="shared" ca="1" si="21"/>
        <v>19</v>
      </c>
      <c r="AM31" s="169" t="str">
        <f t="shared" ca="1" si="4"/>
        <v/>
      </c>
      <c r="AQ31" s="207" t="s">
        <v>283</v>
      </c>
      <c r="AR31" s="207" t="s">
        <v>141</v>
      </c>
      <c r="AS31" s="207">
        <v>18</v>
      </c>
      <c r="AT31" s="207" t="s">
        <v>284</v>
      </c>
      <c r="AV31" s="168">
        <f t="shared" si="5"/>
        <v>30</v>
      </c>
      <c r="AW31" s="168">
        <f>COUNTIF( AV$7:AV31, AV31 )</f>
        <v>6</v>
      </c>
      <c r="AX31" s="208">
        <f t="shared" si="22"/>
        <v>30.6</v>
      </c>
      <c r="AY31" s="168">
        <f t="shared" si="6"/>
        <v>35</v>
      </c>
      <c r="AZ31" s="169"/>
      <c r="BA31" s="169"/>
      <c r="BC31" s="168">
        <f t="shared" ca="1" si="27"/>
        <v>25</v>
      </c>
      <c r="BD31" s="209">
        <f t="shared" ca="1" si="8"/>
        <v>31</v>
      </c>
      <c r="BF31" s="173" t="str">
        <f t="shared" ca="1" si="23"/>
        <v>OGE Energy Corp.</v>
      </c>
      <c r="BG31" s="173" t="str">
        <f t="shared" ca="1" si="24"/>
        <v>BBB+</v>
      </c>
      <c r="BH31" s="173">
        <f t="shared" ca="1" si="25"/>
        <v>19</v>
      </c>
      <c r="BI31" s="173" t="str">
        <f t="shared" ca="1" si="26"/>
        <v>OGE</v>
      </c>
    </row>
    <row r="32" spans="1:61" ht="13.8" x14ac:dyDescent="0.25">
      <c r="A32" s="223" t="s">
        <v>285</v>
      </c>
      <c r="B32" s="224" t="s">
        <v>140</v>
      </c>
      <c r="C32" s="224">
        <v>19</v>
      </c>
      <c r="D32" s="224" t="s">
        <v>286</v>
      </c>
      <c r="E32" s="225" t="str">
        <f t="shared" ca="1" si="9"/>
        <v>R</v>
      </c>
      <c r="F32" s="348"/>
      <c r="G32" s="349">
        <f t="shared" ca="1" si="1"/>
        <v>39</v>
      </c>
      <c r="H32" s="350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9"/>
        <v/>
      </c>
      <c r="AJ32" s="169">
        <f t="shared" ca="1" si="20"/>
        <v>34</v>
      </c>
      <c r="AK32" s="169" t="str">
        <f t="shared" ca="1" si="21"/>
        <v>BBB+</v>
      </c>
      <c r="AL32" s="169">
        <f t="shared" ca="1" si="21"/>
        <v>19</v>
      </c>
      <c r="AM32" s="169" t="str">
        <f t="shared" ca="1" si="4"/>
        <v/>
      </c>
      <c r="AQ32" s="207" t="s">
        <v>287</v>
      </c>
      <c r="AR32" s="207" t="s">
        <v>141</v>
      </c>
      <c r="AS32" s="207">
        <v>18</v>
      </c>
      <c r="AT32" s="207" t="s">
        <v>288</v>
      </c>
      <c r="AV32" s="168">
        <f t="shared" si="5"/>
        <v>30</v>
      </c>
      <c r="AW32" s="168">
        <f>COUNTIF( AV$7:AV32, AV32 )</f>
        <v>7</v>
      </c>
      <c r="AX32" s="208">
        <f t="shared" si="22"/>
        <v>30.7</v>
      </c>
      <c r="AY32" s="168">
        <f t="shared" si="6"/>
        <v>36</v>
      </c>
      <c r="AZ32" s="169"/>
      <c r="BA32" s="169"/>
      <c r="BC32" s="168">
        <f t="shared" ca="1" si="27"/>
        <v>26</v>
      </c>
      <c r="BD32" s="209">
        <f t="shared" ca="1" si="8"/>
        <v>36</v>
      </c>
      <c r="BF32" s="173" t="str">
        <f t="shared" ca="1" si="23"/>
        <v>Portland General Electric Company</v>
      </c>
      <c r="BG32" s="173" t="str">
        <f t="shared" ca="1" si="24"/>
        <v>BBB+</v>
      </c>
      <c r="BH32" s="173">
        <f t="shared" ca="1" si="25"/>
        <v>19</v>
      </c>
      <c r="BI32" s="173" t="str">
        <f t="shared" ca="1" si="26"/>
        <v>POR</v>
      </c>
    </row>
    <row r="33" spans="1:61" ht="13.8" x14ac:dyDescent="0.25">
      <c r="A33" s="223" t="s">
        <v>289</v>
      </c>
      <c r="B33" s="224" t="s">
        <v>140</v>
      </c>
      <c r="C33" s="224">
        <v>19</v>
      </c>
      <c r="D33" s="224" t="s">
        <v>290</v>
      </c>
      <c r="E33" s="225" t="str">
        <f t="shared" ca="1" si="9"/>
        <v>MR</v>
      </c>
      <c r="F33" s="348"/>
      <c r="G33" s="349">
        <f t="shared" ca="1" si="1"/>
        <v>41</v>
      </c>
      <c r="H33" s="350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9"/>
        <v/>
      </c>
      <c r="AJ33" s="169">
        <f t="shared" ca="1" si="20"/>
        <v>35</v>
      </c>
      <c r="AK33" s="169" t="str">
        <f t="shared" ca="1" si="21"/>
        <v>BBB+</v>
      </c>
      <c r="AL33" s="169">
        <f t="shared" ca="1" si="21"/>
        <v>19</v>
      </c>
      <c r="AM33" s="169" t="str">
        <f t="shared" ca="1" si="4"/>
        <v/>
      </c>
      <c r="AQ33" s="207" t="s">
        <v>271</v>
      </c>
      <c r="AR33" s="207" t="s">
        <v>140</v>
      </c>
      <c r="AS33" s="207">
        <v>19</v>
      </c>
      <c r="AT33" s="207" t="s">
        <v>272</v>
      </c>
      <c r="AV33" s="168">
        <f t="shared" si="5"/>
        <v>14</v>
      </c>
      <c r="AW33" s="168">
        <f>COUNTIF( AV$7:AV33, AV33 )</f>
        <v>10</v>
      </c>
      <c r="AX33" s="208">
        <f t="shared" si="22"/>
        <v>15</v>
      </c>
      <c r="AY33" s="168">
        <f t="shared" si="6"/>
        <v>23</v>
      </c>
      <c r="AZ33" s="169"/>
      <c r="BA33" s="169"/>
      <c r="BC33" s="168">
        <f t="shared" ca="1" si="27"/>
        <v>27</v>
      </c>
      <c r="BD33" s="209">
        <f t="shared" ca="1" si="8"/>
        <v>38</v>
      </c>
      <c r="BF33" s="173" t="str">
        <f t="shared" ca="1" si="23"/>
        <v>Public Service Enterprise Group Incorporated</v>
      </c>
      <c r="BG33" s="173" t="str">
        <f t="shared" ca="1" si="24"/>
        <v>BBB+</v>
      </c>
      <c r="BH33" s="173">
        <f t="shared" ca="1" si="25"/>
        <v>19</v>
      </c>
      <c r="BI33" s="173" t="str">
        <f t="shared" ca="1" si="26"/>
        <v>PEG</v>
      </c>
    </row>
    <row r="34" spans="1:61" ht="13.8" x14ac:dyDescent="0.25">
      <c r="A34" s="223" t="s">
        <v>291</v>
      </c>
      <c r="B34" s="224" t="s">
        <v>140</v>
      </c>
      <c r="C34" s="224">
        <v>19</v>
      </c>
      <c r="D34" s="224" t="s">
        <v>292</v>
      </c>
      <c r="E34" s="225" t="str">
        <f t="shared" ca="1" si="9"/>
        <v>MR</v>
      </c>
      <c r="F34" s="348"/>
      <c r="G34" s="349">
        <f t="shared" ca="1" si="1"/>
        <v>42</v>
      </c>
      <c r="H34" s="350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9"/>
        <v/>
      </c>
      <c r="AJ34" s="169">
        <f t="shared" ca="1" si="20"/>
        <v>36</v>
      </c>
      <c r="AK34" s="169" t="str">
        <f t="shared" ca="1" si="21"/>
        <v>BBB+</v>
      </c>
      <c r="AL34" s="169">
        <f t="shared" ca="1" si="21"/>
        <v>19</v>
      </c>
      <c r="AM34" s="169" t="str">
        <f t="shared" ca="1" si="4"/>
        <v/>
      </c>
      <c r="AQ34" s="207" t="s">
        <v>240</v>
      </c>
      <c r="AR34" s="207" t="s">
        <v>139</v>
      </c>
      <c r="AS34" s="207">
        <v>20</v>
      </c>
      <c r="AT34" s="207" t="s">
        <v>241</v>
      </c>
      <c r="AV34" s="168">
        <f t="shared" si="5"/>
        <v>2</v>
      </c>
      <c r="AW34" s="168">
        <f>COUNTIF( AV$7:AV34, AV34 )</f>
        <v>7</v>
      </c>
      <c r="AX34" s="208">
        <f t="shared" si="22"/>
        <v>2.7</v>
      </c>
      <c r="AY34" s="168">
        <f t="shared" si="6"/>
        <v>8</v>
      </c>
      <c r="AZ34" s="169"/>
      <c r="BA34" s="169"/>
      <c r="BC34" s="168">
        <f t="shared" ca="1" si="27"/>
        <v>28</v>
      </c>
      <c r="BD34" s="209">
        <f t="shared" ca="1" si="8"/>
        <v>40</v>
      </c>
      <c r="BF34" s="173" t="str">
        <f t="shared" ca="1" si="23"/>
        <v>Sempra Energy</v>
      </c>
      <c r="BG34" s="173" t="str">
        <f t="shared" ca="1" si="24"/>
        <v>BBB+</v>
      </c>
      <c r="BH34" s="173">
        <f t="shared" ca="1" si="25"/>
        <v>19</v>
      </c>
      <c r="BI34" s="173" t="str">
        <f t="shared" ca="1" si="26"/>
        <v>SRE</v>
      </c>
    </row>
    <row r="35" spans="1:61" ht="13.8" x14ac:dyDescent="0.25">
      <c r="A35" s="223" t="s">
        <v>295</v>
      </c>
      <c r="B35" s="224" t="s">
        <v>140</v>
      </c>
      <c r="C35" s="224">
        <v>19</v>
      </c>
      <c r="D35" s="224" t="s">
        <v>296</v>
      </c>
      <c r="E35" s="225" t="str">
        <f t="shared" ca="1" si="9"/>
        <v>R</v>
      </c>
      <c r="F35" s="348"/>
      <c r="G35" s="349">
        <f t="shared" ca="1" si="1"/>
        <v>44</v>
      </c>
      <c r="H35" s="350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9"/>
        <v/>
      </c>
      <c r="AJ35" s="169">
        <f t="shared" ca="1" si="20"/>
        <v>37</v>
      </c>
      <c r="AK35" s="169" t="str">
        <f t="shared" ca="1" si="21"/>
        <v>BBB+</v>
      </c>
      <c r="AL35" s="169">
        <f t="shared" ca="1" si="21"/>
        <v>19</v>
      </c>
      <c r="AM35" s="169" t="str">
        <f t="shared" ca="1" si="4"/>
        <v/>
      </c>
      <c r="AQ35" s="207" t="s">
        <v>273</v>
      </c>
      <c r="AR35" s="207" t="s">
        <v>140</v>
      </c>
      <c r="AS35" s="207">
        <v>19</v>
      </c>
      <c r="AT35" s="207" t="s">
        <v>274</v>
      </c>
      <c r="AV35" s="168">
        <f t="shared" si="5"/>
        <v>14</v>
      </c>
      <c r="AW35" s="168">
        <f>COUNTIF( AV$7:AV35, AV35 )</f>
        <v>11</v>
      </c>
      <c r="AX35" s="208">
        <f t="shared" si="22"/>
        <v>15.1</v>
      </c>
      <c r="AY35" s="168">
        <f t="shared" si="6"/>
        <v>24</v>
      </c>
      <c r="AZ35" s="169"/>
      <c r="BA35" s="169"/>
      <c r="BC35" s="168">
        <f t="shared" ca="1" si="27"/>
        <v>29</v>
      </c>
      <c r="BD35" s="209">
        <f t="shared" ca="1" si="8"/>
        <v>42</v>
      </c>
      <c r="BF35" s="173" t="str">
        <f t="shared" ca="1" si="23"/>
        <v>Unitil Corporation</v>
      </c>
      <c r="BG35" s="173" t="str">
        <f t="shared" ca="1" si="24"/>
        <v>BBB+</v>
      </c>
      <c r="BH35" s="173">
        <f t="shared" ca="1" si="25"/>
        <v>19</v>
      </c>
      <c r="BI35" s="173" t="str">
        <f t="shared" ca="1" si="26"/>
        <v>UTL</v>
      </c>
    </row>
    <row r="36" spans="1:61" ht="13.8" x14ac:dyDescent="0.25">
      <c r="A36" s="223" t="s">
        <v>217</v>
      </c>
      <c r="B36" s="224" t="s">
        <v>141</v>
      </c>
      <c r="C36" s="224">
        <v>18</v>
      </c>
      <c r="D36" s="224" t="s">
        <v>218</v>
      </c>
      <c r="E36" s="225" t="str">
        <f t="shared" ca="1" si="9"/>
        <v>MR</v>
      </c>
      <c r="F36" s="348"/>
      <c r="G36" s="349">
        <f t="shared" ca="1" si="1"/>
        <v>7</v>
      </c>
      <c r="H36" s="350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>
        <f t="shared" ca="1" si="19"/>
        <v>1</v>
      </c>
      <c r="AJ36" s="169">
        <f t="shared" ca="1" si="20"/>
        <v>20</v>
      </c>
      <c r="AK36" s="169" t="str">
        <f t="shared" ca="1" si="21"/>
        <v>BBB+</v>
      </c>
      <c r="AL36" s="169">
        <f t="shared" ca="1" si="21"/>
        <v>19</v>
      </c>
      <c r="AM36" s="169" t="str">
        <f t="shared" ca="1" si="4"/>
        <v>Change</v>
      </c>
      <c r="AQ36" s="207" t="s">
        <v>297</v>
      </c>
      <c r="AR36" s="207" t="s">
        <v>141</v>
      </c>
      <c r="AS36" s="207">
        <v>18</v>
      </c>
      <c r="AT36" s="207" t="s">
        <v>298</v>
      </c>
      <c r="AV36" s="168">
        <f t="shared" si="5"/>
        <v>30</v>
      </c>
      <c r="AW36" s="168">
        <f>COUNTIF( AV$7:AV36, AV36 )</f>
        <v>8</v>
      </c>
      <c r="AX36" s="208">
        <f t="shared" si="22"/>
        <v>30.8</v>
      </c>
      <c r="AY36" s="168">
        <f t="shared" si="6"/>
        <v>37</v>
      </c>
      <c r="AZ36" s="169"/>
      <c r="BA36" s="169"/>
      <c r="BC36" s="168">
        <f t="shared" ca="1" si="27"/>
        <v>30</v>
      </c>
      <c r="BD36" s="209">
        <f t="shared" ca="1" si="8"/>
        <v>1</v>
      </c>
      <c r="BF36" s="173" t="str">
        <f t="shared" ca="1" si="23"/>
        <v>ALLETE, Inc.</v>
      </c>
      <c r="BG36" s="173" t="str">
        <f t="shared" ca="1" si="24"/>
        <v>BBB</v>
      </c>
      <c r="BH36" s="173">
        <f t="shared" ca="1" si="25"/>
        <v>18</v>
      </c>
      <c r="BI36" s="173" t="str">
        <f t="shared" ca="1" si="26"/>
        <v>ALE</v>
      </c>
    </row>
    <row r="37" spans="1:61" ht="13.8" x14ac:dyDescent="0.25">
      <c r="A37" s="223" t="s">
        <v>238</v>
      </c>
      <c r="B37" s="224" t="s">
        <v>141</v>
      </c>
      <c r="C37" s="224">
        <v>18</v>
      </c>
      <c r="D37" s="224" t="s">
        <v>239</v>
      </c>
      <c r="E37" s="225" t="str">
        <f t="shared" ca="1" si="9"/>
        <v>R</v>
      </c>
      <c r="F37" s="348"/>
      <c r="G37" s="349">
        <f t="shared" ca="1" si="1"/>
        <v>12</v>
      </c>
      <c r="H37" s="350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20"/>
        <v>38</v>
      </c>
      <c r="AK37" s="169" t="str">
        <f t="shared" ca="1" si="21"/>
        <v>BBB</v>
      </c>
      <c r="AL37" s="169">
        <f t="shared" ca="1" si="21"/>
        <v>18</v>
      </c>
      <c r="AM37" s="169" t="str">
        <f t="shared" ca="1" si="4"/>
        <v/>
      </c>
      <c r="AQ37" s="207" t="s">
        <v>277</v>
      </c>
      <c r="AR37" s="207" t="s">
        <v>140</v>
      </c>
      <c r="AS37" s="207">
        <v>19</v>
      </c>
      <c r="AT37" s="207" t="s">
        <v>278</v>
      </c>
      <c r="AV37" s="168">
        <f t="shared" si="5"/>
        <v>14</v>
      </c>
      <c r="AW37" s="168">
        <f>COUNTIF( AV$7:AV37, AV37 )</f>
        <v>12</v>
      </c>
      <c r="AX37" s="208">
        <f t="shared" si="22"/>
        <v>15.2</v>
      </c>
      <c r="AY37" s="168">
        <f t="shared" si="6"/>
        <v>25</v>
      </c>
      <c r="AZ37" s="169"/>
      <c r="BA37" s="169"/>
      <c r="BC37" s="168">
        <f t="shared" ca="1" si="27"/>
        <v>31</v>
      </c>
      <c r="BD37" s="209">
        <f t="shared" ca="1" si="8"/>
        <v>6</v>
      </c>
      <c r="BF37" s="173" t="str">
        <f t="shared" ca="1" si="23"/>
        <v>Avista Corporation</v>
      </c>
      <c r="BG37" s="173" t="str">
        <f t="shared" ca="1" si="24"/>
        <v>BBB</v>
      </c>
      <c r="BH37" s="173">
        <f t="shared" ca="1" si="25"/>
        <v>18</v>
      </c>
      <c r="BI37" s="173" t="str">
        <f t="shared" ca="1" si="26"/>
        <v>AVA</v>
      </c>
    </row>
    <row r="38" spans="1:61" ht="13.8" x14ac:dyDescent="0.25">
      <c r="A38" s="223" t="s">
        <v>265</v>
      </c>
      <c r="B38" s="224" t="s">
        <v>141</v>
      </c>
      <c r="C38" s="224">
        <v>18</v>
      </c>
      <c r="D38" s="224" t="s">
        <v>266</v>
      </c>
      <c r="E38" s="225" t="str">
        <f t="shared" ca="1" si="9"/>
        <v>R</v>
      </c>
      <c r="F38" s="348"/>
      <c r="G38" s="349">
        <f t="shared" ca="1" si="1"/>
        <v>20</v>
      </c>
      <c r="H38" s="350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20"/>
        <v>39</v>
      </c>
      <c r="AK38" s="169" t="str">
        <f t="shared" ca="1" si="21"/>
        <v>BBB</v>
      </c>
      <c r="AL38" s="169">
        <f t="shared" ca="1" si="21"/>
        <v>18</v>
      </c>
      <c r="AM38" s="169" t="str">
        <f t="shared" ca="1" si="4"/>
        <v/>
      </c>
      <c r="AQ38" s="207" t="s">
        <v>299</v>
      </c>
      <c r="AR38" s="207" t="s">
        <v>141</v>
      </c>
      <c r="AS38" s="207">
        <v>18</v>
      </c>
      <c r="AT38" s="207" t="s">
        <v>300</v>
      </c>
      <c r="AV38" s="168">
        <f t="shared" si="5"/>
        <v>30</v>
      </c>
      <c r="AW38" s="168">
        <f>COUNTIF( AV$7:AV38, AV38 )</f>
        <v>9</v>
      </c>
      <c r="AX38" s="208">
        <f t="shared" si="22"/>
        <v>30.9</v>
      </c>
      <c r="AY38" s="168">
        <f t="shared" si="6"/>
        <v>38</v>
      </c>
      <c r="AZ38" s="169"/>
      <c r="BA38" s="169"/>
      <c r="BC38" s="168">
        <f t="shared" ca="1" si="27"/>
        <v>32</v>
      </c>
      <c r="BD38" s="209">
        <f t="shared" ca="1" si="8"/>
        <v>17</v>
      </c>
      <c r="BF38" s="173" t="str">
        <f t="shared" ca="1" si="23"/>
        <v>Edison International</v>
      </c>
      <c r="BG38" s="173" t="str">
        <f t="shared" ca="1" si="24"/>
        <v>BBB</v>
      </c>
      <c r="BH38" s="173">
        <f t="shared" ca="1" si="25"/>
        <v>18</v>
      </c>
      <c r="BI38" s="173" t="str">
        <f t="shared" ca="1" si="26"/>
        <v>EIX</v>
      </c>
    </row>
    <row r="39" spans="1:61" ht="13.8" x14ac:dyDescent="0.25">
      <c r="A39" s="223" t="s">
        <v>328</v>
      </c>
      <c r="B39" s="224" t="s">
        <v>141</v>
      </c>
      <c r="C39" s="224">
        <v>18</v>
      </c>
      <c r="D39" s="224" t="s">
        <v>331</v>
      </c>
      <c r="E39" s="225" t="str">
        <f t="shared" ca="1" si="9"/>
        <v>R</v>
      </c>
      <c r="F39" s="348"/>
      <c r="G39" s="349">
        <f t="shared" ca="1" si="1"/>
        <v>21</v>
      </c>
      <c r="H39" s="350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9"/>
        <v/>
      </c>
      <c r="AJ39" s="169">
        <f t="shared" ca="1" si="20"/>
        <v>40</v>
      </c>
      <c r="AK39" s="169" t="str">
        <f t="shared" ca="1" si="21"/>
        <v>BBB</v>
      </c>
      <c r="AL39" s="169">
        <f t="shared" ca="1" si="21"/>
        <v>18</v>
      </c>
      <c r="AM39" s="169" t="str">
        <f t="shared" ca="1" si="4"/>
        <v/>
      </c>
      <c r="AQ39" s="207" t="s">
        <v>301</v>
      </c>
      <c r="AR39" s="207" t="s">
        <v>177</v>
      </c>
      <c r="AS39" s="207">
        <v>14</v>
      </c>
      <c r="AT39" s="207" t="s">
        <v>302</v>
      </c>
      <c r="AV39" s="168">
        <f t="shared" ref="AV39:AV63" si="28">IF( LEN( AS39 ) = 0, 99, RANK( AS39, $AS$7:$AS$62 ) )</f>
        <v>44</v>
      </c>
      <c r="AW39" s="168">
        <f>COUNTIF( AV$7:AV39, AV39 )</f>
        <v>1</v>
      </c>
      <c r="AX39" s="208">
        <f t="shared" si="22"/>
        <v>44.1</v>
      </c>
      <c r="AY39" s="168">
        <f t="shared" ref="AY39:AY63" si="29">RANK( AX39, $AX$7:$AX$63, 1 )</f>
        <v>44</v>
      </c>
      <c r="AZ39" s="169"/>
      <c r="BA39" s="169"/>
      <c r="BC39" s="168">
        <f t="shared" ca="1" si="27"/>
        <v>33</v>
      </c>
      <c r="BD39" s="209">
        <f t="shared" ref="BD39:BD63" ca="1" si="30">MATCH( BC39, $AY$7:$AY$63, 0 )</f>
        <v>18</v>
      </c>
      <c r="BF39" s="173" t="str">
        <f t="shared" ca="1" si="23"/>
        <v>El Paso Electric Company</v>
      </c>
      <c r="BG39" s="173" t="str">
        <f t="shared" ca="1" si="24"/>
        <v>BBB</v>
      </c>
      <c r="BH39" s="173">
        <f t="shared" ca="1" si="25"/>
        <v>18</v>
      </c>
      <c r="BI39" s="173" t="str">
        <f t="shared" ca="1" si="26"/>
        <v>EE</v>
      </c>
    </row>
    <row r="40" spans="1:61" ht="13.8" x14ac:dyDescent="0.25">
      <c r="A40" s="223" t="s">
        <v>275</v>
      </c>
      <c r="B40" s="224" t="s">
        <v>141</v>
      </c>
      <c r="C40" s="224">
        <v>18</v>
      </c>
      <c r="D40" s="224" t="s">
        <v>276</v>
      </c>
      <c r="E40" s="225" t="str">
        <f t="shared" ca="1" si="9"/>
        <v>R</v>
      </c>
      <c r="F40" s="348"/>
      <c r="G40" s="349">
        <f t="shared" ca="1" si="1"/>
        <v>26</v>
      </c>
      <c r="H40" s="350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20"/>
        <v>41</v>
      </c>
      <c r="AK40" s="169" t="str">
        <f t="shared" ca="1" si="21"/>
        <v>BBB</v>
      </c>
      <c r="AL40" s="169">
        <f t="shared" ca="1" si="21"/>
        <v>18</v>
      </c>
      <c r="AM40" s="169" t="str">
        <f t="shared" ca="1" si="4"/>
        <v/>
      </c>
      <c r="AQ40" s="207" t="s">
        <v>281</v>
      </c>
      <c r="AR40" s="207" t="s">
        <v>139</v>
      </c>
      <c r="AS40" s="207">
        <v>20</v>
      </c>
      <c r="AT40" s="207" t="s">
        <v>282</v>
      </c>
      <c r="AV40" s="168">
        <f t="shared" si="28"/>
        <v>2</v>
      </c>
      <c r="AW40" s="168">
        <f>COUNTIF( AV$7:AV40, AV40 )</f>
        <v>8</v>
      </c>
      <c r="AX40" s="208">
        <f t="shared" si="22"/>
        <v>2.8</v>
      </c>
      <c r="AY40" s="168">
        <f t="shared" si="29"/>
        <v>9</v>
      </c>
      <c r="AZ40" s="169"/>
      <c r="BA40" s="169"/>
      <c r="BC40" s="168">
        <f t="shared" ca="1" si="27"/>
        <v>34</v>
      </c>
      <c r="BD40" s="209">
        <f t="shared" ca="1" si="30"/>
        <v>23</v>
      </c>
      <c r="BF40" s="173" t="str">
        <f t="shared" ca="1" si="23"/>
        <v>FirstEnergy Corp.</v>
      </c>
      <c r="BG40" s="173" t="str">
        <f t="shared" ca="1" si="24"/>
        <v>BBB</v>
      </c>
      <c r="BH40" s="173">
        <f t="shared" ca="1" si="25"/>
        <v>18</v>
      </c>
      <c r="BI40" s="173" t="str">
        <f t="shared" ca="1" si="26"/>
        <v>FE</v>
      </c>
    </row>
    <row r="41" spans="1:61" ht="13.8" x14ac:dyDescent="0.25">
      <c r="A41" s="223" t="s">
        <v>283</v>
      </c>
      <c r="B41" s="224" t="s">
        <v>141</v>
      </c>
      <c r="C41" s="224">
        <v>18</v>
      </c>
      <c r="D41" s="224" t="s">
        <v>284</v>
      </c>
      <c r="E41" s="225" t="str">
        <f t="shared" ca="1" si="9"/>
        <v>R</v>
      </c>
      <c r="F41" s="348"/>
      <c r="G41" s="349">
        <f t="shared" ca="1" si="1"/>
        <v>28</v>
      </c>
      <c r="H41" s="350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20"/>
        <v>42</v>
      </c>
      <c r="AK41" s="169" t="str">
        <f t="shared" ca="1" si="21"/>
        <v>BBB</v>
      </c>
      <c r="AL41" s="169">
        <f t="shared" ca="1" si="21"/>
        <v>18</v>
      </c>
      <c r="AM41" s="169" t="str">
        <f t="shared" ca="1" si="4"/>
        <v/>
      </c>
      <c r="AQ41" s="207" t="s">
        <v>303</v>
      </c>
      <c r="AR41" s="207" t="s">
        <v>141</v>
      </c>
      <c r="AS41" s="207">
        <v>18</v>
      </c>
      <c r="AT41" s="207" t="s">
        <v>304</v>
      </c>
      <c r="AV41" s="168">
        <f t="shared" si="28"/>
        <v>30</v>
      </c>
      <c r="AW41" s="168">
        <f>COUNTIF( AV$7:AV41, AV41 )</f>
        <v>10</v>
      </c>
      <c r="AX41" s="208">
        <f t="shared" si="22"/>
        <v>31</v>
      </c>
      <c r="AY41" s="168">
        <f t="shared" si="29"/>
        <v>39</v>
      </c>
      <c r="AZ41" s="169"/>
      <c r="BA41" s="169"/>
      <c r="BC41" s="168">
        <f t="shared" ca="1" si="27"/>
        <v>35</v>
      </c>
      <c r="BD41" s="209">
        <f t="shared" ca="1" si="30"/>
        <v>25</v>
      </c>
      <c r="BF41" s="173" t="str">
        <f t="shared" ca="1" si="23"/>
        <v>IDACORP, Inc.</v>
      </c>
      <c r="BG41" s="173" t="str">
        <f t="shared" ca="1" si="24"/>
        <v>BBB</v>
      </c>
      <c r="BH41" s="173">
        <f t="shared" ca="1" si="25"/>
        <v>18</v>
      </c>
      <c r="BI41" s="173" t="str">
        <f t="shared" ca="1" si="26"/>
        <v>IDA</v>
      </c>
    </row>
    <row r="42" spans="1:61" ht="13.8" x14ac:dyDescent="0.25">
      <c r="A42" s="223" t="s">
        <v>287</v>
      </c>
      <c r="B42" s="224" t="s">
        <v>141</v>
      </c>
      <c r="C42" s="224">
        <v>18</v>
      </c>
      <c r="D42" s="224" t="s">
        <v>288</v>
      </c>
      <c r="E42" s="225" t="str">
        <f t="shared" ca="1" si="9"/>
        <v>R</v>
      </c>
      <c r="F42" s="348"/>
      <c r="G42" s="349">
        <f t="shared" ca="1" si="1"/>
        <v>55</v>
      </c>
      <c r="H42" s="350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20"/>
        <v>43</v>
      </c>
      <c r="AK42" s="169" t="str">
        <f t="shared" ca="1" si="21"/>
        <v>BBB</v>
      </c>
      <c r="AL42" s="169">
        <f t="shared" ca="1" si="21"/>
        <v>18</v>
      </c>
      <c r="AM42" s="169" t="str">
        <f t="shared" ca="1" si="4"/>
        <v/>
      </c>
      <c r="AQ42" s="207" t="s">
        <v>285</v>
      </c>
      <c r="AR42" s="207" t="s">
        <v>140</v>
      </c>
      <c r="AS42" s="207">
        <v>19</v>
      </c>
      <c r="AT42" s="207" t="s">
        <v>286</v>
      </c>
      <c r="AV42" s="168">
        <f t="shared" si="28"/>
        <v>14</v>
      </c>
      <c r="AW42" s="168">
        <f>COUNTIF( AV$7:AV42, AV42 )</f>
        <v>13</v>
      </c>
      <c r="AX42" s="208">
        <f t="shared" si="22"/>
        <v>15.3</v>
      </c>
      <c r="AY42" s="168">
        <f t="shared" si="29"/>
        <v>26</v>
      </c>
      <c r="AZ42" s="169"/>
      <c r="BA42" s="169"/>
      <c r="BC42" s="168">
        <f t="shared" ca="1" si="27"/>
        <v>36</v>
      </c>
      <c r="BD42" s="209">
        <f t="shared" ca="1" si="30"/>
        <v>26</v>
      </c>
      <c r="BF42" s="173" t="str">
        <f t="shared" ca="1" si="23"/>
        <v>IPALCO Enterprises, Inc.</v>
      </c>
      <c r="BG42" s="173" t="str">
        <f t="shared" ca="1" si="24"/>
        <v>BBB</v>
      </c>
      <c r="BH42" s="173">
        <f t="shared" ca="1" si="25"/>
        <v>18</v>
      </c>
      <c r="BI42" s="173" t="str">
        <f t="shared" ca="1" si="26"/>
        <v>**IPALCO</v>
      </c>
    </row>
    <row r="43" spans="1:61" ht="13.8" x14ac:dyDescent="0.25">
      <c r="A43" s="223" t="s">
        <v>297</v>
      </c>
      <c r="B43" s="224" t="s">
        <v>141</v>
      </c>
      <c r="C43" s="224">
        <v>18</v>
      </c>
      <c r="D43" s="224" t="s">
        <v>298</v>
      </c>
      <c r="E43" s="225" t="str">
        <f t="shared" ca="1" si="9"/>
        <v>R</v>
      </c>
      <c r="F43" s="348"/>
      <c r="G43" s="349">
        <f t="shared" ca="1" si="1"/>
        <v>33</v>
      </c>
      <c r="H43" s="350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9"/>
        <v/>
      </c>
      <c r="AJ43" s="169">
        <f t="shared" ca="1" si="20"/>
        <v>44</v>
      </c>
      <c r="AK43" s="169" t="str">
        <f t="shared" ca="1" si="21"/>
        <v>BBB</v>
      </c>
      <c r="AL43" s="169">
        <f t="shared" ca="1" si="21"/>
        <v>18</v>
      </c>
      <c r="AM43" s="169" t="str">
        <f t="shared" ca="1" si="4"/>
        <v/>
      </c>
      <c r="AQ43" s="207" t="s">
        <v>243</v>
      </c>
      <c r="AR43" s="207" t="s">
        <v>139</v>
      </c>
      <c r="AS43" s="207">
        <v>20</v>
      </c>
      <c r="AT43" s="207" t="s">
        <v>244</v>
      </c>
      <c r="AV43" s="168">
        <f t="shared" si="28"/>
        <v>2</v>
      </c>
      <c r="AW43" s="168">
        <f>COUNTIF( AV$7:AV43, AV43 )</f>
        <v>9</v>
      </c>
      <c r="AX43" s="208">
        <f t="shared" si="22"/>
        <v>2.9</v>
      </c>
      <c r="AY43" s="168">
        <f t="shared" si="29"/>
        <v>10</v>
      </c>
      <c r="AZ43" s="169"/>
      <c r="BA43" s="169"/>
      <c r="BC43" s="168">
        <f t="shared" ca="1" si="27"/>
        <v>37</v>
      </c>
      <c r="BD43" s="209">
        <f t="shared" ca="1" si="30"/>
        <v>30</v>
      </c>
      <c r="BF43" s="173" t="str">
        <f t="shared" ca="1" si="23"/>
        <v>NorthWestern Corporation</v>
      </c>
      <c r="BG43" s="173" t="str">
        <f t="shared" ca="1" si="24"/>
        <v>BBB</v>
      </c>
      <c r="BH43" s="173">
        <f t="shared" ca="1" si="25"/>
        <v>18</v>
      </c>
      <c r="BI43" s="173" t="str">
        <f t="shared" ca="1" si="26"/>
        <v>NWE</v>
      </c>
    </row>
    <row r="44" spans="1:61" ht="13.8" x14ac:dyDescent="0.25">
      <c r="A44" s="223" t="s">
        <v>299</v>
      </c>
      <c r="B44" s="224" t="s">
        <v>141</v>
      </c>
      <c r="C44" s="224">
        <v>18</v>
      </c>
      <c r="D44" s="224" t="s">
        <v>300</v>
      </c>
      <c r="E44" s="225" t="str">
        <f t="shared" ca="1" si="9"/>
        <v>R</v>
      </c>
      <c r="F44" s="348"/>
      <c r="G44" s="349">
        <f t="shared" ca="1" si="1"/>
        <v>35</v>
      </c>
      <c r="H44" s="350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9"/>
        <v/>
      </c>
      <c r="AJ44" s="169">
        <f t="shared" ca="1" si="20"/>
        <v>45</v>
      </c>
      <c r="AK44" s="169" t="str">
        <f t="shared" ca="1" si="21"/>
        <v>BBB</v>
      </c>
      <c r="AL44" s="169">
        <f t="shared" ca="1" si="21"/>
        <v>18</v>
      </c>
      <c r="AM44" s="169" t="str">
        <f t="shared" ca="1" si="4"/>
        <v/>
      </c>
      <c r="AQ44" s="207" t="s">
        <v>289</v>
      </c>
      <c r="AR44" s="207" t="s">
        <v>140</v>
      </c>
      <c r="AS44" s="207">
        <v>19</v>
      </c>
      <c r="AT44" s="207" t="s">
        <v>290</v>
      </c>
      <c r="AV44" s="168">
        <f t="shared" si="28"/>
        <v>14</v>
      </c>
      <c r="AW44" s="168">
        <f>COUNTIF( AV$7:AV44, AV44 )</f>
        <v>14</v>
      </c>
      <c r="AX44" s="208">
        <f t="shared" si="22"/>
        <v>15.4</v>
      </c>
      <c r="AY44" s="168">
        <f t="shared" si="29"/>
        <v>27</v>
      </c>
      <c r="AZ44" s="169"/>
      <c r="BA44" s="169"/>
      <c r="BC44" s="168">
        <f t="shared" ca="1" si="27"/>
        <v>38</v>
      </c>
      <c r="BD44" s="209">
        <f t="shared" ca="1" si="30"/>
        <v>32</v>
      </c>
      <c r="BF44" s="173" t="str">
        <f t="shared" ca="1" si="23"/>
        <v>Otter Tail Corporation</v>
      </c>
      <c r="BG44" s="173" t="str">
        <f t="shared" ca="1" si="24"/>
        <v>BBB</v>
      </c>
      <c r="BH44" s="173">
        <f t="shared" ca="1" si="25"/>
        <v>18</v>
      </c>
      <c r="BI44" s="173" t="str">
        <f t="shared" ca="1" si="26"/>
        <v>OTTR</v>
      </c>
    </row>
    <row r="45" spans="1:61" ht="13.8" x14ac:dyDescent="0.25">
      <c r="A45" s="223" t="s">
        <v>303</v>
      </c>
      <c r="B45" s="224" t="s">
        <v>141</v>
      </c>
      <c r="C45" s="224">
        <v>18</v>
      </c>
      <c r="D45" s="224" t="s">
        <v>304</v>
      </c>
      <c r="E45" s="225" t="str">
        <f t="shared" ca="1" si="9"/>
        <v>R</v>
      </c>
      <c r="F45" s="348"/>
      <c r="G45" s="349">
        <f t="shared" ca="1" si="1"/>
        <v>38</v>
      </c>
      <c r="H45" s="350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>
        <f t="shared" ca="1" si="19"/>
        <v>1</v>
      </c>
      <c r="AJ45" s="169">
        <f t="shared" ca="1" si="20"/>
        <v>33</v>
      </c>
      <c r="AK45" s="169" t="str">
        <f t="shared" ca="1" si="21"/>
        <v>BBB+</v>
      </c>
      <c r="AL45" s="169">
        <f t="shared" ca="1" si="21"/>
        <v>19</v>
      </c>
      <c r="AM45" s="169" t="str">
        <f t="shared" ca="1" si="4"/>
        <v>Change</v>
      </c>
      <c r="AQ45" s="207" t="s">
        <v>305</v>
      </c>
      <c r="AR45" s="207" t="s">
        <v>142</v>
      </c>
      <c r="AS45" s="207">
        <v>17</v>
      </c>
      <c r="AT45" s="207" t="s">
        <v>306</v>
      </c>
      <c r="AV45" s="168">
        <f t="shared" si="28"/>
        <v>40</v>
      </c>
      <c r="AW45" s="168">
        <f>COUNTIF( AV$7:AV45, AV45 )</f>
        <v>3</v>
      </c>
      <c r="AX45" s="208">
        <f t="shared" si="22"/>
        <v>40.299999999999997</v>
      </c>
      <c r="AY45" s="168">
        <f t="shared" si="29"/>
        <v>42</v>
      </c>
      <c r="AZ45" s="169"/>
      <c r="BA45" s="169"/>
      <c r="BC45" s="168">
        <f t="shared" ca="1" si="27"/>
        <v>39</v>
      </c>
      <c r="BD45" s="209">
        <f t="shared" ca="1" si="30"/>
        <v>35</v>
      </c>
      <c r="BF45" s="173" t="str">
        <f t="shared" ca="1" si="23"/>
        <v>PNM Resources, Inc.</v>
      </c>
      <c r="BG45" s="173" t="str">
        <f t="shared" ca="1" si="24"/>
        <v>BBB</v>
      </c>
      <c r="BH45" s="173">
        <f t="shared" ca="1" si="25"/>
        <v>18</v>
      </c>
      <c r="BI45" s="173" t="str">
        <f t="shared" ca="1" si="26"/>
        <v>PNM</v>
      </c>
    </row>
    <row r="46" spans="1:61" ht="13.8" x14ac:dyDescent="0.25">
      <c r="A46" s="223" t="s">
        <v>254</v>
      </c>
      <c r="B46" s="224" t="s">
        <v>142</v>
      </c>
      <c r="C46" s="224">
        <v>17</v>
      </c>
      <c r="D46" s="224" t="s">
        <v>255</v>
      </c>
      <c r="E46" s="225" t="str">
        <f t="shared" ca="1" si="9"/>
        <v>R</v>
      </c>
      <c r="F46" s="348"/>
      <c r="G46" s="349">
        <f t="shared" ca="1" si="1"/>
        <v>53</v>
      </c>
      <c r="H46" s="350"/>
      <c r="I46" s="191"/>
      <c r="K46" s="191"/>
      <c r="N46" s="351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9"/>
        <v/>
      </c>
      <c r="AJ46" s="169">
        <f t="shared" ca="1" si="20"/>
        <v>46</v>
      </c>
      <c r="AK46" s="169" t="str">
        <f t="shared" ca="1" si="21"/>
        <v>BBB-</v>
      </c>
      <c r="AL46" s="169">
        <f t="shared" ca="1" si="21"/>
        <v>17</v>
      </c>
      <c r="AM46" s="169" t="str">
        <f t="shared" ca="1" si="4"/>
        <v/>
      </c>
      <c r="AQ46" s="207" t="s">
        <v>291</v>
      </c>
      <c r="AR46" s="207" t="s">
        <v>140</v>
      </c>
      <c r="AS46" s="207">
        <v>19</v>
      </c>
      <c r="AT46" s="207" t="s">
        <v>292</v>
      </c>
      <c r="AV46" s="168">
        <f t="shared" si="28"/>
        <v>14</v>
      </c>
      <c r="AW46" s="168">
        <f>COUNTIF( AV$7:AV46, AV46 )</f>
        <v>15</v>
      </c>
      <c r="AX46" s="208">
        <f t="shared" si="22"/>
        <v>15.5</v>
      </c>
      <c r="AY46" s="168">
        <f t="shared" si="29"/>
        <v>28</v>
      </c>
      <c r="AZ46" s="169"/>
      <c r="BA46" s="169"/>
      <c r="BC46" s="168">
        <f t="shared" ca="1" si="27"/>
        <v>40</v>
      </c>
      <c r="BD46" s="209">
        <f t="shared" ca="1" si="30"/>
        <v>10</v>
      </c>
      <c r="BF46" s="173" t="str">
        <f t="shared" ca="1" si="23"/>
        <v>Cleco Corporation</v>
      </c>
      <c r="BG46" s="173" t="str">
        <f t="shared" ca="1" si="24"/>
        <v>BBB-</v>
      </c>
      <c r="BH46" s="173">
        <f t="shared" ca="1" si="25"/>
        <v>17</v>
      </c>
      <c r="BI46" s="173" t="str">
        <f t="shared" ca="1" si="26"/>
        <v>**CNL</v>
      </c>
    </row>
    <row r="47" spans="1:61" ht="13.8" x14ac:dyDescent="0.25">
      <c r="A47" s="223" t="s">
        <v>279</v>
      </c>
      <c r="B47" s="224" t="s">
        <v>142</v>
      </c>
      <c r="C47" s="224">
        <v>17</v>
      </c>
      <c r="D47" s="224" t="s">
        <v>280</v>
      </c>
      <c r="E47" s="225" t="str">
        <f t="shared" ca="1" si="9"/>
        <v>MR</v>
      </c>
      <c r="F47" s="348"/>
      <c r="G47" s="349">
        <f t="shared" ca="1" si="1"/>
        <v>27</v>
      </c>
      <c r="H47" s="350"/>
      <c r="I47" s="350"/>
      <c r="J47" s="187" t="s">
        <v>307</v>
      </c>
      <c r="K47" s="191"/>
      <c r="M47" s="351"/>
      <c r="N47" s="351"/>
      <c r="AF47" s="169">
        <f t="shared" si="2"/>
        <v>1</v>
      </c>
      <c r="AG47" s="169" t="str">
        <f t="shared" ca="1" si="3"/>
        <v/>
      </c>
      <c r="AH47" s="169" t="str">
        <f t="shared" ca="1" si="19"/>
        <v/>
      </c>
      <c r="AJ47" s="169">
        <f t="shared" ca="1" si="20"/>
        <v>47</v>
      </c>
      <c r="AK47" s="169" t="str">
        <f t="shared" ca="1" si="21"/>
        <v>BBB-</v>
      </c>
      <c r="AL47" s="169">
        <f t="shared" ca="1" si="21"/>
        <v>17</v>
      </c>
      <c r="AM47" s="169" t="str">
        <f t="shared" ca="1" si="4"/>
        <v/>
      </c>
      <c r="AQ47" s="207" t="s">
        <v>293</v>
      </c>
      <c r="AR47" s="207" t="s">
        <v>139</v>
      </c>
      <c r="AS47" s="207">
        <v>20</v>
      </c>
      <c r="AT47" s="207" t="s">
        <v>294</v>
      </c>
      <c r="AV47" s="168">
        <f t="shared" si="28"/>
        <v>2</v>
      </c>
      <c r="AW47" s="168">
        <f>COUNTIF( AV$7:AV47, AV47 )</f>
        <v>10</v>
      </c>
      <c r="AX47" s="208">
        <f t="shared" si="22"/>
        <v>3</v>
      </c>
      <c r="AY47" s="168">
        <f t="shared" si="29"/>
        <v>11</v>
      </c>
      <c r="AZ47" s="169"/>
      <c r="BA47" s="169"/>
      <c r="BC47" s="168">
        <f t="shared" ca="1" si="27"/>
        <v>41</v>
      </c>
      <c r="BD47" s="209">
        <f t="shared" ca="1" si="30"/>
        <v>24</v>
      </c>
      <c r="BF47" s="173" t="str">
        <f t="shared" ca="1" si="23"/>
        <v>Hawaiian Electric Industries, Inc.</v>
      </c>
      <c r="BG47" s="173" t="str">
        <f t="shared" ca="1" si="24"/>
        <v>BBB-</v>
      </c>
      <c r="BH47" s="173">
        <f t="shared" ca="1" si="25"/>
        <v>17</v>
      </c>
      <c r="BI47" s="173" t="str">
        <f t="shared" ca="1" si="26"/>
        <v>HE</v>
      </c>
    </row>
    <row r="48" spans="1:61" ht="13.8" x14ac:dyDescent="0.25">
      <c r="A48" s="223" t="s">
        <v>305</v>
      </c>
      <c r="B48" s="224" t="s">
        <v>142</v>
      </c>
      <c r="C48" s="224">
        <v>17</v>
      </c>
      <c r="D48" s="224" t="s">
        <v>306</v>
      </c>
      <c r="E48" s="225" t="str">
        <f t="shared" ca="1" si="9"/>
        <v>R</v>
      </c>
      <c r="F48" s="348"/>
      <c r="G48" s="349">
        <f t="shared" ca="1" si="1"/>
        <v>57</v>
      </c>
      <c r="H48" s="350"/>
      <c r="I48" s="350"/>
      <c r="K48" s="191"/>
      <c r="M48" s="351"/>
      <c r="N48" s="351"/>
      <c r="AF48" s="169">
        <f t="shared" si="2"/>
        <v>1</v>
      </c>
      <c r="AG48" s="169" t="str">
        <f t="shared" ca="1" si="3"/>
        <v/>
      </c>
      <c r="AH48" s="169" t="str">
        <f t="shared" ca="1" si="19"/>
        <v/>
      </c>
      <c r="AJ48" s="169">
        <f t="shared" ca="1" si="20"/>
        <v>48</v>
      </c>
      <c r="AK48" s="169" t="str">
        <f t="shared" ca="1" si="21"/>
        <v>BBB-</v>
      </c>
      <c r="AL48" s="169">
        <f t="shared" ca="1" si="21"/>
        <v>17</v>
      </c>
      <c r="AM48" s="169" t="str">
        <f t="shared" ca="1" si="4"/>
        <v/>
      </c>
      <c r="AQ48" s="207" t="s">
        <v>295</v>
      </c>
      <c r="AR48" s="207" t="s">
        <v>140</v>
      </c>
      <c r="AS48" s="207">
        <v>19</v>
      </c>
      <c r="AT48" s="207" t="s">
        <v>296</v>
      </c>
      <c r="AV48" s="168">
        <f t="shared" si="28"/>
        <v>14</v>
      </c>
      <c r="AW48" s="168">
        <f>COUNTIF( AV$7:AV48, AV48 )</f>
        <v>16</v>
      </c>
      <c r="AX48" s="208">
        <f t="shared" si="22"/>
        <v>15.6</v>
      </c>
      <c r="AY48" s="168">
        <f t="shared" si="29"/>
        <v>29</v>
      </c>
      <c r="AZ48" s="169"/>
      <c r="BA48" s="169"/>
      <c r="BC48" s="168">
        <f t="shared" ca="1" si="27"/>
        <v>42</v>
      </c>
      <c r="BD48" s="209">
        <f t="shared" ca="1" si="30"/>
        <v>39</v>
      </c>
      <c r="BF48" s="173" t="str">
        <f t="shared" ca="1" si="23"/>
        <v>Puget Energy, Inc.</v>
      </c>
      <c r="BG48" s="173" t="str">
        <f t="shared" ca="1" si="24"/>
        <v>BBB-</v>
      </c>
      <c r="BH48" s="173">
        <f t="shared" ca="1" si="25"/>
        <v>17</v>
      </c>
      <c r="BI48" s="173" t="str">
        <f t="shared" ca="1" si="26"/>
        <v>**PSD</v>
      </c>
    </row>
    <row r="49" spans="1:61" ht="13.8" x14ac:dyDescent="0.25">
      <c r="A49" s="223" t="s">
        <v>259</v>
      </c>
      <c r="B49" s="224" t="s">
        <v>175</v>
      </c>
      <c r="C49" s="224">
        <v>15</v>
      </c>
      <c r="D49" s="224" t="s">
        <v>260</v>
      </c>
      <c r="E49" s="225" t="str">
        <f t="shared" ca="1" si="9"/>
        <v>R</v>
      </c>
      <c r="F49" s="348"/>
      <c r="G49" s="349">
        <f t="shared" ca="1" si="1"/>
        <v>54</v>
      </c>
      <c r="H49" s="350"/>
      <c r="I49" s="350"/>
      <c r="J49" s="191"/>
      <c r="K49" s="191"/>
      <c r="M49" s="351"/>
      <c r="N49" s="351"/>
      <c r="AF49" s="169">
        <f t="shared" si="2"/>
        <v>0</v>
      </c>
      <c r="AG49" s="169" t="str">
        <f t="shared" ca="1" si="3"/>
        <v/>
      </c>
      <c r="AH49" s="169" t="str">
        <f t="shared" ca="1" si="19"/>
        <v/>
      </c>
      <c r="AJ49" s="169">
        <f t="shared" ca="1" si="20"/>
        <v>49</v>
      </c>
      <c r="AK49" s="169" t="str">
        <f t="shared" ca="1" si="21"/>
        <v>BB</v>
      </c>
      <c r="AL49" s="169">
        <f t="shared" ca="1" si="21"/>
        <v>15</v>
      </c>
      <c r="AM49" s="169" t="str">
        <f t="shared" ca="1" si="4"/>
        <v/>
      </c>
      <c r="AQ49" s="207" t="s">
        <v>247</v>
      </c>
      <c r="AR49" s="207" t="s">
        <v>139</v>
      </c>
      <c r="AS49" s="207">
        <v>20</v>
      </c>
      <c r="AT49" s="207" t="s">
        <v>248</v>
      </c>
      <c r="AV49" s="168">
        <f t="shared" si="28"/>
        <v>2</v>
      </c>
      <c r="AW49" s="168">
        <f>COUNTIF( AV$7:AV49, AV49 )</f>
        <v>11</v>
      </c>
      <c r="AX49" s="208">
        <f t="shared" si="22"/>
        <v>3.1</v>
      </c>
      <c r="AY49" s="168">
        <f t="shared" si="29"/>
        <v>12</v>
      </c>
      <c r="AZ49" s="169"/>
      <c r="BA49" s="169"/>
      <c r="BC49" s="168">
        <f t="shared" ca="1" si="27"/>
        <v>43</v>
      </c>
      <c r="BD49" s="209">
        <f t="shared" ca="1" si="30"/>
        <v>14</v>
      </c>
      <c r="BF49" s="173" t="str">
        <f t="shared" ca="1" si="23"/>
        <v>DPL Inc.</v>
      </c>
      <c r="BG49" s="173" t="str">
        <f t="shared" ca="1" si="24"/>
        <v>BB</v>
      </c>
      <c r="BH49" s="173">
        <f t="shared" ca="1" si="25"/>
        <v>15</v>
      </c>
      <c r="BI49" s="173" t="str">
        <f t="shared" ca="1" si="26"/>
        <v>**DPL</v>
      </c>
    </row>
    <row r="50" spans="1:61" ht="13.8" x14ac:dyDescent="0.25">
      <c r="A50" s="223" t="s">
        <v>301</v>
      </c>
      <c r="B50" s="224" t="s">
        <v>177</v>
      </c>
      <c r="C50" s="224">
        <v>14</v>
      </c>
      <c r="D50" s="224" t="s">
        <v>302</v>
      </c>
      <c r="E50" s="225" t="str">
        <f t="shared" ca="1" si="9"/>
        <v>R</v>
      </c>
      <c r="F50" s="348"/>
      <c r="G50" s="349">
        <f t="shared" ca="1" si="1"/>
        <v>36</v>
      </c>
      <c r="H50" s="350"/>
      <c r="I50" s="350"/>
      <c r="J50" s="191"/>
      <c r="K50" s="191"/>
      <c r="M50" s="351"/>
      <c r="N50" s="351"/>
      <c r="AF50" s="169">
        <f t="shared" si="2"/>
        <v>1</v>
      </c>
      <c r="AG50" s="169" t="str">
        <f t="shared" ca="1" si="3"/>
        <v/>
      </c>
      <c r="AH50" s="169">
        <f t="shared" ca="1" si="19"/>
        <v>1</v>
      </c>
      <c r="AJ50" s="169">
        <f t="shared" ca="1" si="20"/>
        <v>50</v>
      </c>
      <c r="AK50" s="169" t="str">
        <f t="shared" ca="1" si="21"/>
        <v/>
      </c>
      <c r="AL50" s="169" t="str">
        <f t="shared" ca="1" si="21"/>
        <v/>
      </c>
      <c r="AM50" s="169" t="str">
        <f t="shared" ca="1" si="4"/>
        <v>Change</v>
      </c>
      <c r="AQ50" s="207" t="s">
        <v>251</v>
      </c>
      <c r="AR50" s="207" t="s">
        <v>139</v>
      </c>
      <c r="AS50" s="207">
        <v>20</v>
      </c>
      <c r="AT50" s="207" t="s">
        <v>252</v>
      </c>
      <c r="AV50" s="168">
        <f t="shared" si="28"/>
        <v>2</v>
      </c>
      <c r="AW50" s="168">
        <f>COUNTIF( AV$7:AV50, AV50 )</f>
        <v>12</v>
      </c>
      <c r="AX50" s="208">
        <f t="shared" si="22"/>
        <v>3.2</v>
      </c>
      <c r="AY50" s="168">
        <f t="shared" si="29"/>
        <v>13</v>
      </c>
      <c r="AZ50" s="169"/>
      <c r="BA50" s="169"/>
      <c r="BC50" s="168">
        <f t="shared" ca="1" si="27"/>
        <v>44</v>
      </c>
      <c r="BD50" s="209">
        <f t="shared" ca="1" si="30"/>
        <v>33</v>
      </c>
      <c r="BF50" s="173" t="str">
        <f t="shared" ca="1" si="23"/>
        <v>PG&amp;E Corporation</v>
      </c>
      <c r="BG50" s="173" t="str">
        <f t="shared" ca="1" si="24"/>
        <v>BB-</v>
      </c>
      <c r="BH50" s="173">
        <f t="shared" ca="1" si="25"/>
        <v>14</v>
      </c>
      <c r="BI50" s="173" t="str">
        <f t="shared" ca="1" si="26"/>
        <v>PCG</v>
      </c>
    </row>
    <row r="51" spans="1:61" ht="13.8" x14ac:dyDescent="0.25">
      <c r="A51" s="223"/>
      <c r="B51" s="224"/>
      <c r="C51" s="224"/>
      <c r="D51" s="224"/>
      <c r="E51" s="225"/>
      <c r="F51" s="348"/>
      <c r="G51" s="349"/>
      <c r="H51" s="350"/>
      <c r="I51" s="350"/>
      <c r="J51" s="191"/>
      <c r="K51" s="191"/>
      <c r="M51" s="351"/>
      <c r="N51" s="351"/>
      <c r="AF51" s="169">
        <f t="shared" si="2"/>
        <v>0</v>
      </c>
      <c r="AG51" s="169" t="str">
        <f t="shared" si="3"/>
        <v/>
      </c>
      <c r="AH51" s="169" t="str">
        <f t="shared" si="19"/>
        <v/>
      </c>
      <c r="AJ51" s="169" t="e">
        <f t="shared" ca="1" si="20"/>
        <v>#N/A</v>
      </c>
      <c r="AK51" s="169" t="str">
        <f t="shared" ca="1" si="21"/>
        <v/>
      </c>
      <c r="AL51" s="169" t="str">
        <f t="shared" ca="1" si="21"/>
        <v/>
      </c>
      <c r="AM51" s="169" t="str">
        <f t="shared" ca="1" si="4"/>
        <v/>
      </c>
      <c r="AV51" s="168">
        <f t="shared" si="28"/>
        <v>99</v>
      </c>
      <c r="AW51" s="168">
        <f>COUNTIF( AV$7:AV51, AV51 )</f>
        <v>1</v>
      </c>
      <c r="AX51" s="208">
        <f t="shared" si="22"/>
        <v>99.1</v>
      </c>
      <c r="AY51" s="168">
        <f t="shared" si="29"/>
        <v>45</v>
      </c>
      <c r="AZ51" s="169"/>
      <c r="BA51" s="169"/>
      <c r="BC51" s="168">
        <f t="shared" ca="1" si="27"/>
        <v>45</v>
      </c>
      <c r="BD51" s="209">
        <f t="shared" ca="1" si="30"/>
        <v>45</v>
      </c>
      <c r="BF51" s="173">
        <f t="shared" ref="BF51:BI63" ca="1" si="31">OFFSET( AQ$6, $BD52, 0 )</f>
        <v>0</v>
      </c>
      <c r="BG51" s="173">
        <f t="shared" ca="1" si="31"/>
        <v>0</v>
      </c>
      <c r="BH51" s="173">
        <f t="shared" ca="1" si="31"/>
        <v>0</v>
      </c>
      <c r="BI51" s="173">
        <f t="shared" ca="1" si="31"/>
        <v>0</v>
      </c>
    </row>
    <row r="52" spans="1:61" ht="13.8" x14ac:dyDescent="0.25">
      <c r="A52" s="223"/>
      <c r="B52" s="224"/>
      <c r="C52" s="224"/>
      <c r="D52" s="224"/>
      <c r="E52" s="225"/>
      <c r="F52" s="348"/>
      <c r="G52" s="349"/>
      <c r="H52" s="350"/>
      <c r="I52" s="350"/>
      <c r="J52" s="191"/>
      <c r="K52" s="191"/>
      <c r="AF52" s="169">
        <f t="shared" si="2"/>
        <v>0</v>
      </c>
      <c r="AG52" s="169" t="str">
        <f t="shared" si="3"/>
        <v/>
      </c>
      <c r="AH52" s="169" t="str">
        <f t="shared" si="19"/>
        <v/>
      </c>
      <c r="AJ52" s="169" t="e">
        <f t="shared" ca="1" si="20"/>
        <v>#N/A</v>
      </c>
      <c r="AK52" s="169" t="str">
        <f t="shared" ca="1" si="21"/>
        <v/>
      </c>
      <c r="AL52" s="169" t="str">
        <f t="shared" ca="1" si="21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si="28"/>
        <v>99</v>
      </c>
      <c r="AW52" s="168">
        <f>COUNTIF( AV$7:AV52, AV52 )</f>
        <v>2</v>
      </c>
      <c r="AX52" s="208">
        <f t="shared" si="22"/>
        <v>99.2</v>
      </c>
      <c r="AY52" s="168">
        <f t="shared" si="29"/>
        <v>46</v>
      </c>
      <c r="AZ52" s="169"/>
      <c r="BA52" s="169"/>
      <c r="BC52" s="168">
        <f t="shared" ca="1" si="27"/>
        <v>46</v>
      </c>
      <c r="BD52" s="209">
        <f t="shared" ca="1" si="30"/>
        <v>46</v>
      </c>
      <c r="BF52" s="173">
        <f t="shared" ca="1" si="31"/>
        <v>0</v>
      </c>
      <c r="BG52" s="173">
        <f t="shared" ca="1" si="31"/>
        <v>0</v>
      </c>
      <c r="BH52" s="173">
        <f t="shared" ca="1" si="31"/>
        <v>0</v>
      </c>
      <c r="BI52" s="173">
        <f t="shared" ca="1" si="31"/>
        <v>0</v>
      </c>
    </row>
    <row r="53" spans="1:61" ht="13.8" x14ac:dyDescent="0.25">
      <c r="A53" s="223"/>
      <c r="B53" s="224"/>
      <c r="C53" s="224"/>
      <c r="D53" s="224"/>
      <c r="E53" s="225"/>
      <c r="F53" s="348"/>
      <c r="G53" s="349" t="str">
        <f t="shared" ca="1" si="1"/>
        <v/>
      </c>
      <c r="H53" s="350"/>
      <c r="I53" s="350"/>
      <c r="J53" s="191"/>
      <c r="K53" s="191"/>
      <c r="AF53" s="169">
        <f t="shared" si="2"/>
        <v>0</v>
      </c>
      <c r="AG53" s="169" t="str">
        <f t="shared" si="3"/>
        <v/>
      </c>
      <c r="AH53" s="169" t="str">
        <f t="shared" si="19"/>
        <v/>
      </c>
      <c r="AJ53" s="169" t="e">
        <f t="shared" ca="1" si="20"/>
        <v>#N/A</v>
      </c>
      <c r="AK53" s="169" t="str">
        <f t="shared" ca="1" si="21"/>
        <v/>
      </c>
      <c r="AL53" s="169" t="str">
        <f t="shared" ca="1" si="21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si="28"/>
        <v>99</v>
      </c>
      <c r="AW53" s="168">
        <f>COUNTIF( AV$7:AV53, AV53 )</f>
        <v>3</v>
      </c>
      <c r="AX53" s="208">
        <f t="shared" si="22"/>
        <v>99.3</v>
      </c>
      <c r="AY53" s="168">
        <f t="shared" si="29"/>
        <v>47</v>
      </c>
      <c r="AZ53" s="169"/>
      <c r="BA53" s="169"/>
      <c r="BC53" s="168">
        <f t="shared" ca="1" si="27"/>
        <v>47</v>
      </c>
      <c r="BD53" s="209">
        <f t="shared" ca="1" si="30"/>
        <v>47</v>
      </c>
      <c r="BF53" s="173">
        <f t="shared" ca="1" si="31"/>
        <v>0</v>
      </c>
      <c r="BG53" s="173">
        <f t="shared" ca="1" si="31"/>
        <v>0</v>
      </c>
      <c r="BH53" s="173">
        <f t="shared" ca="1" si="31"/>
        <v>0</v>
      </c>
      <c r="BI53" s="173">
        <f t="shared" ca="1" si="31"/>
        <v>0</v>
      </c>
    </row>
    <row r="54" spans="1:61" ht="13.8" x14ac:dyDescent="0.25">
      <c r="A54" s="223"/>
      <c r="B54" s="224"/>
      <c r="C54" s="224"/>
      <c r="D54" s="224"/>
      <c r="E54" s="225"/>
      <c r="F54" s="348"/>
      <c r="G54" s="349" t="str">
        <f t="shared" ca="1" si="1"/>
        <v/>
      </c>
      <c r="H54" s="350"/>
      <c r="I54" s="350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9"/>
        <v/>
      </c>
      <c r="AJ54" s="169" t="e">
        <f t="shared" ca="1" si="20"/>
        <v>#N/A</v>
      </c>
      <c r="AK54" s="169" t="str">
        <f t="shared" ca="1" si="21"/>
        <v/>
      </c>
      <c r="AL54" s="169" t="str">
        <f t="shared" ca="1" si="21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28"/>
        <v>99</v>
      </c>
      <c r="AW54" s="168">
        <f>COUNTIF( AV$7:AV54, AV54 )</f>
        <v>4</v>
      </c>
      <c r="AX54" s="208">
        <f t="shared" si="22"/>
        <v>99.4</v>
      </c>
      <c r="AY54" s="168">
        <f t="shared" si="29"/>
        <v>48</v>
      </c>
      <c r="AZ54" s="169"/>
      <c r="BA54" s="169"/>
      <c r="BC54" s="168">
        <f t="shared" ca="1" si="27"/>
        <v>48</v>
      </c>
      <c r="BD54" s="209">
        <f t="shared" ca="1" si="30"/>
        <v>48</v>
      </c>
      <c r="BF54" s="173">
        <f t="shared" ca="1" si="31"/>
        <v>0</v>
      </c>
      <c r="BG54" s="173">
        <f t="shared" ca="1" si="31"/>
        <v>0</v>
      </c>
      <c r="BH54" s="173">
        <f t="shared" ca="1" si="31"/>
        <v>0</v>
      </c>
      <c r="BI54" s="173">
        <f t="shared" ca="1" si="31"/>
        <v>0</v>
      </c>
    </row>
    <row r="55" spans="1:61" ht="13.8" x14ac:dyDescent="0.25">
      <c r="A55" s="223"/>
      <c r="B55" s="224"/>
      <c r="C55" s="224"/>
      <c r="D55" s="224"/>
      <c r="E55" s="225"/>
      <c r="F55" s="348"/>
      <c r="G55" s="349" t="str">
        <f t="shared" ca="1" si="1"/>
        <v/>
      </c>
      <c r="H55" s="350"/>
      <c r="I55" s="350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9"/>
        <v/>
      </c>
      <c r="AJ55" s="169" t="e">
        <f t="shared" ca="1" si="20"/>
        <v>#N/A</v>
      </c>
      <c r="AK55" s="169" t="str">
        <f t="shared" ca="1" si="21"/>
        <v/>
      </c>
      <c r="AL55" s="169" t="str">
        <f t="shared" ca="1" si="21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8"/>
        <v>99</v>
      </c>
      <c r="AW55" s="168">
        <f>COUNTIF( AV$7:AV55, AV55 )</f>
        <v>5</v>
      </c>
      <c r="AX55" s="208">
        <f t="shared" si="22"/>
        <v>99.5</v>
      </c>
      <c r="AY55" s="168">
        <f t="shared" si="29"/>
        <v>49</v>
      </c>
      <c r="AZ55" s="169"/>
      <c r="BA55" s="169"/>
      <c r="BC55" s="168">
        <f t="shared" ca="1" si="27"/>
        <v>49</v>
      </c>
      <c r="BD55" s="209">
        <f t="shared" ca="1" si="30"/>
        <v>49</v>
      </c>
      <c r="BF55" s="173">
        <f t="shared" ca="1" si="31"/>
        <v>0</v>
      </c>
      <c r="BG55" s="173">
        <f t="shared" ca="1" si="31"/>
        <v>0</v>
      </c>
      <c r="BH55" s="173">
        <f t="shared" ca="1" si="31"/>
        <v>0</v>
      </c>
      <c r="BI55" s="173">
        <f t="shared" ca="1" si="31"/>
        <v>0</v>
      </c>
    </row>
    <row r="56" spans="1:61" ht="13.8" x14ac:dyDescent="0.25">
      <c r="A56" s="223"/>
      <c r="B56" s="224"/>
      <c r="C56" s="224"/>
      <c r="D56" s="224"/>
      <c r="E56" s="225"/>
      <c r="F56" s="348"/>
      <c r="G56" s="349" t="str">
        <f t="shared" ca="1" si="1"/>
        <v/>
      </c>
      <c r="H56" s="350"/>
      <c r="I56" s="350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9"/>
        <v/>
      </c>
      <c r="AJ56" s="169" t="e">
        <f t="shared" ca="1" si="20"/>
        <v>#N/A</v>
      </c>
      <c r="AK56" s="169" t="str">
        <f t="shared" ca="1" si="21"/>
        <v/>
      </c>
      <c r="AL56" s="169" t="str">
        <f t="shared" ca="1" si="21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8"/>
        <v>99</v>
      </c>
      <c r="AW56" s="168">
        <f>COUNTIF( AV$7:AV56, AV56 )</f>
        <v>6</v>
      </c>
      <c r="AX56" s="208">
        <f t="shared" si="22"/>
        <v>99.6</v>
      </c>
      <c r="AY56" s="168">
        <f t="shared" si="29"/>
        <v>50</v>
      </c>
      <c r="AZ56" s="169"/>
      <c r="BA56" s="169"/>
      <c r="BC56" s="168">
        <f t="shared" ca="1" si="27"/>
        <v>50</v>
      </c>
      <c r="BD56" s="209">
        <f t="shared" ca="1" si="30"/>
        <v>50</v>
      </c>
      <c r="BF56" s="173">
        <f t="shared" ca="1" si="31"/>
        <v>0</v>
      </c>
      <c r="BG56" s="173">
        <f t="shared" ca="1" si="31"/>
        <v>0</v>
      </c>
      <c r="BH56" s="173">
        <f t="shared" ca="1" si="31"/>
        <v>0</v>
      </c>
      <c r="BI56" s="173">
        <f t="shared" ca="1" si="31"/>
        <v>0</v>
      </c>
    </row>
    <row r="57" spans="1:61" ht="13.8" x14ac:dyDescent="0.25">
      <c r="A57" s="223"/>
      <c r="B57" s="224"/>
      <c r="C57" s="224"/>
      <c r="D57" s="224"/>
      <c r="E57" s="225"/>
      <c r="F57" s="348"/>
      <c r="G57" s="349" t="str">
        <f t="shared" ca="1" si="1"/>
        <v/>
      </c>
      <c r="H57" s="350"/>
      <c r="I57" s="350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9"/>
        <v/>
      </c>
      <c r="AJ57" s="169" t="e">
        <f t="shared" ca="1" si="20"/>
        <v>#N/A</v>
      </c>
      <c r="AK57" s="169" t="str">
        <f t="shared" ca="1" si="21"/>
        <v/>
      </c>
      <c r="AL57" s="169" t="str">
        <f t="shared" ca="1" si="21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8"/>
        <v>99</v>
      </c>
      <c r="AW57" s="168">
        <f>COUNTIF( AV$7:AV57, AV57 )</f>
        <v>7</v>
      </c>
      <c r="AX57" s="208">
        <f t="shared" si="22"/>
        <v>99.7</v>
      </c>
      <c r="AY57" s="168">
        <f t="shared" si="29"/>
        <v>51</v>
      </c>
      <c r="AZ57" s="169"/>
      <c r="BA57" s="169"/>
      <c r="BC57" s="168">
        <f t="shared" ca="1" si="27"/>
        <v>51</v>
      </c>
      <c r="BD57" s="209">
        <f t="shared" ca="1" si="30"/>
        <v>51</v>
      </c>
      <c r="BF57" s="173">
        <f t="shared" ca="1" si="31"/>
        <v>0</v>
      </c>
      <c r="BG57" s="173">
        <f t="shared" ca="1" si="31"/>
        <v>0</v>
      </c>
      <c r="BH57" s="173">
        <f t="shared" ca="1" si="31"/>
        <v>0</v>
      </c>
      <c r="BI57" s="173">
        <f t="shared" ca="1" si="31"/>
        <v>0</v>
      </c>
    </row>
    <row r="58" spans="1:61" ht="13.8" x14ac:dyDescent="0.25">
      <c r="A58" s="223"/>
      <c r="B58" s="224"/>
      <c r="C58" s="224"/>
      <c r="D58" s="224"/>
      <c r="E58" s="225"/>
      <c r="F58" s="348"/>
      <c r="G58" s="349" t="str">
        <f t="shared" ca="1" si="1"/>
        <v/>
      </c>
      <c r="H58" s="350"/>
      <c r="I58" s="350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9"/>
        <v/>
      </c>
      <c r="AJ58" s="169" t="e">
        <f t="shared" ca="1" si="20"/>
        <v>#N/A</v>
      </c>
      <c r="AK58" s="169" t="str">
        <f t="shared" ca="1" si="21"/>
        <v/>
      </c>
      <c r="AL58" s="169" t="str">
        <f t="shared" ca="1" si="21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8"/>
        <v>99</v>
      </c>
      <c r="AW58" s="168">
        <f>COUNTIF( AV$7:AV58, AV58 )</f>
        <v>8</v>
      </c>
      <c r="AX58" s="208">
        <f t="shared" si="22"/>
        <v>99.8</v>
      </c>
      <c r="AY58" s="168">
        <f t="shared" si="29"/>
        <v>52</v>
      </c>
      <c r="AZ58" s="169"/>
      <c r="BA58" s="169"/>
      <c r="BC58" s="168">
        <f t="shared" ca="1" si="27"/>
        <v>52</v>
      </c>
      <c r="BD58" s="209">
        <f t="shared" ca="1" si="30"/>
        <v>52</v>
      </c>
      <c r="BF58" s="173">
        <f t="shared" ca="1" si="31"/>
        <v>0</v>
      </c>
      <c r="BG58" s="173">
        <f t="shared" ca="1" si="31"/>
        <v>0</v>
      </c>
      <c r="BH58" s="173">
        <f t="shared" ca="1" si="31"/>
        <v>0</v>
      </c>
      <c r="BI58" s="173">
        <f t="shared" ca="1" si="31"/>
        <v>0</v>
      </c>
    </row>
    <row r="59" spans="1:61" ht="13.8" x14ac:dyDescent="0.25">
      <c r="A59" s="223"/>
      <c r="B59" s="224"/>
      <c r="C59" s="224"/>
      <c r="D59" s="224"/>
      <c r="E59" s="225" t="str">
        <f t="shared" ca="1" si="9"/>
        <v/>
      </c>
      <c r="F59" s="348"/>
      <c r="G59" s="349" t="str">
        <f t="shared" ca="1" si="1"/>
        <v/>
      </c>
      <c r="H59" s="350"/>
      <c r="I59" s="350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9"/>
        <v/>
      </c>
      <c r="AJ59" s="169" t="e">
        <f t="shared" ca="1" si="20"/>
        <v>#N/A</v>
      </c>
      <c r="AK59" s="169" t="str">
        <f t="shared" ca="1" si="21"/>
        <v/>
      </c>
      <c r="AL59" s="169" t="str">
        <f t="shared" ca="1" si="21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8"/>
        <v>99</v>
      </c>
      <c r="AW59" s="168">
        <f>COUNTIF( AV$7:AV59, AV59 )</f>
        <v>9</v>
      </c>
      <c r="AX59" s="208">
        <f t="shared" si="22"/>
        <v>99.9</v>
      </c>
      <c r="AY59" s="168">
        <f t="shared" si="29"/>
        <v>53</v>
      </c>
      <c r="AZ59" s="169"/>
      <c r="BA59" s="169"/>
      <c r="BC59" s="168">
        <f t="shared" ca="1" si="27"/>
        <v>53</v>
      </c>
      <c r="BD59" s="209">
        <f t="shared" ca="1" si="30"/>
        <v>53</v>
      </c>
      <c r="BF59" s="173">
        <f t="shared" ca="1" si="31"/>
        <v>0</v>
      </c>
      <c r="BG59" s="173">
        <f t="shared" ca="1" si="31"/>
        <v>0</v>
      </c>
      <c r="BH59" s="173">
        <f t="shared" ca="1" si="31"/>
        <v>0</v>
      </c>
      <c r="BI59" s="173">
        <f t="shared" ca="1" si="31"/>
        <v>0</v>
      </c>
    </row>
    <row r="60" spans="1:61" ht="14.4" thickBot="1" x14ac:dyDescent="0.3">
      <c r="A60" s="192"/>
      <c r="B60" s="193"/>
      <c r="C60" s="193"/>
      <c r="D60" s="193"/>
      <c r="E60" s="194" t="str">
        <f t="shared" ca="1" si="9"/>
        <v/>
      </c>
      <c r="F60" s="350"/>
      <c r="G60" s="353" t="str">
        <f t="shared" ca="1" si="1"/>
        <v/>
      </c>
      <c r="H60" s="350"/>
      <c r="I60" s="350"/>
      <c r="AF60" s="169">
        <f t="shared" si="2"/>
        <v>0</v>
      </c>
      <c r="AG60" s="169" t="str">
        <f t="shared" si="3"/>
        <v/>
      </c>
      <c r="AH60" s="169" t="str">
        <f t="shared" si="19"/>
        <v/>
      </c>
      <c r="AJ60" s="169" t="e">
        <f t="shared" ca="1" si="20"/>
        <v>#N/A</v>
      </c>
      <c r="AK60" s="169" t="str">
        <f t="shared" ca="1" si="21"/>
        <v/>
      </c>
      <c r="AL60" s="169" t="str">
        <f t="shared" ca="1" si="21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8"/>
        <v>99</v>
      </c>
      <c r="AW60" s="168">
        <f>COUNTIF( AV$7:AV60, AV60 )</f>
        <v>10</v>
      </c>
      <c r="AX60" s="208">
        <f t="shared" si="22"/>
        <v>100</v>
      </c>
      <c r="AY60" s="168">
        <f t="shared" si="29"/>
        <v>54</v>
      </c>
      <c r="AZ60" s="169"/>
      <c r="BA60" s="169"/>
      <c r="BC60" s="168">
        <f t="shared" ca="1" si="27"/>
        <v>54</v>
      </c>
      <c r="BD60" s="209">
        <f t="shared" ca="1" si="30"/>
        <v>54</v>
      </c>
      <c r="BF60" s="173">
        <f t="shared" ca="1" si="31"/>
        <v>0</v>
      </c>
      <c r="BG60" s="173">
        <f t="shared" ca="1" si="31"/>
        <v>0</v>
      </c>
      <c r="BH60" s="173">
        <f t="shared" ca="1" si="31"/>
        <v>0</v>
      </c>
      <c r="BI60" s="173">
        <f t="shared" ca="1" si="31"/>
        <v>0</v>
      </c>
    </row>
    <row r="61" spans="1:61" ht="13.8" x14ac:dyDescent="0.25">
      <c r="A61" s="226" t="s">
        <v>308</v>
      </c>
      <c r="B61" s="227" t="s">
        <v>162</v>
      </c>
      <c r="C61" s="227">
        <v>23</v>
      </c>
      <c r="D61" s="227" t="s">
        <v>309</v>
      </c>
      <c r="E61" s="228" t="str">
        <f t="shared" ca="1" si="9"/>
        <v>R</v>
      </c>
      <c r="F61" s="354"/>
      <c r="G61" s="355">
        <f t="shared" ca="1" si="1"/>
        <v>30</v>
      </c>
      <c r="H61" s="350"/>
      <c r="I61" s="350"/>
      <c r="AF61" s="169">
        <f t="shared" si="2"/>
        <v>1</v>
      </c>
      <c r="AG61" s="169" t="str">
        <f t="shared" ca="1" si="3"/>
        <v/>
      </c>
      <c r="AH61" s="169" t="str">
        <f t="shared" ca="1" si="19"/>
        <v/>
      </c>
      <c r="AJ61" s="169">
        <f t="shared" ca="1" si="20"/>
        <v>61</v>
      </c>
      <c r="AK61" s="169" t="str">
        <f t="shared" ca="1" si="21"/>
        <v>AA-</v>
      </c>
      <c r="AL61" s="169">
        <f t="shared" ca="1" si="21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8"/>
        <v>99</v>
      </c>
      <c r="AW61" s="168">
        <f>COUNTIF( AV$7:AV61, AV61 )</f>
        <v>11</v>
      </c>
      <c r="AX61" s="208">
        <f t="shared" si="22"/>
        <v>100.1</v>
      </c>
      <c r="AY61" s="168">
        <f t="shared" si="29"/>
        <v>55</v>
      </c>
      <c r="AZ61" s="169"/>
      <c r="BA61" s="169"/>
      <c r="BC61" s="168">
        <f t="shared" ca="1" si="27"/>
        <v>55</v>
      </c>
      <c r="BD61" s="209">
        <f t="shared" ca="1" si="30"/>
        <v>55</v>
      </c>
      <c r="BF61" s="173">
        <f ca="1">OFFSET( AQ$6, $BD62, 0 )</f>
        <v>0</v>
      </c>
      <c r="BG61" s="173">
        <f ca="1">OFFSET( AR$6, $BD62, 0 )</f>
        <v>0</v>
      </c>
      <c r="BH61" s="173">
        <f ca="1">OFFSET( AS$6, $BD62, 0 )</f>
        <v>0</v>
      </c>
      <c r="BI61" s="173">
        <f ca="1">OFFSET( AT$6, $BD62, 0 )</f>
        <v>0</v>
      </c>
    </row>
    <row r="62" spans="1:61" ht="13.8" x14ac:dyDescent="0.25">
      <c r="A62" s="223"/>
      <c r="B62" s="224"/>
      <c r="C62" s="224"/>
      <c r="D62" s="224"/>
      <c r="E62" s="225"/>
      <c r="F62" s="348"/>
      <c r="G62" s="349" t="str">
        <f t="shared" ca="1" si="1"/>
        <v/>
      </c>
      <c r="H62" s="350"/>
      <c r="I62" s="350"/>
      <c r="AF62" s="169">
        <f>IF( LEN( C62 ) = 0, 0, IF( C62 = C61, AF61, IF( AF61 = 1, 0, 1 ) ) )</f>
        <v>0</v>
      </c>
      <c r="AG62" s="169" t="str">
        <f t="shared" si="3"/>
        <v/>
      </c>
      <c r="AH62" s="169" t="str">
        <f t="shared" si="19"/>
        <v/>
      </c>
      <c r="AJ62" s="169" t="e">
        <f t="shared" ca="1" si="20"/>
        <v>#N/A</v>
      </c>
      <c r="AK62" s="169" t="str">
        <f t="shared" ca="1" si="21"/>
        <v/>
      </c>
      <c r="AL62" s="169" t="str">
        <f t="shared" ca="1" si="21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8"/>
        <v>99</v>
      </c>
      <c r="AW62" s="168">
        <f>COUNTIF( AV$7:AV62, AV62 )</f>
        <v>12</v>
      </c>
      <c r="AX62" s="208">
        <f t="shared" si="22"/>
        <v>100.2</v>
      </c>
      <c r="AY62" s="168">
        <f t="shared" si="29"/>
        <v>56</v>
      </c>
      <c r="AZ62" s="169"/>
      <c r="BA62" s="169"/>
      <c r="BC62" s="168">
        <f t="shared" ca="1" si="27"/>
        <v>56</v>
      </c>
      <c r="BD62" s="209">
        <f t="shared" ca="1" si="30"/>
        <v>56</v>
      </c>
      <c r="BF62" s="173">
        <f t="shared" ca="1" si="31"/>
        <v>0</v>
      </c>
      <c r="BG62" s="173">
        <f t="shared" ca="1" si="31"/>
        <v>0</v>
      </c>
      <c r="BH62" s="173">
        <f t="shared" ca="1" si="31"/>
        <v>0</v>
      </c>
      <c r="BI62" s="173">
        <f t="shared" ca="1" si="31"/>
        <v>0</v>
      </c>
    </row>
    <row r="63" spans="1:61" ht="13.8" x14ac:dyDescent="0.25">
      <c r="A63" s="223"/>
      <c r="B63" s="229"/>
      <c r="C63" s="224"/>
      <c r="D63" s="224"/>
      <c r="E63" s="225"/>
      <c r="F63" s="348"/>
      <c r="G63" s="349"/>
      <c r="H63" s="350"/>
      <c r="I63" s="350"/>
      <c r="AF63" s="169">
        <f t="shared" si="2"/>
        <v>0</v>
      </c>
      <c r="AG63" s="169" t="str">
        <f t="shared" si="3"/>
        <v/>
      </c>
      <c r="AH63" s="169" t="str">
        <f t="shared" si="19"/>
        <v/>
      </c>
      <c r="AJ63" s="169" t="e">
        <f t="shared" ca="1" si="20"/>
        <v>#N/A</v>
      </c>
      <c r="AK63" s="169" t="str">
        <f t="shared" ca="1" si="21"/>
        <v/>
      </c>
      <c r="AL63" s="169" t="str">
        <f t="shared" ca="1" si="21"/>
        <v/>
      </c>
      <c r="AM63" s="169" t="str">
        <f t="shared" ca="1" si="4"/>
        <v/>
      </c>
      <c r="AU63" s="207"/>
      <c r="AV63" s="168">
        <f t="shared" si="28"/>
        <v>99</v>
      </c>
      <c r="AW63" s="168">
        <f>COUNTIF( AV$7:AV63, AV63 )</f>
        <v>13</v>
      </c>
      <c r="AX63" s="208">
        <f t="shared" si="22"/>
        <v>100.3</v>
      </c>
      <c r="AY63" s="168">
        <f t="shared" si="29"/>
        <v>57</v>
      </c>
      <c r="AZ63" s="169"/>
      <c r="BA63" s="169"/>
      <c r="BC63" s="168">
        <f t="shared" ca="1" si="27"/>
        <v>57</v>
      </c>
      <c r="BD63" s="209">
        <f t="shared" ca="1" si="30"/>
        <v>57</v>
      </c>
      <c r="BF63" s="173">
        <f t="shared" ca="1" si="31"/>
        <v>0</v>
      </c>
      <c r="BG63" s="173">
        <f t="shared" ca="1" si="31"/>
        <v>0</v>
      </c>
      <c r="BH63" s="173">
        <f t="shared" ca="1" si="31"/>
        <v>0</v>
      </c>
      <c r="BI63" s="173">
        <f t="shared" ca="1" si="31"/>
        <v>0</v>
      </c>
    </row>
    <row r="64" spans="1:61" ht="13.8" x14ac:dyDescent="0.25">
      <c r="A64" s="223"/>
      <c r="B64" s="229"/>
      <c r="C64" s="224"/>
      <c r="D64" s="224"/>
      <c r="E64" s="225"/>
      <c r="F64" s="348"/>
      <c r="G64" s="349"/>
      <c r="H64" s="350"/>
      <c r="I64" s="350"/>
      <c r="AF64" s="169">
        <f t="shared" si="2"/>
        <v>0</v>
      </c>
      <c r="AG64" s="169" t="str">
        <f t="shared" si="3"/>
        <v/>
      </c>
      <c r="AH64" s="169" t="str">
        <f t="shared" si="19"/>
        <v/>
      </c>
      <c r="AJ64" s="169" t="e">
        <f t="shared" ca="1" si="20"/>
        <v>#N/A</v>
      </c>
      <c r="AK64" s="169" t="str">
        <f t="shared" ca="1" si="21"/>
        <v/>
      </c>
      <c r="AL64" s="169" t="str">
        <f t="shared" ca="1" si="21"/>
        <v/>
      </c>
      <c r="AM64" s="169" t="str">
        <f t="shared" ca="1" si="4"/>
        <v/>
      </c>
      <c r="AQ64" s="207" t="s">
        <v>308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61" ht="13.8" x14ac:dyDescent="0.25">
      <c r="A65" s="223"/>
      <c r="B65" s="229"/>
      <c r="C65" s="224"/>
      <c r="D65" s="224"/>
      <c r="E65" s="225"/>
      <c r="F65" s="348"/>
      <c r="G65" s="349"/>
      <c r="H65" s="350"/>
      <c r="I65" s="350"/>
      <c r="N65" s="168" t="s">
        <v>310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9"/>
        <v/>
      </c>
      <c r="AJ65" s="169" t="e">
        <f t="shared" ca="1" si="20"/>
        <v>#N/A</v>
      </c>
      <c r="AK65" s="169" t="str">
        <f t="shared" ca="1" si="21"/>
        <v/>
      </c>
      <c r="AL65" s="169" t="str">
        <f t="shared" ca="1" si="21"/>
        <v/>
      </c>
      <c r="AM65" s="169" t="str">
        <f t="shared" ca="1" si="4"/>
        <v/>
      </c>
      <c r="AU65" s="207"/>
      <c r="AZ65" s="169"/>
      <c r="BA65" s="169"/>
      <c r="BF65" s="169"/>
    </row>
    <row r="66" spans="1:61" ht="13.8" x14ac:dyDescent="0.25">
      <c r="A66" s="195"/>
      <c r="B66" s="196"/>
      <c r="C66" s="185"/>
      <c r="D66" s="185"/>
      <c r="E66" s="182"/>
      <c r="F66" s="350"/>
      <c r="H66" s="350"/>
      <c r="I66" s="350"/>
      <c r="AF66" s="169">
        <f t="shared" si="2"/>
        <v>0</v>
      </c>
      <c r="AG66" s="169" t="str">
        <f t="shared" ref="AG66:AG67" si="32">IF( LEN( $C66 ) = 0, "", IF( $C66 &gt; $AL66, 1, "" ) )</f>
        <v/>
      </c>
      <c r="AH66" s="169" t="str">
        <f t="shared" si="19"/>
        <v/>
      </c>
      <c r="AJ66" s="169" t="e">
        <f t="shared" ca="1" si="20"/>
        <v>#N/A</v>
      </c>
      <c r="AK66" s="169" t="str">
        <f t="shared" ca="1" si="21"/>
        <v/>
      </c>
      <c r="AL66" s="169" t="str">
        <f t="shared" ca="1" si="21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61" ht="14.4" thickBot="1" x14ac:dyDescent="0.3">
      <c r="A67" s="197"/>
      <c r="B67" s="198"/>
      <c r="C67" s="248"/>
      <c r="D67" s="198"/>
      <c r="E67" s="199"/>
      <c r="F67" s="350"/>
      <c r="H67" s="350"/>
      <c r="I67" s="350"/>
      <c r="AF67" s="169">
        <f t="shared" si="2"/>
        <v>0</v>
      </c>
      <c r="AG67" s="169" t="str">
        <f t="shared" si="32"/>
        <v/>
      </c>
      <c r="AH67" s="169" t="str">
        <f t="shared" si="19"/>
        <v/>
      </c>
      <c r="AJ67" s="169" t="e">
        <f t="shared" ca="1" si="20"/>
        <v>#N/A</v>
      </c>
      <c r="AK67" s="169" t="str">
        <f t="shared" ca="1" si="21"/>
        <v/>
      </c>
      <c r="AL67" s="169" t="str">
        <f t="shared" ca="1" si="21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61" ht="13.8" x14ac:dyDescent="0.25">
      <c r="A68" s="200" t="s">
        <v>311</v>
      </c>
      <c r="B68" s="189" t="str">
        <f ca="1">OFFSET( Scale!$H$5, ROUND( C68, 0 ) - 1, 1 )</f>
        <v>BBB+</v>
      </c>
      <c r="C68" s="201">
        <f>AVERAGE(C7:C65)</f>
        <v>18.844444444444445</v>
      </c>
      <c r="D68" s="201"/>
      <c r="E68" s="201"/>
      <c r="F68" s="350"/>
      <c r="H68" s="350"/>
      <c r="I68" s="350"/>
      <c r="J68" s="351"/>
      <c r="K68" s="351"/>
      <c r="AX68" s="208"/>
      <c r="AZ68" s="169"/>
      <c r="BA68" s="169"/>
      <c r="BD68" s="209"/>
      <c r="BF68" s="169"/>
    </row>
    <row r="69" spans="1:61" x14ac:dyDescent="0.25">
      <c r="A69" s="202"/>
      <c r="B69" s="202"/>
      <c r="F69" s="350"/>
      <c r="H69" s="350"/>
      <c r="I69" s="350"/>
      <c r="AX69" s="208"/>
      <c r="AZ69" s="169"/>
      <c r="BA69" s="169"/>
      <c r="BD69" s="209"/>
    </row>
    <row r="70" spans="1:61" x14ac:dyDescent="0.25">
      <c r="A70" s="202"/>
      <c r="B70" s="202"/>
      <c r="F70" s="173"/>
      <c r="H70" s="173"/>
      <c r="I70" s="173"/>
      <c r="J70" s="351"/>
      <c r="K70" s="351"/>
    </row>
    <row r="71" spans="1:61" x14ac:dyDescent="0.25">
      <c r="A71" s="203" t="s">
        <v>312</v>
      </c>
      <c r="F71" s="173"/>
      <c r="H71" s="173"/>
      <c r="I71" s="173"/>
    </row>
    <row r="72" spans="1:61" x14ac:dyDescent="0.25">
      <c r="A72" s="203" t="s">
        <v>313</v>
      </c>
      <c r="B72" s="173"/>
      <c r="D72" s="173"/>
      <c r="E72" s="173"/>
      <c r="F72" s="204"/>
      <c r="H72" s="204"/>
      <c r="I72" s="204"/>
    </row>
    <row r="73" spans="1:61" x14ac:dyDescent="0.25">
      <c r="A73" s="205" t="s">
        <v>314</v>
      </c>
      <c r="B73" s="173"/>
      <c r="D73" s="173"/>
      <c r="E73" s="173"/>
      <c r="F73" s="204"/>
      <c r="H73" s="204"/>
      <c r="I73" s="204"/>
      <c r="AQ73" s="207"/>
      <c r="AR73" s="207"/>
      <c r="AS73" s="207"/>
    </row>
    <row r="74" spans="1:61" x14ac:dyDescent="0.25">
      <c r="A74" s="203" t="s">
        <v>315</v>
      </c>
      <c r="D74" s="204"/>
      <c r="F74" s="206"/>
      <c r="H74" s="206"/>
      <c r="I74" s="206"/>
      <c r="AQ74" s="207"/>
      <c r="AR74" s="207"/>
      <c r="AS74" s="207"/>
    </row>
    <row r="75" spans="1:61" x14ac:dyDescent="0.25">
      <c r="A75" s="203" t="s">
        <v>316</v>
      </c>
      <c r="D75" s="204"/>
      <c r="F75" s="206"/>
      <c r="H75" s="206"/>
      <c r="I75" s="206"/>
      <c r="AQ75" s="207"/>
      <c r="AR75" s="207"/>
      <c r="AS75" s="207"/>
    </row>
    <row r="76" spans="1:61" x14ac:dyDescent="0.25">
      <c r="A76" s="203"/>
      <c r="AQ76" s="207"/>
      <c r="AR76" s="207"/>
      <c r="AS76" s="207"/>
    </row>
    <row r="77" spans="1:61" x14ac:dyDescent="0.25">
      <c r="C77" s="190">
        <f>SUMPRODUCT( L8:L13, Y8:Y13 ) / L14</f>
        <v>18.866666666666667</v>
      </c>
      <c r="E77" s="191"/>
      <c r="G77" s="353"/>
      <c r="J77" s="173"/>
      <c r="K77" s="173"/>
      <c r="AQ77" s="207"/>
      <c r="AR77" s="207"/>
      <c r="AS77" s="207"/>
      <c r="AT77" s="173"/>
      <c r="BF77" s="173"/>
      <c r="BG77" s="173"/>
      <c r="BH77" s="173"/>
      <c r="BI77" s="173"/>
    </row>
    <row r="78" spans="1:61" s="173" customFormat="1" ht="13.8" x14ac:dyDescent="0.2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168"/>
      <c r="AR78" s="168"/>
      <c r="AS78" s="168"/>
      <c r="AT78" s="168"/>
      <c r="BF78" s="168"/>
      <c r="BG78" s="168"/>
      <c r="BH78" s="168"/>
      <c r="BI78" s="168"/>
    </row>
  </sheetData>
  <sortState ref="AQ7:AT50">
    <sortCondition ref="AQ7:AQ50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307" priority="31" stopIfTrue="1">
      <formula>IF( $AH7 = 1, TRUE, FALSE )</formula>
    </cfRule>
    <cfRule type="expression" dxfId="1306" priority="32" stopIfTrue="1">
      <formula>IF( $AG7 = 1, TRUE, FALSE )</formula>
    </cfRule>
    <cfRule type="expression" dxfId="1305" priority="33" stopIfTrue="1">
      <formula>IF( $AF7 = 1, TRUE, FALSE )</formula>
    </cfRule>
  </conditionalFormatting>
  <conditionalFormatting sqref="A67:E67">
    <cfRule type="expression" dxfId="1304" priority="34" stopIfTrue="1">
      <formula>IF( $AH67 = 1, TRUE, FALSE )</formula>
    </cfRule>
    <cfRule type="expression" dxfId="1303" priority="35" stopIfTrue="1">
      <formula>IF( $AG67 = 1, TRUE, FALSE )</formula>
    </cfRule>
    <cfRule type="expression" dxfId="1302" priority="36" stopIfTrue="1">
      <formula>IF( $AF67 = 1, TRUE, FALSE )</formula>
    </cfRule>
  </conditionalFormatting>
  <conditionalFormatting sqref="A66:E66">
    <cfRule type="expression" dxfId="1301" priority="28" stopIfTrue="1">
      <formula>IF( $AH66 = 1, TRUE, FALSE )</formula>
    </cfRule>
    <cfRule type="expression" dxfId="1300" priority="29" stopIfTrue="1">
      <formula>IF( $AG66 = 1, TRUE, FALSE )</formula>
    </cfRule>
    <cfRule type="expression" dxfId="1299" priority="30" stopIfTrue="1">
      <formula>IF( $AF66 = 1, TRUE, FALSE )</formula>
    </cfRule>
  </conditionalFormatting>
  <conditionalFormatting sqref="A8:D33 B7:D7 A35:D58">
    <cfRule type="expression" dxfId="1298" priority="25" stopIfTrue="1">
      <formula>IF( $AH7 = 1, TRUE, FALSE )</formula>
    </cfRule>
    <cfRule type="expression" dxfId="1297" priority="26" stopIfTrue="1">
      <formula>IF( $AG7 = 1, TRUE, FALSE )</formula>
    </cfRule>
    <cfRule type="expression" dxfId="1296" priority="27" stopIfTrue="1">
      <formula>IF( $AF7 = 1, TRUE, FALSE )</formula>
    </cfRule>
  </conditionalFormatting>
  <conditionalFormatting sqref="A59:D59">
    <cfRule type="expression" dxfId="1295" priority="22" stopIfTrue="1">
      <formula>IF( $AH59 = 1, TRUE, FALSE )</formula>
    </cfRule>
    <cfRule type="expression" dxfId="1294" priority="23" stopIfTrue="1">
      <formula>IF( $AG59 = 1, TRUE, FALSE )</formula>
    </cfRule>
    <cfRule type="expression" dxfId="1293" priority="24" stopIfTrue="1">
      <formula>IF( $AF59 = 1, TRUE, FALSE )</formula>
    </cfRule>
  </conditionalFormatting>
  <conditionalFormatting sqref="A61:D65">
    <cfRule type="expression" dxfId="1292" priority="19" stopIfTrue="1">
      <formula>IF( $AH61 = 1, TRUE, FALSE )</formula>
    </cfRule>
    <cfRule type="expression" dxfId="1291" priority="20" stopIfTrue="1">
      <formula>IF( $AG61 = 1, TRUE, FALSE )</formula>
    </cfRule>
    <cfRule type="expression" dxfId="1290" priority="21" stopIfTrue="1">
      <formula>IF( $AF61 = 1, TRUE, FALSE )</formula>
    </cfRule>
  </conditionalFormatting>
  <conditionalFormatting sqref="U8:U12">
    <cfRule type="cellIs" dxfId="1289" priority="18" operator="equal">
      <formula>0</formula>
    </cfRule>
  </conditionalFormatting>
  <conditionalFormatting sqref="O8:O12 Q8:Q12">
    <cfRule type="cellIs" dxfId="1288" priority="17" operator="equal">
      <formula>0</formula>
    </cfRule>
  </conditionalFormatting>
  <conditionalFormatting sqref="V8:V12">
    <cfRule type="cellIs" dxfId="1287" priority="16" operator="equal">
      <formula>0</formula>
    </cfRule>
  </conditionalFormatting>
  <conditionalFormatting sqref="S8:S12">
    <cfRule type="cellIs" dxfId="1286" priority="14" operator="equal">
      <formula>0</formula>
    </cfRule>
  </conditionalFormatting>
  <conditionalFormatting sqref="R8:R12">
    <cfRule type="cellIs" dxfId="1285" priority="15" operator="equal">
      <formula>0</formula>
    </cfRule>
  </conditionalFormatting>
  <conditionalFormatting sqref="P8:P12">
    <cfRule type="cellIs" dxfId="1284" priority="13" operator="equal">
      <formula>0</formula>
    </cfRule>
  </conditionalFormatting>
  <conditionalFormatting sqref="M8:M12">
    <cfRule type="cellIs" dxfId="1283" priority="12" operator="equal">
      <formula>0</formula>
    </cfRule>
  </conditionalFormatting>
  <conditionalFormatting sqref="T8:T12">
    <cfRule type="cellIs" dxfId="1282" priority="11" operator="equal">
      <formula>0</formula>
    </cfRule>
  </conditionalFormatting>
  <conditionalFormatting sqref="N8:N12">
    <cfRule type="cellIs" dxfId="1281" priority="10" operator="equal">
      <formula>0</formula>
    </cfRule>
  </conditionalFormatting>
  <conditionalFormatting sqref="K8:K12">
    <cfRule type="cellIs" dxfId="1280" priority="9" operator="equal">
      <formula>0</formula>
    </cfRule>
  </conditionalFormatting>
  <conditionalFormatting sqref="I8:I12">
    <cfRule type="cellIs" dxfId="1279" priority="8" operator="equal">
      <formula>0</formula>
    </cfRule>
  </conditionalFormatting>
  <conditionalFormatting sqref="W8:W12">
    <cfRule type="cellIs" dxfId="1278" priority="7" operator="equal">
      <formula>0</formula>
    </cfRule>
  </conditionalFormatting>
  <conditionalFormatting sqref="A7">
    <cfRule type="expression" dxfId="1277" priority="4" stopIfTrue="1">
      <formula>IF( $AH7 = 1, TRUE, FALSE )</formula>
    </cfRule>
    <cfRule type="expression" dxfId="1276" priority="5" stopIfTrue="1">
      <formula>IF( $AG7 = 1, TRUE, FALSE )</formula>
    </cfRule>
    <cfRule type="expression" dxfId="1275" priority="6" stopIfTrue="1">
      <formula>IF( $AF7 = 1, TRUE, FALSE )</formula>
    </cfRule>
  </conditionalFormatting>
  <conditionalFormatting sqref="A34:D34">
    <cfRule type="expression" dxfId="1274" priority="1" stopIfTrue="1">
      <formula>IF( $AH34 = 1, TRUE, FALSE )</formula>
    </cfRule>
    <cfRule type="expression" dxfId="1273" priority="2" stopIfTrue="1">
      <formula>IF( $AG34 = 1, TRUE, FALSE )</formula>
    </cfRule>
    <cfRule type="expression" dxfId="1272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hidden="1" customWidth="1" outlineLevel="1"/>
    <col min="23" max="23" width="2" style="168" hidden="1" customWidth="1" outlineLevel="1"/>
    <col min="24" max="24" width="4.109375" style="168" customWidth="1" collapsed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15.88671875" style="169" hidden="1" customWidth="1" outlineLevel="1" collapsed="1"/>
    <col min="37" max="38" width="15.88671875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-- 2020 Q1</v>
      </c>
      <c r="G1" s="175" t="s">
        <v>195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 x14ac:dyDescent="0.25">
      <c r="A2" s="167"/>
      <c r="E2" s="171" t="str">
        <f>G2</f>
        <v>Reg_Percent_2019</v>
      </c>
      <c r="G2" s="172" t="s">
        <v>323</v>
      </c>
      <c r="AJ2" s="173" t="str">
        <f>AJ4 &amp; AJ3</f>
        <v>'Credit_2019Q4'!d:d</v>
      </c>
      <c r="AK2" s="173" t="str">
        <f>AK4 &amp; AK3</f>
        <v>'Credit_2019Q4'!b1</v>
      </c>
      <c r="AL2" s="173" t="str">
        <f>AL4 &amp; AL3</f>
        <v>'Credit_2019Q4'!c1</v>
      </c>
      <c r="AQ2" s="169"/>
    </row>
    <row r="3" spans="1:61" ht="18" hidden="1" outlineLevel="1" x14ac:dyDescent="0.25">
      <c r="A3" s="167"/>
      <c r="E3" s="174" t="str">
        <f>"'" &amp; E2 &amp; "'!"</f>
        <v>'Reg_Percent_2019'!</v>
      </c>
      <c r="G3" s="168" t="str">
        <f>"'" &amp; G2 &amp; "'!"</f>
        <v>'Reg_Percent_2019'!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205</v>
      </c>
      <c r="AK3" s="149" t="s">
        <v>206</v>
      </c>
      <c r="AL3" s="149" t="s">
        <v>207</v>
      </c>
      <c r="AQ3" s="169"/>
    </row>
    <row r="4" spans="1:61" ht="18" hidden="1" outlineLevel="1" x14ac:dyDescent="0.25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>$AQ$5</f>
        <v>'Credit_2019Q4'!</v>
      </c>
      <c r="AK4" s="169" t="str">
        <f t="shared" ref="AK4:AL4" si="0">$AQ$5</f>
        <v>'Credit_2019Q4'!</v>
      </c>
      <c r="AL4" s="169" t="str">
        <f t="shared" si="0"/>
        <v>'Credit_2019Q4'!</v>
      </c>
      <c r="AQ4" s="169"/>
    </row>
    <row r="5" spans="1:61" ht="13.8" collapsed="1" x14ac:dyDescent="0.25">
      <c r="E5" s="176" t="s">
        <v>209</v>
      </c>
      <c r="G5" s="170" t="s">
        <v>199</v>
      </c>
      <c r="I5" s="230"/>
      <c r="J5" s="389" t="s">
        <v>210</v>
      </c>
      <c r="K5" s="230"/>
      <c r="L5" s="391" t="str">
        <f>"All Companies" &amp; CHAR( 10 ) &amp; "("&amp; L14 &amp; ")"</f>
        <v>All Companies
(44)</v>
      </c>
      <c r="M5" s="391"/>
      <c r="N5" s="230"/>
      <c r="O5" s="389" t="str">
        <f ca="1">"Regulated" &amp; CHAR( 10 ) &amp; "(" &amp; O14 &amp; ")"</f>
        <v>Regulated
(34)</v>
      </c>
      <c r="P5" s="393"/>
      <c r="Q5" s="230"/>
      <c r="R5" s="389" t="str">
        <f ca="1">"Mostly Regulated" &amp; CHAR( 10 ) &amp; "(" &amp; R14 &amp; ")"</f>
        <v>Mostly Regulated
(10)</v>
      </c>
      <c r="S5" s="393"/>
      <c r="T5" s="230"/>
      <c r="U5" s="389" t="str">
        <f ca="1">"Diversified" &amp; CHAR( 10 ) &amp; "(" &amp; U14 &amp; ")"</f>
        <v>Diversified
(0)</v>
      </c>
      <c r="V5" s="393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332</v>
      </c>
    </row>
    <row r="6" spans="1:61" ht="28.5" customHeight="1" x14ac:dyDescent="0.25">
      <c r="A6" s="219" t="s">
        <v>212</v>
      </c>
      <c r="B6" s="220" t="s">
        <v>333</v>
      </c>
      <c r="C6" s="249" t="s">
        <v>214</v>
      </c>
      <c r="D6" s="221"/>
      <c r="E6" s="222">
        <f ca="1">INDIRECT( E3 &amp; G1 )</f>
        <v>43830</v>
      </c>
      <c r="I6" s="231"/>
      <c r="J6" s="390"/>
      <c r="K6" s="231"/>
      <c r="L6" s="392"/>
      <c r="M6" s="392"/>
      <c r="N6" s="231"/>
      <c r="O6" s="390"/>
      <c r="P6" s="390"/>
      <c r="Q6" s="231"/>
      <c r="R6" s="390" t="s">
        <v>136</v>
      </c>
      <c r="S6" s="390"/>
      <c r="T6" s="231"/>
      <c r="U6" s="390"/>
      <c r="V6" s="390"/>
      <c r="W6" s="231"/>
      <c r="AE6" s="178"/>
      <c r="AJ6" s="179"/>
    </row>
    <row r="7" spans="1:61" ht="13.8" x14ac:dyDescent="0.25">
      <c r="A7" s="223" t="s">
        <v>215</v>
      </c>
      <c r="B7" s="224" t="s">
        <v>166</v>
      </c>
      <c r="C7" s="224">
        <v>21</v>
      </c>
      <c r="D7" s="224" t="s">
        <v>216</v>
      </c>
      <c r="E7" s="225" t="str">
        <f ca="1">IF( LEN( $G7 ) = 0, "", OFFSET( INDIRECT( E$3 &amp; E$4 ), $G7 - 1, 0 ) )</f>
        <v>MR</v>
      </c>
      <c r="F7" s="348"/>
      <c r="G7" s="349">
        <f t="shared" ref="G7:G62" ca="1" si="1">IF( LEN( $D7 ) = 0, "", MATCH( $D7, INDIRECT( G$3 &amp; G$4 ), 0 ) )</f>
        <v>56</v>
      </c>
      <c r="H7" s="350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217</v>
      </c>
      <c r="AR7" s="207" t="s">
        <v>140</v>
      </c>
      <c r="AS7" s="207">
        <v>19</v>
      </c>
      <c r="AT7" s="207" t="s">
        <v>218</v>
      </c>
      <c r="AV7" s="168">
        <f>IF( LEN( AS7 ) = 0, 99, RANK( AS7, $AS$7:$AS$63 ) )</f>
        <v>14</v>
      </c>
      <c r="AW7" s="168">
        <f>COUNTIF( AV7:AV$7, AV7 )</f>
        <v>1</v>
      </c>
      <c r="AX7" s="208">
        <f>AV7 + AW7 / 10</f>
        <v>14.1</v>
      </c>
      <c r="AY7" s="168">
        <f>RANK( AX7, $AX$7:$AX$63, 1 )</f>
        <v>14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7</v>
      </c>
      <c r="BF7" s="173" t="str">
        <f t="shared" ref="BF7:BI38" ca="1" si="7">OFFSET( AQ$6, $BD7, 0 )</f>
        <v>Berkshire Energy Holdings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**BRK</v>
      </c>
    </row>
    <row r="8" spans="1:61" ht="13.8" x14ac:dyDescent="0.25">
      <c r="A8" s="223" t="s">
        <v>219</v>
      </c>
      <c r="B8" s="224" t="s">
        <v>139</v>
      </c>
      <c r="C8" s="224">
        <v>20</v>
      </c>
      <c r="D8" s="224" t="s">
        <v>220</v>
      </c>
      <c r="E8" s="225" t="str">
        <f t="shared" ref="E8:E61" ca="1" si="8">IF( LEN( $G8 ) = 0, "", OFFSET( INDIRECT( E$3 &amp; E$4 ), $G8 - 1, 0 ) )</f>
        <v>R</v>
      </c>
      <c r="F8" s="348"/>
      <c r="G8" s="349">
        <f t="shared" ca="1" si="1"/>
        <v>8</v>
      </c>
      <c r="H8" s="350"/>
      <c r="I8" s="233"/>
      <c r="J8" s="213" t="s">
        <v>137</v>
      </c>
      <c r="K8" s="233"/>
      <c r="L8" s="213">
        <f t="shared" ref="L8:L13" si="9">COUNTIF($C$7:$C$67,$X8)</f>
        <v>2</v>
      </c>
      <c r="M8" s="214">
        <f t="shared" ref="M8:M13" si="10">IF( L8 = 0, "", L8/L$14 )</f>
        <v>4.5454545454545456E-2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2.9411764705882353E-2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0.1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7">SUM(O8, R8, U8)</f>
        <v>2</v>
      </c>
      <c r="AC8" s="351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4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ref="AV8:AV63" si="21">IF( LEN( AS8 ) = 0, 99, RANK( AS8, $AS$7:$AS$63 ) )</f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ref="AY8:AY63" si="23">RANK( AX8, $AX$7:$AX$63, 1 )</f>
        <v>2</v>
      </c>
      <c r="AZ8" s="169"/>
      <c r="BA8" s="169"/>
      <c r="BC8" s="168">
        <f ca="1">OFFSET( BC8, -1, 0 ) + 1</f>
        <v>2</v>
      </c>
      <c r="BD8" s="209">
        <f t="shared" ca="1" si="6"/>
        <v>2</v>
      </c>
      <c r="BF8" s="173" t="str">
        <f t="shared" ca="1" si="7"/>
        <v>Alliant Energy Corporation</v>
      </c>
      <c r="BG8" s="173" t="str">
        <f t="shared" ca="1" si="7"/>
        <v>A-</v>
      </c>
      <c r="BH8" s="173">
        <f t="shared" ca="1" si="7"/>
        <v>20</v>
      </c>
      <c r="BI8" s="173" t="str">
        <f t="shared" ca="1" si="7"/>
        <v>LNT</v>
      </c>
    </row>
    <row r="9" spans="1:61" ht="13.8" x14ac:dyDescent="0.25">
      <c r="A9" s="223" t="s">
        <v>222</v>
      </c>
      <c r="B9" s="224" t="s">
        <v>139</v>
      </c>
      <c r="C9" s="224">
        <v>20</v>
      </c>
      <c r="D9" s="224" t="s">
        <v>223</v>
      </c>
      <c r="E9" s="225" t="str">
        <f t="shared" ca="1" si="8"/>
        <v>R</v>
      </c>
      <c r="F9" s="348"/>
      <c r="G9" s="349">
        <f t="shared" ca="1" si="1"/>
        <v>10</v>
      </c>
      <c r="H9" s="350"/>
      <c r="I9" s="234"/>
      <c r="J9" s="215" t="s">
        <v>139</v>
      </c>
      <c r="K9" s="234"/>
      <c r="L9" s="215">
        <f t="shared" si="9"/>
        <v>12</v>
      </c>
      <c r="M9" s="216">
        <f t="shared" si="10"/>
        <v>0.27272727272727271</v>
      </c>
      <c r="N9" s="234"/>
      <c r="O9" s="215">
        <f t="shared" ca="1" si="11"/>
        <v>11</v>
      </c>
      <c r="P9" s="216">
        <f t="shared" ca="1" si="12"/>
        <v>0.3235294117647059</v>
      </c>
      <c r="Q9" s="234"/>
      <c r="R9" s="215">
        <f t="shared" ca="1" si="13"/>
        <v>1</v>
      </c>
      <c r="S9" s="216">
        <f t="shared" ca="1" si="14"/>
        <v>0.1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7"/>
        <v>12</v>
      </c>
      <c r="AC9" s="351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si="21"/>
        <v>14</v>
      </c>
      <c r="AW9" s="168">
        <f>COUNTIF( AV$7:AV9, AV9 )</f>
        <v>2</v>
      </c>
      <c r="AX9" s="208">
        <f t="shared" si="22"/>
        <v>14.2</v>
      </c>
      <c r="AY9" s="168">
        <f t="shared" si="23"/>
        <v>15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4</v>
      </c>
      <c r="BF9" s="173" t="str">
        <f t="shared" ca="1" si="7"/>
        <v>American Electric Power Company, Inc.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AEP</v>
      </c>
    </row>
    <row r="10" spans="1:61" ht="13.8" x14ac:dyDescent="0.25">
      <c r="A10" s="223" t="s">
        <v>227</v>
      </c>
      <c r="B10" s="224" t="s">
        <v>139</v>
      </c>
      <c r="C10" s="224">
        <v>20</v>
      </c>
      <c r="D10" s="224" t="s">
        <v>228</v>
      </c>
      <c r="E10" s="225" t="str">
        <f t="shared" ca="1" si="8"/>
        <v>R</v>
      </c>
      <c r="F10" s="348"/>
      <c r="G10" s="349">
        <f t="shared" ca="1" si="1"/>
        <v>16</v>
      </c>
      <c r="H10" s="350"/>
      <c r="I10" s="234"/>
      <c r="J10" s="215" t="s">
        <v>140</v>
      </c>
      <c r="K10" s="234"/>
      <c r="L10" s="215">
        <f t="shared" si="9"/>
        <v>18</v>
      </c>
      <c r="M10" s="216">
        <f t="shared" si="10"/>
        <v>0.40909090909090912</v>
      </c>
      <c r="N10" s="234"/>
      <c r="O10" s="215">
        <f t="shared" ca="1" si="11"/>
        <v>11</v>
      </c>
      <c r="P10" s="216">
        <f t="shared" ca="1" si="12"/>
        <v>0.3235294117647059</v>
      </c>
      <c r="Q10" s="234"/>
      <c r="R10" s="215">
        <f t="shared" ca="1" si="13"/>
        <v>7</v>
      </c>
      <c r="S10" s="216">
        <f t="shared" ca="1" si="14"/>
        <v>0.7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229</v>
      </c>
      <c r="Y10" s="186">
        <v>19</v>
      </c>
      <c r="Z10" s="186">
        <v>1</v>
      </c>
      <c r="AA10" s="185">
        <f t="shared" ca="1" si="17"/>
        <v>18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222</v>
      </c>
      <c r="AR10" s="207" t="s">
        <v>139</v>
      </c>
      <c r="AS10" s="207">
        <v>20</v>
      </c>
      <c r="AT10" s="207" t="s">
        <v>223</v>
      </c>
      <c r="AV10" s="168">
        <f t="shared" si="21"/>
        <v>2</v>
      </c>
      <c r="AW10" s="168">
        <f>COUNTIF( AV$7:AV10, AV10 )</f>
        <v>2</v>
      </c>
      <c r="AX10" s="208">
        <f t="shared" si="22"/>
        <v>2.2000000000000002</v>
      </c>
      <c r="AY10" s="168">
        <f t="shared" si="23"/>
        <v>3</v>
      </c>
      <c r="AZ10" s="169"/>
      <c r="BA10" s="169"/>
      <c r="BC10" s="168">
        <f t="shared" ca="1" si="24"/>
        <v>4</v>
      </c>
      <c r="BD10" s="209">
        <f t="shared" ca="1" si="6"/>
        <v>12</v>
      </c>
      <c r="BF10" s="173" t="str">
        <f t="shared" ca="1" si="7"/>
        <v>Consolidated Edison,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ED</v>
      </c>
    </row>
    <row r="11" spans="1:61" ht="13.8" x14ac:dyDescent="0.25">
      <c r="A11" s="223" t="s">
        <v>263</v>
      </c>
      <c r="B11" s="224" t="s">
        <v>139</v>
      </c>
      <c r="C11" s="224">
        <v>20</v>
      </c>
      <c r="D11" s="224" t="s">
        <v>264</v>
      </c>
      <c r="E11" s="225" t="str">
        <f t="shared" ca="1" si="8"/>
        <v>R</v>
      </c>
      <c r="F11" s="348"/>
      <c r="G11" s="349">
        <f t="shared" ca="1" si="1"/>
        <v>19</v>
      </c>
      <c r="H11" s="350"/>
      <c r="I11" s="234"/>
      <c r="J11" s="215" t="s">
        <v>141</v>
      </c>
      <c r="K11" s="234"/>
      <c r="L11" s="215">
        <f t="shared" si="9"/>
        <v>8</v>
      </c>
      <c r="M11" s="216">
        <f t="shared" si="10"/>
        <v>0.18181818181818182</v>
      </c>
      <c r="N11" s="234"/>
      <c r="O11" s="215">
        <f t="shared" ca="1" si="11"/>
        <v>8</v>
      </c>
      <c r="P11" s="216">
        <f t="shared" ca="1" si="12"/>
        <v>0.23529411764705882</v>
      </c>
      <c r="Q11" s="234"/>
      <c r="R11" s="215">
        <f t="shared" ca="1" si="13"/>
        <v>0</v>
      </c>
      <c r="S11" s="216" t="str">
        <f t="shared" ca="1" si="14"/>
        <v/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7"/>
        <v>8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233</v>
      </c>
      <c r="AR11" s="207" t="s">
        <v>140</v>
      </c>
      <c r="AS11" s="207">
        <v>19</v>
      </c>
      <c r="AT11" s="207" t="s">
        <v>234</v>
      </c>
      <c r="AV11" s="168">
        <f t="shared" si="21"/>
        <v>14</v>
      </c>
      <c r="AW11" s="168">
        <f>COUNTIF( AV$7:AV11, AV11 )</f>
        <v>3</v>
      </c>
      <c r="AX11" s="208">
        <f t="shared" si="22"/>
        <v>14.3</v>
      </c>
      <c r="AY11" s="168">
        <f t="shared" si="23"/>
        <v>16</v>
      </c>
      <c r="AZ11" s="169"/>
      <c r="BA11" s="169"/>
      <c r="BC11" s="168">
        <f t="shared" ca="1" si="24"/>
        <v>5</v>
      </c>
      <c r="BD11" s="209">
        <f t="shared" ca="1" si="6"/>
        <v>16</v>
      </c>
      <c r="BF11" s="173" t="str">
        <f t="shared" ca="1" si="7"/>
        <v>Duke Energy Corporation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DUK</v>
      </c>
    </row>
    <row r="12" spans="1:61" ht="13.8" x14ac:dyDescent="0.25">
      <c r="A12" s="223" t="s">
        <v>230</v>
      </c>
      <c r="B12" s="224" t="s">
        <v>139</v>
      </c>
      <c r="C12" s="224">
        <v>20</v>
      </c>
      <c r="D12" s="224" t="s">
        <v>231</v>
      </c>
      <c r="E12" s="225" t="str">
        <f t="shared" ca="1" si="8"/>
        <v>R</v>
      </c>
      <c r="F12" s="348"/>
      <c r="G12" s="349">
        <f t="shared" ca="1" si="1"/>
        <v>23</v>
      </c>
      <c r="H12" s="350"/>
      <c r="I12" s="234"/>
      <c r="J12" s="215" t="s">
        <v>142</v>
      </c>
      <c r="K12" s="234"/>
      <c r="L12" s="215">
        <f t="shared" si="9"/>
        <v>3</v>
      </c>
      <c r="M12" s="216">
        <f t="shared" si="10"/>
        <v>6.8181818181818177E-2</v>
      </c>
      <c r="N12" s="234"/>
      <c r="O12" s="215">
        <f t="shared" ca="1" si="11"/>
        <v>2</v>
      </c>
      <c r="P12" s="216">
        <f t="shared" ca="1" si="12"/>
        <v>5.8823529411764705E-2</v>
      </c>
      <c r="Q12" s="234"/>
      <c r="R12" s="215">
        <f t="shared" ca="1" si="13"/>
        <v>1</v>
      </c>
      <c r="S12" s="216">
        <f t="shared" ca="1" si="14"/>
        <v>0.1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237</v>
      </c>
      <c r="Y12" s="186">
        <v>17</v>
      </c>
      <c r="Z12" s="186">
        <v>1</v>
      </c>
      <c r="AA12" s="185">
        <f t="shared" ca="1" si="17"/>
        <v>3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238</v>
      </c>
      <c r="AR12" s="207" t="s">
        <v>141</v>
      </c>
      <c r="AS12" s="207">
        <v>18</v>
      </c>
      <c r="AT12" s="207" t="s">
        <v>239</v>
      </c>
      <c r="AV12" s="168">
        <f t="shared" si="21"/>
        <v>32</v>
      </c>
      <c r="AW12" s="168">
        <f>COUNTIF( AV$7:AV12, AV12 )</f>
        <v>1</v>
      </c>
      <c r="AX12" s="208">
        <f t="shared" si="22"/>
        <v>32.1</v>
      </c>
      <c r="AY12" s="168">
        <f t="shared" si="23"/>
        <v>32</v>
      </c>
      <c r="AZ12" s="169"/>
      <c r="BA12" s="169"/>
      <c r="BC12" s="168">
        <f t="shared" ca="1" si="24"/>
        <v>6</v>
      </c>
      <c r="BD12" s="209">
        <f t="shared" ca="1" si="6"/>
        <v>20</v>
      </c>
      <c r="BF12" s="173" t="str">
        <f t="shared" ca="1" si="7"/>
        <v>Evergy,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EVRG</v>
      </c>
    </row>
    <row r="13" spans="1:61" ht="13.8" x14ac:dyDescent="0.25">
      <c r="A13" s="223" t="s">
        <v>235</v>
      </c>
      <c r="B13" s="224" t="s">
        <v>139</v>
      </c>
      <c r="C13" s="224">
        <v>20</v>
      </c>
      <c r="D13" s="224" t="s">
        <v>236</v>
      </c>
      <c r="E13" s="225" t="str">
        <f t="shared" ca="1" si="8"/>
        <v>R</v>
      </c>
      <c r="F13" s="348"/>
      <c r="G13" s="349">
        <f t="shared" ca="1" si="1"/>
        <v>24</v>
      </c>
      <c r="H13" s="350"/>
      <c r="I13" s="235"/>
      <c r="J13" s="217" t="s">
        <v>143</v>
      </c>
      <c r="K13" s="235"/>
      <c r="L13" s="217">
        <f t="shared" si="9"/>
        <v>1</v>
      </c>
      <c r="M13" s="218">
        <f t="shared" si="10"/>
        <v>2.2727272727272728E-2</v>
      </c>
      <c r="N13" s="235"/>
      <c r="O13" s="217">
        <f t="shared" ca="1" si="11"/>
        <v>1</v>
      </c>
      <c r="P13" s="218">
        <f t="shared" ca="1" si="12"/>
        <v>2.9411764705882353E-2</v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242</v>
      </c>
      <c r="Y13" s="186">
        <v>16</v>
      </c>
      <c r="Z13" s="186">
        <v>1</v>
      </c>
      <c r="AA13" s="188">
        <f t="shared" ca="1" si="17"/>
        <v>1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215</v>
      </c>
      <c r="AR13" s="207" t="s">
        <v>166</v>
      </c>
      <c r="AS13" s="207">
        <v>21</v>
      </c>
      <c r="AT13" s="207" t="s">
        <v>216</v>
      </c>
      <c r="AV13" s="168">
        <f t="shared" si="21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23"/>
        <v>1</v>
      </c>
      <c r="AZ13" s="169"/>
      <c r="BA13" s="169"/>
      <c r="BC13" s="168">
        <f t="shared" ca="1" si="24"/>
        <v>7</v>
      </c>
      <c r="BD13" s="209">
        <f t="shared" ca="1" si="6"/>
        <v>21</v>
      </c>
      <c r="BF13" s="173" t="str">
        <f t="shared" ca="1" si="7"/>
        <v>Eversource Energy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ES</v>
      </c>
    </row>
    <row r="14" spans="1:61" ht="13.8" x14ac:dyDescent="0.25">
      <c r="A14" s="223" t="s">
        <v>240</v>
      </c>
      <c r="B14" s="224" t="s">
        <v>139</v>
      </c>
      <c r="C14" s="224">
        <v>20</v>
      </c>
      <c r="D14" s="224" t="s">
        <v>241</v>
      </c>
      <c r="E14" s="225" t="str">
        <f t="shared" ca="1" si="8"/>
        <v>MR</v>
      </c>
      <c r="F14" s="348"/>
      <c r="G14" s="349">
        <f t="shared" ca="1" si="1"/>
        <v>31</v>
      </c>
      <c r="H14" s="350"/>
      <c r="I14" s="236"/>
      <c r="J14" s="211" t="s">
        <v>144</v>
      </c>
      <c r="K14" s="236"/>
      <c r="L14" s="211">
        <f>SUM(L8:L13)</f>
        <v>44</v>
      </c>
      <c r="M14" s="212">
        <f>L14/L$14</f>
        <v>1</v>
      </c>
      <c r="N14" s="236"/>
      <c r="O14" s="211">
        <f ca="1">SUM(O8:O13)</f>
        <v>34</v>
      </c>
      <c r="P14" s="212">
        <f ca="1">O14/O$14</f>
        <v>1</v>
      </c>
      <c r="Q14" s="236"/>
      <c r="R14" s="211">
        <f ca="1">SUM(R8:R13)</f>
        <v>10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18.977272727272727</v>
      </c>
      <c r="Z14" s="190"/>
      <c r="AA14" s="189">
        <f ca="1">SUM(AA8:AA13)</f>
        <v>44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245</v>
      </c>
      <c r="AR14" s="207" t="s">
        <v>140</v>
      </c>
      <c r="AS14" s="207">
        <v>19</v>
      </c>
      <c r="AT14" s="207" t="s">
        <v>246</v>
      </c>
      <c r="AV14" s="168">
        <f>IF( LEN( AS14 ) = 0, 99, RANK( AS14, $AS$7:$AS$63 ) )</f>
        <v>14</v>
      </c>
      <c r="AW14" s="168">
        <f>COUNTIF( AV$7:AV14, AV14 )</f>
        <v>4</v>
      </c>
      <c r="AX14" s="208">
        <f t="shared" si="22"/>
        <v>14.4</v>
      </c>
      <c r="AY14" s="168">
        <f t="shared" si="23"/>
        <v>17</v>
      </c>
      <c r="AZ14" s="169"/>
      <c r="BA14" s="169"/>
      <c r="BC14" s="168">
        <f t="shared" ca="1" si="24"/>
        <v>8</v>
      </c>
      <c r="BD14" s="209">
        <f t="shared" ca="1" si="6"/>
        <v>28</v>
      </c>
      <c r="BF14" s="173" t="str">
        <f t="shared" ca="1" si="7"/>
        <v>NextEra Energy,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NEE</v>
      </c>
    </row>
    <row r="15" spans="1:61" ht="13.8" x14ac:dyDescent="0.25">
      <c r="A15" s="223" t="s">
        <v>281</v>
      </c>
      <c r="B15" s="224" t="s">
        <v>139</v>
      </c>
      <c r="C15" s="224">
        <v>20</v>
      </c>
      <c r="D15" s="224" t="s">
        <v>282</v>
      </c>
      <c r="E15" s="225" t="str">
        <f t="shared" ca="1" si="8"/>
        <v>R</v>
      </c>
      <c r="F15" s="348"/>
      <c r="G15" s="349">
        <f t="shared" ca="1" si="1"/>
        <v>37</v>
      </c>
      <c r="H15" s="350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249</v>
      </c>
      <c r="AR15" s="207" t="s">
        <v>140</v>
      </c>
      <c r="AS15" s="207">
        <v>19</v>
      </c>
      <c r="AT15" s="207" t="s">
        <v>250</v>
      </c>
      <c r="AV15" s="168">
        <f t="shared" si="21"/>
        <v>14</v>
      </c>
      <c r="AW15" s="168">
        <f>COUNTIF( AV$7:AV15, AV15 )</f>
        <v>5</v>
      </c>
      <c r="AX15" s="208">
        <f t="shared" si="22"/>
        <v>14.5</v>
      </c>
      <c r="AY15" s="168">
        <f t="shared" si="23"/>
        <v>18</v>
      </c>
      <c r="AZ15" s="169"/>
      <c r="BA15" s="169"/>
      <c r="BC15" s="168">
        <f t="shared" ca="1" si="24"/>
        <v>9</v>
      </c>
      <c r="BD15" s="209">
        <f t="shared" ca="1" si="6"/>
        <v>34</v>
      </c>
      <c r="BF15" s="173" t="str">
        <f t="shared" ca="1" si="7"/>
        <v>Pinnacle West Capital Corporation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PNW</v>
      </c>
    </row>
    <row r="16" spans="1:61" ht="13.8" x14ac:dyDescent="0.25">
      <c r="A16" s="223" t="s">
        <v>243</v>
      </c>
      <c r="B16" s="224" t="s">
        <v>139</v>
      </c>
      <c r="C16" s="224">
        <v>20</v>
      </c>
      <c r="D16" s="224" t="s">
        <v>244</v>
      </c>
      <c r="E16" s="225" t="str">
        <f t="shared" ca="1" si="8"/>
        <v>R</v>
      </c>
      <c r="F16" s="348"/>
      <c r="G16" s="349">
        <f t="shared" ca="1" si="1"/>
        <v>40</v>
      </c>
      <c r="H16" s="350"/>
      <c r="I16" s="232"/>
      <c r="J16" s="210" t="s">
        <v>253</v>
      </c>
      <c r="K16" s="232"/>
      <c r="L16" s="386">
        <f t="array" ref="L16">SUM( IF( LEN( $C$7:$C$65 ) = 0, 0, $C$7:$C$65 ) ) / SUM( IF( LEN( $C$7:$C$65 ) = 0, 0, 1  ) )</f>
        <v>19</v>
      </c>
      <c r="M16" s="387"/>
      <c r="N16" s="232"/>
      <c r="O16" s="386">
        <f t="array" aca="1" ref="O16" ca="1">SUM( IF( LEN( $C$7:$C$65 ) = 0, 0, IF( $E$7:$E$65 = O3, $C$7:$C$65, 0 ) ) ) / SUM( IF( LEN( $C$7:$C$65 ) = 0, 0, IF( $E$7:$E$65 = O3, 1, 0 ) ) )</f>
        <v>18.970588235294116</v>
      </c>
      <c r="P16" s="387"/>
      <c r="Q16" s="232"/>
      <c r="R16" s="386">
        <f t="array" aca="1" ref="R16" ca="1">SUM( IF( LEN( $C$7:$C$65 ) = 0, 0, IF( $E$7:$E$65 = R3, $C$7:$C$65, 0 ) ) ) / SUM( IF( LEN( $C$7:$C$65 ) = 0, 0, IF( $E$7:$E$65 = R3, 1, 0 ) ) )</f>
        <v>19.100000000000001</v>
      </c>
      <c r="S16" s="387"/>
      <c r="T16" s="232"/>
      <c r="U16" s="386" t="e">
        <f t="array" aca="1" ref="U16" ca="1">SUM( IF( LEN( $C$7:$C$65 ) = 0, 0, IF( $E$7:$E$65 = U3, $C$7:$C$65, 0 ) ) ) / SUM( IF( LEN( $C$7:$C$65 ) = 0, 0, IF( $E$7:$E$65 = U3, 1, 0 ) ) )</f>
        <v>#DIV/0!</v>
      </c>
      <c r="V16" s="388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254</v>
      </c>
      <c r="AR16" s="207" t="s">
        <v>142</v>
      </c>
      <c r="AS16" s="207">
        <v>17</v>
      </c>
      <c r="AT16" s="207" t="s">
        <v>255</v>
      </c>
      <c r="AV16" s="168">
        <f t="shared" si="21"/>
        <v>40</v>
      </c>
      <c r="AW16" s="168">
        <f>COUNTIF( AV$7:AV16, AV16 )</f>
        <v>1</v>
      </c>
      <c r="AX16" s="208">
        <f t="shared" si="22"/>
        <v>40.1</v>
      </c>
      <c r="AY16" s="168">
        <f t="shared" si="23"/>
        <v>40</v>
      </c>
      <c r="AZ16" s="169"/>
      <c r="BA16" s="169"/>
      <c r="BC16" s="168">
        <f t="shared" ca="1" si="24"/>
        <v>10</v>
      </c>
      <c r="BD16" s="209">
        <f t="shared" ca="1" si="6"/>
        <v>37</v>
      </c>
      <c r="BF16" s="173" t="str">
        <f t="shared" ca="1" si="7"/>
        <v>PPL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PPL</v>
      </c>
    </row>
    <row r="17" spans="1:61" ht="13.8" x14ac:dyDescent="0.25">
      <c r="A17" s="223" t="s">
        <v>293</v>
      </c>
      <c r="B17" s="224" t="s">
        <v>139</v>
      </c>
      <c r="C17" s="224">
        <v>20</v>
      </c>
      <c r="D17" s="224" t="s">
        <v>294</v>
      </c>
      <c r="E17" s="225" t="str">
        <f t="shared" ca="1" si="8"/>
        <v>R</v>
      </c>
      <c r="F17" s="348"/>
      <c r="G17" s="349">
        <f t="shared" ca="1" si="1"/>
        <v>43</v>
      </c>
      <c r="H17" s="350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256</v>
      </c>
      <c r="AR17" s="207" t="s">
        <v>140</v>
      </c>
      <c r="AS17" s="207">
        <v>19</v>
      </c>
      <c r="AT17" s="207" t="s">
        <v>257</v>
      </c>
      <c r="AV17" s="168">
        <f t="shared" si="21"/>
        <v>14</v>
      </c>
      <c r="AW17" s="168">
        <f>COUNTIF( AV$7:AV17, AV17 )</f>
        <v>6</v>
      </c>
      <c r="AX17" s="208">
        <f t="shared" si="22"/>
        <v>14.6</v>
      </c>
      <c r="AY17" s="168">
        <f t="shared" si="23"/>
        <v>19</v>
      </c>
      <c r="AZ17" s="169"/>
      <c r="BA17" s="169"/>
      <c r="BC17" s="168">
        <f t="shared" ca="1" si="24"/>
        <v>11</v>
      </c>
      <c r="BD17" s="209">
        <f t="shared" ca="1" si="6"/>
        <v>41</v>
      </c>
      <c r="BF17" s="173" t="str">
        <f t="shared" ca="1" si="7"/>
        <v>Southern Company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SO</v>
      </c>
    </row>
    <row r="18" spans="1:61" ht="13.8" x14ac:dyDescent="0.25">
      <c r="A18" s="223" t="s">
        <v>247</v>
      </c>
      <c r="B18" s="224" t="s">
        <v>139</v>
      </c>
      <c r="C18" s="224">
        <v>20</v>
      </c>
      <c r="D18" s="224" t="s">
        <v>248</v>
      </c>
      <c r="E18" s="225" t="str">
        <f t="shared" ca="1" si="8"/>
        <v>R</v>
      </c>
      <c r="F18" s="348"/>
      <c r="G18" s="349">
        <f t="shared" ca="1" si="1"/>
        <v>45</v>
      </c>
      <c r="H18" s="350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227</v>
      </c>
      <c r="AR18" s="207" t="s">
        <v>139</v>
      </c>
      <c r="AS18" s="207">
        <v>20</v>
      </c>
      <c r="AT18" s="207" t="s">
        <v>228</v>
      </c>
      <c r="AV18" s="168">
        <f t="shared" si="21"/>
        <v>2</v>
      </c>
      <c r="AW18" s="168">
        <f>COUNTIF( AV$7:AV18, AV18 )</f>
        <v>3</v>
      </c>
      <c r="AX18" s="208">
        <f t="shared" si="22"/>
        <v>2.2999999999999998</v>
      </c>
      <c r="AY18" s="168">
        <f t="shared" si="23"/>
        <v>4</v>
      </c>
      <c r="AZ18" s="169"/>
      <c r="BA18" s="169"/>
      <c r="BC18" s="168">
        <f t="shared" ca="1" si="24"/>
        <v>12</v>
      </c>
      <c r="BD18" s="209">
        <f t="shared" ca="1" si="6"/>
        <v>43</v>
      </c>
      <c r="BF18" s="173" t="str">
        <f t="shared" ca="1" si="7"/>
        <v>Wisconsin Energy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WEC</v>
      </c>
    </row>
    <row r="19" spans="1:61" ht="13.8" x14ac:dyDescent="0.25">
      <c r="A19" s="223" t="s">
        <v>251</v>
      </c>
      <c r="B19" s="224" t="s">
        <v>139</v>
      </c>
      <c r="C19" s="224">
        <v>20</v>
      </c>
      <c r="D19" s="224" t="s">
        <v>252</v>
      </c>
      <c r="E19" s="225" t="str">
        <f t="shared" ca="1" si="8"/>
        <v>R</v>
      </c>
      <c r="F19" s="348"/>
      <c r="G19" s="349">
        <f t="shared" ca="1" si="1"/>
        <v>46</v>
      </c>
      <c r="H19" s="350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258</v>
      </c>
      <c r="AR19" s="207" t="s">
        <v>140</v>
      </c>
      <c r="AS19" s="207">
        <v>19</v>
      </c>
      <c r="AT19" s="207" t="s">
        <v>194</v>
      </c>
      <c r="AV19" s="168">
        <f t="shared" si="21"/>
        <v>14</v>
      </c>
      <c r="AW19" s="168">
        <f>COUNTIF( AV$7:AV19, AV19 )</f>
        <v>7</v>
      </c>
      <c r="AX19" s="208">
        <f t="shared" si="22"/>
        <v>14.7</v>
      </c>
      <c r="AY19" s="168">
        <f t="shared" si="23"/>
        <v>20</v>
      </c>
      <c r="AZ19" s="169"/>
      <c r="BA19" s="169"/>
      <c r="BC19" s="168">
        <f t="shared" ca="1" si="24"/>
        <v>13</v>
      </c>
      <c r="BD19" s="209">
        <f t="shared" ca="1" si="6"/>
        <v>44</v>
      </c>
      <c r="BF19" s="173" t="str">
        <f t="shared" ca="1" si="7"/>
        <v>Xcel Energy Inc.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XEL</v>
      </c>
    </row>
    <row r="20" spans="1:61" ht="13.8" x14ac:dyDescent="0.25">
      <c r="A20" s="223" t="s">
        <v>217</v>
      </c>
      <c r="B20" s="224" t="s">
        <v>140</v>
      </c>
      <c r="C20" s="224">
        <v>19</v>
      </c>
      <c r="D20" s="224" t="s">
        <v>218</v>
      </c>
      <c r="E20" s="225" t="str">
        <f t="shared" ca="1" si="8"/>
        <v>MR</v>
      </c>
      <c r="F20" s="348"/>
      <c r="G20" s="349">
        <f t="shared" ca="1" si="1"/>
        <v>7</v>
      </c>
      <c r="H20" s="350"/>
      <c r="I20" s="352"/>
      <c r="K20" s="352"/>
      <c r="N20" s="352"/>
      <c r="O20" s="173"/>
      <c r="Q20" s="352"/>
      <c r="T20" s="352"/>
      <c r="W20" s="352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4"/>
        <v/>
      </c>
      <c r="AQ20" s="207" t="s">
        <v>259</v>
      </c>
      <c r="AR20" s="207" t="s">
        <v>175</v>
      </c>
      <c r="AS20" s="207">
        <v>15</v>
      </c>
      <c r="AT20" s="207" t="s">
        <v>260</v>
      </c>
      <c r="AV20" s="168">
        <f t="shared" si="21"/>
        <v>43</v>
      </c>
      <c r="AW20" s="168">
        <f>COUNTIF( AV$7:AV20, AV20 )</f>
        <v>1</v>
      </c>
      <c r="AX20" s="208">
        <f t="shared" si="22"/>
        <v>43.1</v>
      </c>
      <c r="AY20" s="168">
        <f t="shared" si="23"/>
        <v>43</v>
      </c>
      <c r="AZ20" s="169"/>
      <c r="BA20" s="169"/>
      <c r="BC20" s="168">
        <f t="shared" ca="1" si="24"/>
        <v>14</v>
      </c>
      <c r="BD20" s="209">
        <f t="shared" ca="1" si="6"/>
        <v>1</v>
      </c>
      <c r="BF20" s="173" t="str">
        <f t="shared" ca="1" si="7"/>
        <v>ALLETE, Inc.</v>
      </c>
      <c r="BG20" s="173" t="str">
        <f t="shared" ca="1" si="7"/>
        <v>BBB+</v>
      </c>
      <c r="BH20" s="173">
        <f t="shared" ca="1" si="7"/>
        <v>19</v>
      </c>
      <c r="BI20" s="173" t="str">
        <f t="shared" ca="1" si="7"/>
        <v>ALE</v>
      </c>
    </row>
    <row r="21" spans="1:61" ht="13.8" x14ac:dyDescent="0.25">
      <c r="A21" s="223" t="s">
        <v>225</v>
      </c>
      <c r="B21" s="224" t="s">
        <v>140</v>
      </c>
      <c r="C21" s="224">
        <v>19</v>
      </c>
      <c r="D21" s="224" t="s">
        <v>226</v>
      </c>
      <c r="E21" s="225" t="str">
        <f t="shared" ca="1" si="8"/>
        <v>R</v>
      </c>
      <c r="F21" s="348"/>
      <c r="G21" s="349">
        <f t="shared" ca="1" si="1"/>
        <v>9</v>
      </c>
      <c r="H21" s="350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261</v>
      </c>
      <c r="AR21" s="207" t="s">
        <v>140</v>
      </c>
      <c r="AS21" s="207">
        <v>19</v>
      </c>
      <c r="AT21" s="207" t="s">
        <v>262</v>
      </c>
      <c r="AV21" s="168">
        <f t="shared" si="21"/>
        <v>14</v>
      </c>
      <c r="AW21" s="168">
        <f>COUNTIF( AV$7:AV21, AV21 )</f>
        <v>8</v>
      </c>
      <c r="AX21" s="208">
        <f t="shared" si="22"/>
        <v>14.8</v>
      </c>
      <c r="AY21" s="168">
        <f t="shared" si="23"/>
        <v>21</v>
      </c>
      <c r="AZ21" s="169"/>
      <c r="BA21" s="169"/>
      <c r="BC21" s="168">
        <f t="shared" ca="1" si="24"/>
        <v>15</v>
      </c>
      <c r="BD21" s="209">
        <f t="shared" ca="1" si="6"/>
        <v>3</v>
      </c>
      <c r="BF21" s="173" t="str">
        <f t="shared" ca="1" si="7"/>
        <v>Ameren Corporation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AEE</v>
      </c>
    </row>
    <row r="22" spans="1:61" ht="13.8" x14ac:dyDescent="0.25">
      <c r="A22" s="223" t="s">
        <v>233</v>
      </c>
      <c r="B22" s="224" t="s">
        <v>140</v>
      </c>
      <c r="C22" s="224">
        <v>19</v>
      </c>
      <c r="D22" s="224" t="s">
        <v>234</v>
      </c>
      <c r="E22" s="225" t="str">
        <f t="shared" ca="1" si="8"/>
        <v>MR</v>
      </c>
      <c r="F22" s="348"/>
      <c r="G22" s="349">
        <f t="shared" ca="1" si="1"/>
        <v>11</v>
      </c>
      <c r="H22" s="350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263</v>
      </c>
      <c r="AR22" s="207" t="s">
        <v>139</v>
      </c>
      <c r="AS22" s="207">
        <v>20</v>
      </c>
      <c r="AT22" s="207" t="s">
        <v>264</v>
      </c>
      <c r="AV22" s="168">
        <f t="shared" si="21"/>
        <v>2</v>
      </c>
      <c r="AW22" s="168">
        <f>COUNTIF( AV$7:AV22, AV22 )</f>
        <v>4</v>
      </c>
      <c r="AX22" s="208">
        <f t="shared" si="22"/>
        <v>2.4</v>
      </c>
      <c r="AY22" s="168">
        <f t="shared" si="23"/>
        <v>5</v>
      </c>
      <c r="AZ22" s="169"/>
      <c r="BA22" s="169"/>
      <c r="BC22" s="168">
        <f t="shared" ca="1" si="24"/>
        <v>16</v>
      </c>
      <c r="BD22" s="209">
        <f t="shared" ca="1" si="6"/>
        <v>5</v>
      </c>
      <c r="BF22" s="173" t="str">
        <f t="shared" ca="1" si="7"/>
        <v>AVANGRID, Inc.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AGR</v>
      </c>
    </row>
    <row r="23" spans="1:61" ht="13.8" x14ac:dyDescent="0.25">
      <c r="A23" s="223" t="s">
        <v>245</v>
      </c>
      <c r="B23" s="224" t="s">
        <v>140</v>
      </c>
      <c r="C23" s="224">
        <v>19</v>
      </c>
      <c r="D23" s="224" t="s">
        <v>246</v>
      </c>
      <c r="E23" s="225" t="str">
        <f t="shared" ca="1" si="8"/>
        <v>R</v>
      </c>
      <c r="F23" s="348"/>
      <c r="G23" s="349">
        <f t="shared" ca="1" si="1"/>
        <v>13</v>
      </c>
      <c r="H23" s="350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265</v>
      </c>
      <c r="AR23" s="207" t="s">
        <v>141</v>
      </c>
      <c r="AS23" s="207">
        <v>18</v>
      </c>
      <c r="AT23" s="207" t="s">
        <v>266</v>
      </c>
      <c r="AV23" s="168">
        <f t="shared" si="21"/>
        <v>32</v>
      </c>
      <c r="AW23" s="168">
        <f>COUNTIF( AV$7:AV23, AV23 )</f>
        <v>2</v>
      </c>
      <c r="AX23" s="208">
        <f t="shared" si="22"/>
        <v>32.200000000000003</v>
      </c>
      <c r="AY23" s="168">
        <f t="shared" si="23"/>
        <v>33</v>
      </c>
      <c r="AZ23" s="169"/>
      <c r="BA23" s="169"/>
      <c r="BC23" s="168">
        <f t="shared" ca="1" si="24"/>
        <v>17</v>
      </c>
      <c r="BD23" s="209">
        <f t="shared" ca="1" si="6"/>
        <v>8</v>
      </c>
      <c r="BF23" s="173" t="str">
        <f t="shared" ca="1" si="7"/>
        <v>Black Hills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BKH</v>
      </c>
    </row>
    <row r="24" spans="1:61" ht="13.8" x14ac:dyDescent="0.25">
      <c r="A24" s="223" t="s">
        <v>249</v>
      </c>
      <c r="B24" s="224" t="s">
        <v>140</v>
      </c>
      <c r="C24" s="224">
        <v>19</v>
      </c>
      <c r="D24" s="224" t="s">
        <v>250</v>
      </c>
      <c r="E24" s="225" t="str">
        <f t="shared" ca="1" si="8"/>
        <v>R</v>
      </c>
      <c r="F24" s="348"/>
      <c r="G24" s="349">
        <f t="shared" ca="1" si="1"/>
        <v>14</v>
      </c>
      <c r="H24" s="350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328</v>
      </c>
      <c r="AR24" s="207" t="s">
        <v>141</v>
      </c>
      <c r="AS24" s="207">
        <v>18</v>
      </c>
      <c r="AT24" s="207" t="s">
        <v>331</v>
      </c>
      <c r="AV24" s="168">
        <f t="shared" si="21"/>
        <v>32</v>
      </c>
      <c r="AW24" s="168">
        <f>COUNTIF( AV$7:AV24, AV24 )</f>
        <v>3</v>
      </c>
      <c r="AX24" s="208">
        <f t="shared" si="22"/>
        <v>32.299999999999997</v>
      </c>
      <c r="AY24" s="168">
        <f t="shared" si="23"/>
        <v>34</v>
      </c>
      <c r="AZ24" s="169"/>
      <c r="BA24" s="169"/>
      <c r="BC24" s="168">
        <f t="shared" ca="1" si="24"/>
        <v>18</v>
      </c>
      <c r="BD24" s="209">
        <f t="shared" ca="1" si="6"/>
        <v>9</v>
      </c>
      <c r="BF24" s="173" t="str">
        <f t="shared" ca="1" si="7"/>
        <v>CenterPoint Energy, Inc.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CNP</v>
      </c>
    </row>
    <row r="25" spans="1:61" ht="13.8" x14ac:dyDescent="0.25">
      <c r="A25" s="223" t="s">
        <v>256</v>
      </c>
      <c r="B25" s="224" t="s">
        <v>140</v>
      </c>
      <c r="C25" s="224">
        <v>19</v>
      </c>
      <c r="D25" s="224" t="s">
        <v>257</v>
      </c>
      <c r="E25" s="225" t="str">
        <f t="shared" ca="1" si="8"/>
        <v>R</v>
      </c>
      <c r="F25" s="348"/>
      <c r="G25" s="349">
        <f t="shared" ca="1" si="1"/>
        <v>15</v>
      </c>
      <c r="H25" s="350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267</v>
      </c>
      <c r="AR25" s="207" t="s">
        <v>140</v>
      </c>
      <c r="AS25" s="207">
        <v>19</v>
      </c>
      <c r="AT25" s="207" t="s">
        <v>268</v>
      </c>
      <c r="AV25" s="168">
        <f t="shared" si="21"/>
        <v>14</v>
      </c>
      <c r="AW25" s="168">
        <f>COUNTIF( AV$7:AV25, AV25 )</f>
        <v>9</v>
      </c>
      <c r="AX25" s="208">
        <f t="shared" si="22"/>
        <v>14.9</v>
      </c>
      <c r="AY25" s="168">
        <f t="shared" si="23"/>
        <v>22</v>
      </c>
      <c r="AZ25" s="169"/>
      <c r="BA25" s="169"/>
      <c r="BC25" s="168">
        <f t="shared" ca="1" si="24"/>
        <v>19</v>
      </c>
      <c r="BD25" s="209">
        <f t="shared" ca="1" si="6"/>
        <v>11</v>
      </c>
      <c r="BF25" s="173" t="str">
        <f t="shared" ca="1" si="7"/>
        <v>CMS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CMS</v>
      </c>
    </row>
    <row r="26" spans="1:61" ht="13.8" x14ac:dyDescent="0.25">
      <c r="A26" s="223" t="s">
        <v>258</v>
      </c>
      <c r="B26" s="224" t="s">
        <v>140</v>
      </c>
      <c r="C26" s="224">
        <v>19</v>
      </c>
      <c r="D26" s="224" t="s">
        <v>194</v>
      </c>
      <c r="E26" s="225" t="str">
        <f t="shared" ca="1" si="8"/>
        <v>R</v>
      </c>
      <c r="F26" s="348"/>
      <c r="G26" s="349">
        <f t="shared" ca="1" si="1"/>
        <v>17</v>
      </c>
      <c r="H26" s="350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230</v>
      </c>
      <c r="AR26" s="207" t="s">
        <v>139</v>
      </c>
      <c r="AS26" s="207">
        <v>20</v>
      </c>
      <c r="AT26" s="207" t="s">
        <v>231</v>
      </c>
      <c r="AV26" s="168">
        <f t="shared" si="21"/>
        <v>2</v>
      </c>
      <c r="AW26" s="168">
        <f>COUNTIF( AV$7:AV26, AV26 )</f>
        <v>5</v>
      </c>
      <c r="AX26" s="208">
        <f t="shared" si="22"/>
        <v>2.5</v>
      </c>
      <c r="AY26" s="168">
        <f t="shared" si="23"/>
        <v>6</v>
      </c>
      <c r="AZ26" s="169"/>
      <c r="BA26" s="169"/>
      <c r="BC26" s="168">
        <f t="shared" ca="1" si="24"/>
        <v>20</v>
      </c>
      <c r="BD26" s="209">
        <f t="shared" ca="1" si="6"/>
        <v>13</v>
      </c>
      <c r="BF26" s="173" t="str">
        <f t="shared" ca="1" si="7"/>
        <v>Dominion Energy, Inc.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</v>
      </c>
    </row>
    <row r="27" spans="1:61" ht="13.8" x14ac:dyDescent="0.25">
      <c r="A27" s="223" t="s">
        <v>261</v>
      </c>
      <c r="B27" s="224" t="s">
        <v>140</v>
      </c>
      <c r="C27" s="224">
        <v>19</v>
      </c>
      <c r="D27" s="224" t="s">
        <v>262</v>
      </c>
      <c r="E27" s="225" t="str">
        <f t="shared" ca="1" si="8"/>
        <v>MR</v>
      </c>
      <c r="F27" s="348"/>
      <c r="G27" s="349">
        <f t="shared" ca="1" si="1"/>
        <v>18</v>
      </c>
      <c r="H27" s="350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235</v>
      </c>
      <c r="AR27" s="207" t="s">
        <v>139</v>
      </c>
      <c r="AS27" s="207">
        <v>20</v>
      </c>
      <c r="AT27" s="207" t="s">
        <v>236</v>
      </c>
      <c r="AV27" s="168">
        <f t="shared" si="21"/>
        <v>2</v>
      </c>
      <c r="AW27" s="168">
        <f>COUNTIF( AV$7:AV27, AV27 )</f>
        <v>6</v>
      </c>
      <c r="AX27" s="208">
        <f t="shared" si="22"/>
        <v>2.6</v>
      </c>
      <c r="AY27" s="168">
        <f t="shared" si="23"/>
        <v>7</v>
      </c>
      <c r="AZ27" s="169"/>
      <c r="BA27" s="169"/>
      <c r="BC27" s="168">
        <f t="shared" ca="1" si="24"/>
        <v>21</v>
      </c>
      <c r="BD27" s="209">
        <f t="shared" ca="1" si="6"/>
        <v>15</v>
      </c>
      <c r="BF27" s="173" t="str">
        <f t="shared" ca="1" si="7"/>
        <v>DTE Energy Company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DTE</v>
      </c>
    </row>
    <row r="28" spans="1:61" ht="13.8" x14ac:dyDescent="0.25">
      <c r="A28" s="223" t="s">
        <v>267</v>
      </c>
      <c r="B28" s="224" t="s">
        <v>140</v>
      </c>
      <c r="C28" s="224">
        <v>19</v>
      </c>
      <c r="D28" s="224" t="s">
        <v>268</v>
      </c>
      <c r="E28" s="225" t="str">
        <f t="shared" ca="1" si="8"/>
        <v>R</v>
      </c>
      <c r="F28" s="348"/>
      <c r="G28" s="349">
        <f t="shared" ca="1" si="1"/>
        <v>22</v>
      </c>
      <c r="H28" s="350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269</v>
      </c>
      <c r="AR28" s="207" t="s">
        <v>140</v>
      </c>
      <c r="AS28" s="207">
        <v>19</v>
      </c>
      <c r="AT28" s="207" t="s">
        <v>270</v>
      </c>
      <c r="AV28" s="168">
        <f t="shared" si="21"/>
        <v>14</v>
      </c>
      <c r="AW28" s="168">
        <f>COUNTIF( AV$7:AV28, AV28 )</f>
        <v>10</v>
      </c>
      <c r="AX28" s="208">
        <f t="shared" si="22"/>
        <v>15</v>
      </c>
      <c r="AY28" s="168">
        <f t="shared" si="23"/>
        <v>23</v>
      </c>
      <c r="AZ28" s="169"/>
      <c r="BA28" s="169"/>
      <c r="BC28" s="168">
        <f t="shared" ca="1" si="24"/>
        <v>22</v>
      </c>
      <c r="BD28" s="209">
        <f t="shared" ca="1" si="6"/>
        <v>19</v>
      </c>
      <c r="BF28" s="173" t="str">
        <f t="shared" ca="1" si="7"/>
        <v>Entergy Corporation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ETR</v>
      </c>
    </row>
    <row r="29" spans="1:61" ht="13.8" x14ac:dyDescent="0.25">
      <c r="A29" s="223" t="s">
        <v>269</v>
      </c>
      <c r="B29" s="224" t="s">
        <v>140</v>
      </c>
      <c r="C29" s="224">
        <v>19</v>
      </c>
      <c r="D29" s="224" t="s">
        <v>270</v>
      </c>
      <c r="E29" s="225" t="str">
        <f t="shared" ca="1" si="8"/>
        <v>MR</v>
      </c>
      <c r="F29" s="348"/>
      <c r="G29" s="349">
        <f t="shared" ca="1" si="1"/>
        <v>25</v>
      </c>
      <c r="H29" s="350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275</v>
      </c>
      <c r="AR29" s="207" t="s">
        <v>141</v>
      </c>
      <c r="AS29" s="207">
        <v>18</v>
      </c>
      <c r="AT29" s="207" t="s">
        <v>276</v>
      </c>
      <c r="AV29" s="168">
        <f t="shared" si="21"/>
        <v>32</v>
      </c>
      <c r="AW29" s="168">
        <f>COUNTIF( AV$7:AV29, AV29 )</f>
        <v>4</v>
      </c>
      <c r="AX29" s="208">
        <f t="shared" si="22"/>
        <v>32.4</v>
      </c>
      <c r="AY29" s="168">
        <f t="shared" si="23"/>
        <v>35</v>
      </c>
      <c r="AZ29" s="169"/>
      <c r="BA29" s="169"/>
      <c r="BC29" s="168">
        <f t="shared" ca="1" si="24"/>
        <v>23</v>
      </c>
      <c r="BD29" s="209">
        <f t="shared" ca="1" si="6"/>
        <v>22</v>
      </c>
      <c r="BF29" s="173" t="str">
        <f t="shared" ca="1" si="7"/>
        <v>Exelon Corporation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EXC</v>
      </c>
    </row>
    <row r="30" spans="1:61" ht="13.8" x14ac:dyDescent="0.25">
      <c r="A30" s="223" t="s">
        <v>271</v>
      </c>
      <c r="B30" s="224" t="s">
        <v>140</v>
      </c>
      <c r="C30" s="224">
        <v>19</v>
      </c>
      <c r="D30" s="224" t="s">
        <v>272</v>
      </c>
      <c r="E30" s="225" t="str">
        <f t="shared" ca="1" si="8"/>
        <v>MR</v>
      </c>
      <c r="F30" s="348"/>
      <c r="G30" s="349">
        <f t="shared" ca="1" si="1"/>
        <v>29</v>
      </c>
      <c r="H30" s="350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279</v>
      </c>
      <c r="AR30" s="207" t="s">
        <v>142</v>
      </c>
      <c r="AS30" s="207">
        <v>17</v>
      </c>
      <c r="AT30" s="207" t="s">
        <v>280</v>
      </c>
      <c r="AV30" s="168">
        <f t="shared" si="21"/>
        <v>40</v>
      </c>
      <c r="AW30" s="168">
        <f>COUNTIF( AV$7:AV30, AV30 )</f>
        <v>2</v>
      </c>
      <c r="AX30" s="208">
        <f t="shared" si="22"/>
        <v>40.200000000000003</v>
      </c>
      <c r="AY30" s="168">
        <f t="shared" si="23"/>
        <v>41</v>
      </c>
      <c r="AZ30" s="169"/>
      <c r="BA30" s="169"/>
      <c r="BC30" s="168">
        <f t="shared" ca="1" si="24"/>
        <v>24</v>
      </c>
      <c r="BD30" s="209">
        <f t="shared" ca="1" si="6"/>
        <v>27</v>
      </c>
      <c r="BF30" s="173" t="str">
        <f t="shared" ca="1" si="7"/>
        <v>MDU Resources Group,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MDU</v>
      </c>
    </row>
    <row r="31" spans="1:61" ht="13.8" x14ac:dyDescent="0.25">
      <c r="A31" s="223" t="s">
        <v>273</v>
      </c>
      <c r="B31" s="224" t="s">
        <v>140</v>
      </c>
      <c r="C31" s="224">
        <v>19</v>
      </c>
      <c r="D31" s="224" t="s">
        <v>274</v>
      </c>
      <c r="E31" s="225" t="str">
        <f t="shared" ca="1" si="8"/>
        <v>R</v>
      </c>
      <c r="F31" s="348"/>
      <c r="G31" s="349">
        <f t="shared" ca="1" si="1"/>
        <v>32</v>
      </c>
      <c r="H31" s="350"/>
      <c r="I31" s="237"/>
      <c r="J31" s="191"/>
      <c r="K31" s="237"/>
      <c r="N31" s="237"/>
      <c r="O31" s="351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283</v>
      </c>
      <c r="AR31" s="207" t="s">
        <v>141</v>
      </c>
      <c r="AS31" s="207">
        <v>18</v>
      </c>
      <c r="AT31" s="207" t="s">
        <v>284</v>
      </c>
      <c r="AV31" s="168">
        <f t="shared" si="21"/>
        <v>32</v>
      </c>
      <c r="AW31" s="168">
        <f>COUNTIF( AV$7:AV31, AV31 )</f>
        <v>5</v>
      </c>
      <c r="AX31" s="208">
        <f t="shared" si="22"/>
        <v>32.5</v>
      </c>
      <c r="AY31" s="168">
        <f t="shared" si="23"/>
        <v>36</v>
      </c>
      <c r="AZ31" s="169"/>
      <c r="BA31" s="169"/>
      <c r="BC31" s="168">
        <f t="shared" ca="1" si="24"/>
        <v>25</v>
      </c>
      <c r="BD31" s="209">
        <f t="shared" ca="1" si="6"/>
        <v>29</v>
      </c>
      <c r="BF31" s="173" t="str">
        <f t="shared" ca="1" si="7"/>
        <v>NiSource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NI</v>
      </c>
    </row>
    <row r="32" spans="1:61" ht="13.8" x14ac:dyDescent="0.25">
      <c r="A32" s="223" t="s">
        <v>277</v>
      </c>
      <c r="B32" s="224" t="s">
        <v>140</v>
      </c>
      <c r="C32" s="224">
        <v>19</v>
      </c>
      <c r="D32" s="224" t="s">
        <v>278</v>
      </c>
      <c r="E32" s="225" t="str">
        <f t="shared" ca="1" si="8"/>
        <v>R</v>
      </c>
      <c r="F32" s="348"/>
      <c r="G32" s="349">
        <f t="shared" ca="1" si="1"/>
        <v>34</v>
      </c>
      <c r="H32" s="350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32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287</v>
      </c>
      <c r="AR32" s="207" t="s">
        <v>141</v>
      </c>
      <c r="AS32" s="207">
        <v>18</v>
      </c>
      <c r="AT32" s="207" t="s">
        <v>288</v>
      </c>
      <c r="AV32" s="168">
        <f t="shared" si="21"/>
        <v>32</v>
      </c>
      <c r="AW32" s="168">
        <f>COUNTIF( AV$7:AV32, AV32 )</f>
        <v>6</v>
      </c>
      <c r="AX32" s="208">
        <f t="shared" si="22"/>
        <v>32.6</v>
      </c>
      <c r="AY32" s="168">
        <f t="shared" si="23"/>
        <v>37</v>
      </c>
      <c r="AZ32" s="169"/>
      <c r="BA32" s="169"/>
      <c r="BC32" s="168">
        <f t="shared" ca="1" si="24"/>
        <v>26</v>
      </c>
      <c r="BD32" s="209">
        <f t="shared" ca="1" si="6"/>
        <v>31</v>
      </c>
      <c r="BF32" s="173" t="str">
        <f t="shared" ca="1" si="7"/>
        <v>OGE Energy Corp.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OGE</v>
      </c>
    </row>
    <row r="33" spans="1:61" ht="13.8" x14ac:dyDescent="0.25">
      <c r="A33" s="223" t="s">
        <v>303</v>
      </c>
      <c r="B33" s="224" t="s">
        <v>140</v>
      </c>
      <c r="C33" s="224">
        <v>19</v>
      </c>
      <c r="D33" s="224" t="s">
        <v>304</v>
      </c>
      <c r="E33" s="225" t="str">
        <f t="shared" ca="1" si="8"/>
        <v>R</v>
      </c>
      <c r="F33" s="348"/>
      <c r="G33" s="349">
        <f t="shared" ca="1" si="1"/>
        <v>38</v>
      </c>
      <c r="H33" s="350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33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271</v>
      </c>
      <c r="AR33" s="207" t="s">
        <v>140</v>
      </c>
      <c r="AS33" s="207">
        <v>19</v>
      </c>
      <c r="AT33" s="207" t="s">
        <v>272</v>
      </c>
      <c r="AV33" s="168">
        <f t="shared" si="21"/>
        <v>14</v>
      </c>
      <c r="AW33" s="168">
        <f>COUNTIF( AV$7:AV33, AV33 )</f>
        <v>11</v>
      </c>
      <c r="AX33" s="208">
        <f t="shared" si="22"/>
        <v>15.1</v>
      </c>
      <c r="AY33" s="168">
        <f t="shared" si="23"/>
        <v>24</v>
      </c>
      <c r="AZ33" s="169"/>
      <c r="BA33" s="169"/>
      <c r="BC33" s="168">
        <f t="shared" ca="1" si="24"/>
        <v>27</v>
      </c>
      <c r="BD33" s="209">
        <f t="shared" ca="1" si="6"/>
        <v>35</v>
      </c>
      <c r="BF33" s="173" t="str">
        <f t="shared" ca="1" si="7"/>
        <v>PNM Resources, Inc.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PNM</v>
      </c>
    </row>
    <row r="34" spans="1:61" ht="13.8" x14ac:dyDescent="0.25">
      <c r="A34" s="223" t="s">
        <v>285</v>
      </c>
      <c r="B34" s="224" t="s">
        <v>140</v>
      </c>
      <c r="C34" s="224">
        <v>19</v>
      </c>
      <c r="D34" s="224" t="s">
        <v>286</v>
      </c>
      <c r="E34" s="225" t="str">
        <f t="shared" ca="1" si="8"/>
        <v>R</v>
      </c>
      <c r="F34" s="348"/>
      <c r="G34" s="349">
        <f t="shared" ca="1" si="1"/>
        <v>39</v>
      </c>
      <c r="H34" s="350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34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240</v>
      </c>
      <c r="AR34" s="207" t="s">
        <v>139</v>
      </c>
      <c r="AS34" s="207">
        <v>20</v>
      </c>
      <c r="AT34" s="207" t="s">
        <v>241</v>
      </c>
      <c r="AV34" s="168">
        <f t="shared" si="21"/>
        <v>2</v>
      </c>
      <c r="AW34" s="168">
        <f>COUNTIF( AV$7:AV34, AV34 )</f>
        <v>7</v>
      </c>
      <c r="AX34" s="208">
        <f t="shared" si="22"/>
        <v>2.7</v>
      </c>
      <c r="AY34" s="168">
        <f t="shared" si="23"/>
        <v>8</v>
      </c>
      <c r="AZ34" s="169"/>
      <c r="BA34" s="169"/>
      <c r="BC34" s="168">
        <f t="shared" ca="1" si="24"/>
        <v>28</v>
      </c>
      <c r="BD34" s="209">
        <f t="shared" ca="1" si="6"/>
        <v>36</v>
      </c>
      <c r="BF34" s="173" t="str">
        <f t="shared" ca="1" si="7"/>
        <v>Portland General Electric Company</v>
      </c>
      <c r="BG34" s="173" t="str">
        <f t="shared" ca="1" si="7"/>
        <v>BBB+</v>
      </c>
      <c r="BH34" s="173">
        <f t="shared" ca="1" si="7"/>
        <v>19</v>
      </c>
      <c r="BI34" s="173" t="str">
        <f ca="1">OFFSET( AT$6, $BD34, 0 )</f>
        <v>POR</v>
      </c>
    </row>
    <row r="35" spans="1:61" ht="13.8" x14ac:dyDescent="0.25">
      <c r="A35" s="223" t="s">
        <v>289</v>
      </c>
      <c r="B35" s="224" t="s">
        <v>140</v>
      </c>
      <c r="C35" s="224">
        <v>19</v>
      </c>
      <c r="D35" s="224" t="s">
        <v>290</v>
      </c>
      <c r="E35" s="225" t="str">
        <f t="shared" ca="1" si="8"/>
        <v>MR</v>
      </c>
      <c r="F35" s="348"/>
      <c r="G35" s="349">
        <f t="shared" ca="1" si="1"/>
        <v>41</v>
      </c>
      <c r="H35" s="350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35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273</v>
      </c>
      <c r="AR35" s="207" t="s">
        <v>140</v>
      </c>
      <c r="AS35" s="207">
        <v>19</v>
      </c>
      <c r="AT35" s="207" t="s">
        <v>274</v>
      </c>
      <c r="AV35" s="168">
        <f t="shared" si="21"/>
        <v>14</v>
      </c>
      <c r="AW35" s="168">
        <f>COUNTIF( AV$7:AV35, AV35 )</f>
        <v>12</v>
      </c>
      <c r="AX35" s="208">
        <f t="shared" si="22"/>
        <v>15.2</v>
      </c>
      <c r="AY35" s="168">
        <f t="shared" si="23"/>
        <v>25</v>
      </c>
      <c r="AZ35" s="169"/>
      <c r="BA35" s="169"/>
      <c r="BC35" s="168">
        <f t="shared" ca="1" si="24"/>
        <v>29</v>
      </c>
      <c r="BD35" s="209">
        <f t="shared" ca="1" si="6"/>
        <v>38</v>
      </c>
      <c r="BF35" s="173" t="str">
        <f t="shared" ca="1" si="7"/>
        <v>Public Service Enterprise Group Incorporated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PEG</v>
      </c>
    </row>
    <row r="36" spans="1:61" ht="13.8" x14ac:dyDescent="0.25">
      <c r="A36" s="223" t="s">
        <v>291</v>
      </c>
      <c r="B36" s="224" t="s">
        <v>140</v>
      </c>
      <c r="C36" s="224">
        <v>19</v>
      </c>
      <c r="D36" s="224" t="s">
        <v>292</v>
      </c>
      <c r="E36" s="225" t="str">
        <f t="shared" ca="1" si="8"/>
        <v>MR</v>
      </c>
      <c r="F36" s="348"/>
      <c r="G36" s="349">
        <f t="shared" ca="1" si="1"/>
        <v>42</v>
      </c>
      <c r="H36" s="350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36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297</v>
      </c>
      <c r="AR36" s="207" t="s">
        <v>141</v>
      </c>
      <c r="AS36" s="207">
        <v>18</v>
      </c>
      <c r="AT36" s="207" t="s">
        <v>298</v>
      </c>
      <c r="AV36" s="168">
        <f t="shared" si="21"/>
        <v>32</v>
      </c>
      <c r="AW36" s="168">
        <f>COUNTIF( AV$7:AV36, AV36 )</f>
        <v>7</v>
      </c>
      <c r="AX36" s="208">
        <f t="shared" si="22"/>
        <v>32.700000000000003</v>
      </c>
      <c r="AY36" s="168">
        <f t="shared" si="23"/>
        <v>38</v>
      </c>
      <c r="AZ36" s="169"/>
      <c r="BA36" s="169"/>
      <c r="BC36" s="168">
        <f t="shared" ca="1" si="24"/>
        <v>30</v>
      </c>
      <c r="BD36" s="209">
        <f t="shared" ca="1" si="6"/>
        <v>40</v>
      </c>
      <c r="BF36" s="173" t="str">
        <f t="shared" ca="1" si="7"/>
        <v>Sempra Energy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SRE</v>
      </c>
    </row>
    <row r="37" spans="1:61" ht="13.8" x14ac:dyDescent="0.25">
      <c r="A37" s="223" t="s">
        <v>295</v>
      </c>
      <c r="B37" s="224" t="s">
        <v>140</v>
      </c>
      <c r="C37" s="224">
        <v>19</v>
      </c>
      <c r="D37" s="224" t="s">
        <v>296</v>
      </c>
      <c r="E37" s="225" t="str">
        <f t="shared" ca="1" si="8"/>
        <v>R</v>
      </c>
      <c r="F37" s="348"/>
      <c r="G37" s="349">
        <f t="shared" ca="1" si="1"/>
        <v>44</v>
      </c>
      <c r="H37" s="350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37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277</v>
      </c>
      <c r="AR37" s="207" t="s">
        <v>140</v>
      </c>
      <c r="AS37" s="207">
        <v>19</v>
      </c>
      <c r="AT37" s="207" t="s">
        <v>278</v>
      </c>
      <c r="AV37" s="168">
        <f t="shared" si="21"/>
        <v>14</v>
      </c>
      <c r="AW37" s="168">
        <f>COUNTIF( AV$7:AV37, AV37 )</f>
        <v>13</v>
      </c>
      <c r="AX37" s="208">
        <f t="shared" si="22"/>
        <v>15.3</v>
      </c>
      <c r="AY37" s="168">
        <f t="shared" si="23"/>
        <v>26</v>
      </c>
      <c r="AZ37" s="169"/>
      <c r="BA37" s="169"/>
      <c r="BC37" s="168">
        <f t="shared" ca="1" si="24"/>
        <v>31</v>
      </c>
      <c r="BD37" s="209">
        <f t="shared" ca="1" si="6"/>
        <v>42</v>
      </c>
      <c r="BF37" s="173" t="str">
        <f t="shared" ca="1" si="7"/>
        <v>Unitil Corporation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UTL</v>
      </c>
    </row>
    <row r="38" spans="1:61" ht="13.8" x14ac:dyDescent="0.25">
      <c r="A38" s="223" t="s">
        <v>238</v>
      </c>
      <c r="B38" s="224" t="s">
        <v>141</v>
      </c>
      <c r="C38" s="224">
        <v>18</v>
      </c>
      <c r="D38" s="224" t="s">
        <v>239</v>
      </c>
      <c r="E38" s="225" t="str">
        <f t="shared" ca="1" si="8"/>
        <v>R</v>
      </c>
      <c r="F38" s="348"/>
      <c r="G38" s="349">
        <f t="shared" ca="1" si="1"/>
        <v>12</v>
      </c>
      <c r="H38" s="350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38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299</v>
      </c>
      <c r="AR38" s="207" t="s">
        <v>141</v>
      </c>
      <c r="AS38" s="207">
        <v>18</v>
      </c>
      <c r="AT38" s="207" t="s">
        <v>300</v>
      </c>
      <c r="AV38" s="168">
        <f t="shared" si="21"/>
        <v>32</v>
      </c>
      <c r="AW38" s="168">
        <f>COUNTIF( AV$7:AV38, AV38 )</f>
        <v>8</v>
      </c>
      <c r="AX38" s="208">
        <f t="shared" si="22"/>
        <v>32.799999999999997</v>
      </c>
      <c r="AY38" s="168">
        <f t="shared" si="23"/>
        <v>39</v>
      </c>
      <c r="AZ38" s="169"/>
      <c r="BA38" s="169"/>
      <c r="BC38" s="168">
        <f t="shared" ca="1" si="24"/>
        <v>32</v>
      </c>
      <c r="BD38" s="209">
        <f t="shared" ca="1" si="6"/>
        <v>6</v>
      </c>
      <c r="BF38" s="173" t="str">
        <f t="shared" ca="1" si="7"/>
        <v>Avista Corporation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AVA</v>
      </c>
    </row>
    <row r="39" spans="1:61" ht="13.8" x14ac:dyDescent="0.25">
      <c r="A39" s="223" t="s">
        <v>265</v>
      </c>
      <c r="B39" s="224" t="s">
        <v>141</v>
      </c>
      <c r="C39" s="224">
        <v>18</v>
      </c>
      <c r="D39" s="224" t="s">
        <v>266</v>
      </c>
      <c r="E39" s="225" t="str">
        <f t="shared" ca="1" si="8"/>
        <v>R</v>
      </c>
      <c r="F39" s="348"/>
      <c r="G39" s="349">
        <f t="shared" ca="1" si="1"/>
        <v>20</v>
      </c>
      <c r="H39" s="350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39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301</v>
      </c>
      <c r="AR39" s="207" t="s">
        <v>310</v>
      </c>
      <c r="AS39" s="207" t="s">
        <v>310</v>
      </c>
      <c r="AT39" s="207" t="s">
        <v>302</v>
      </c>
      <c r="AV39" s="168">
        <f t="shared" si="21"/>
        <v>99</v>
      </c>
      <c r="AW39" s="168">
        <f>COUNTIF( AV$7:AV39, AV39 )</f>
        <v>1</v>
      </c>
      <c r="AX39" s="208">
        <f t="shared" si="22"/>
        <v>99.1</v>
      </c>
      <c r="AY39" s="168">
        <f t="shared" si="23"/>
        <v>44</v>
      </c>
      <c r="AZ39" s="169"/>
      <c r="BA39" s="169"/>
      <c r="BC39" s="168">
        <f t="shared" ca="1" si="24"/>
        <v>33</v>
      </c>
      <c r="BD39" s="209">
        <f t="shared" ca="1" si="6"/>
        <v>17</v>
      </c>
      <c r="BF39" s="173" t="str">
        <f t="shared" ref="BF39:BI63" ca="1" si="25">OFFSET( AQ$6, $BD39, 0 )</f>
        <v>Edison International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EIX</v>
      </c>
    </row>
    <row r="40" spans="1:61" ht="13.8" x14ac:dyDescent="0.25">
      <c r="A40" s="223" t="s">
        <v>328</v>
      </c>
      <c r="B40" s="224" t="s">
        <v>141</v>
      </c>
      <c r="C40" s="224">
        <v>18</v>
      </c>
      <c r="D40" s="224" t="s">
        <v>331</v>
      </c>
      <c r="E40" s="225" t="str">
        <f t="shared" ca="1" si="8"/>
        <v>R</v>
      </c>
      <c r="F40" s="348"/>
      <c r="G40" s="349">
        <f t="shared" ca="1" si="1"/>
        <v>21</v>
      </c>
      <c r="H40" s="350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40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281</v>
      </c>
      <c r="AR40" s="207" t="s">
        <v>139</v>
      </c>
      <c r="AS40" s="207">
        <v>20</v>
      </c>
      <c r="AT40" s="207" t="s">
        <v>282</v>
      </c>
      <c r="AV40" s="168">
        <f t="shared" si="21"/>
        <v>2</v>
      </c>
      <c r="AW40" s="168">
        <f>COUNTIF( AV$7:AV40, AV40 )</f>
        <v>8</v>
      </c>
      <c r="AX40" s="208">
        <f t="shared" si="22"/>
        <v>2.8</v>
      </c>
      <c r="AY40" s="168">
        <f t="shared" si="23"/>
        <v>9</v>
      </c>
      <c r="AZ40" s="169"/>
      <c r="BA40" s="169"/>
      <c r="BC40" s="168">
        <f t="shared" ca="1" si="24"/>
        <v>34</v>
      </c>
      <c r="BD40" s="209">
        <f t="shared" ca="1" si="6"/>
        <v>18</v>
      </c>
      <c r="BF40" s="173" t="str">
        <f t="shared" ca="1" si="25"/>
        <v>El Paso Electric Company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EE</v>
      </c>
    </row>
    <row r="41" spans="1:61" ht="13.8" x14ac:dyDescent="0.25">
      <c r="A41" s="223" t="s">
        <v>275</v>
      </c>
      <c r="B41" s="224" t="s">
        <v>141</v>
      </c>
      <c r="C41" s="224">
        <v>18</v>
      </c>
      <c r="D41" s="224" t="s">
        <v>276</v>
      </c>
      <c r="E41" s="225" t="str">
        <f t="shared" ca="1" si="8"/>
        <v>R</v>
      </c>
      <c r="F41" s="348"/>
      <c r="G41" s="349">
        <f t="shared" ca="1" si="1"/>
        <v>26</v>
      </c>
      <c r="H41" s="350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303</v>
      </c>
      <c r="AR41" s="207" t="s">
        <v>140</v>
      </c>
      <c r="AS41" s="207">
        <v>19</v>
      </c>
      <c r="AT41" s="207" t="s">
        <v>304</v>
      </c>
      <c r="AV41" s="168">
        <f t="shared" si="21"/>
        <v>14</v>
      </c>
      <c r="AW41" s="168">
        <f>COUNTIF( AV$7:AV41, AV41 )</f>
        <v>14</v>
      </c>
      <c r="AX41" s="208">
        <f t="shared" si="22"/>
        <v>15.4</v>
      </c>
      <c r="AY41" s="168">
        <f t="shared" si="23"/>
        <v>27</v>
      </c>
      <c r="AZ41" s="169"/>
      <c r="BA41" s="169"/>
      <c r="BC41" s="168">
        <f t="shared" ca="1" si="24"/>
        <v>35</v>
      </c>
      <c r="BD41" s="209">
        <f t="shared" ca="1" si="6"/>
        <v>23</v>
      </c>
      <c r="BF41" s="173" t="str">
        <f t="shared" ca="1" si="25"/>
        <v>FirstEnergy Corp.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FE</v>
      </c>
    </row>
    <row r="42" spans="1:61" ht="13.8" x14ac:dyDescent="0.25">
      <c r="A42" s="223" t="s">
        <v>283</v>
      </c>
      <c r="B42" s="224" t="s">
        <v>141</v>
      </c>
      <c r="C42" s="224">
        <v>18</v>
      </c>
      <c r="D42" s="224" t="s">
        <v>284</v>
      </c>
      <c r="E42" s="225" t="str">
        <f t="shared" ca="1" si="8"/>
        <v>R</v>
      </c>
      <c r="F42" s="348"/>
      <c r="G42" s="349">
        <f t="shared" ca="1" si="1"/>
        <v>28</v>
      </c>
      <c r="H42" s="350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285</v>
      </c>
      <c r="AR42" s="207" t="s">
        <v>140</v>
      </c>
      <c r="AS42" s="207">
        <v>19</v>
      </c>
      <c r="AT42" s="207" t="s">
        <v>286</v>
      </c>
      <c r="AV42" s="168">
        <f t="shared" si="21"/>
        <v>14</v>
      </c>
      <c r="AW42" s="168">
        <f>COUNTIF( AV$7:AV42, AV42 )</f>
        <v>15</v>
      </c>
      <c r="AX42" s="208">
        <f t="shared" si="22"/>
        <v>15.5</v>
      </c>
      <c r="AY42" s="168">
        <f t="shared" si="23"/>
        <v>28</v>
      </c>
      <c r="AZ42" s="169"/>
      <c r="BA42" s="169"/>
      <c r="BC42" s="168">
        <f t="shared" ca="1" si="24"/>
        <v>36</v>
      </c>
      <c r="BD42" s="209">
        <f t="shared" ca="1" si="6"/>
        <v>25</v>
      </c>
      <c r="BF42" s="173" t="str">
        <f t="shared" ca="1" si="25"/>
        <v>IDACORP, Inc.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IDA</v>
      </c>
    </row>
    <row r="43" spans="1:61" ht="13.8" x14ac:dyDescent="0.25">
      <c r="A43" s="223" t="s">
        <v>287</v>
      </c>
      <c r="B43" s="224" t="s">
        <v>141</v>
      </c>
      <c r="C43" s="224">
        <v>18</v>
      </c>
      <c r="D43" s="224" t="s">
        <v>288</v>
      </c>
      <c r="E43" s="225" t="str">
        <f t="shared" ca="1" si="8"/>
        <v>R</v>
      </c>
      <c r="F43" s="348"/>
      <c r="G43" s="349">
        <f t="shared" ca="1" si="1"/>
        <v>55</v>
      </c>
      <c r="H43" s="350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243</v>
      </c>
      <c r="AR43" s="207" t="s">
        <v>139</v>
      </c>
      <c r="AS43" s="207">
        <v>20</v>
      </c>
      <c r="AT43" s="207" t="s">
        <v>244</v>
      </c>
      <c r="AV43" s="168">
        <f t="shared" si="21"/>
        <v>2</v>
      </c>
      <c r="AW43" s="168">
        <f>COUNTIF( AV$7:AV43, AV43 )</f>
        <v>9</v>
      </c>
      <c r="AX43" s="208">
        <f t="shared" si="22"/>
        <v>2.9</v>
      </c>
      <c r="AY43" s="168">
        <f t="shared" si="23"/>
        <v>10</v>
      </c>
      <c r="AZ43" s="169"/>
      <c r="BA43" s="169"/>
      <c r="BC43" s="168">
        <f t="shared" ca="1" si="24"/>
        <v>37</v>
      </c>
      <c r="BD43" s="209">
        <f t="shared" ca="1" si="6"/>
        <v>26</v>
      </c>
      <c r="BF43" s="173" t="str">
        <f t="shared" ca="1" si="25"/>
        <v>IPALCO Enterprises, Inc.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**IPALCO</v>
      </c>
    </row>
    <row r="44" spans="1:61" ht="13.8" x14ac:dyDescent="0.25">
      <c r="A44" s="223" t="s">
        <v>297</v>
      </c>
      <c r="B44" s="224" t="s">
        <v>141</v>
      </c>
      <c r="C44" s="224">
        <v>18</v>
      </c>
      <c r="D44" s="224" t="s">
        <v>298</v>
      </c>
      <c r="E44" s="225" t="str">
        <f t="shared" ca="1" si="8"/>
        <v>R</v>
      </c>
      <c r="F44" s="348"/>
      <c r="G44" s="349">
        <f t="shared" ca="1" si="1"/>
        <v>33</v>
      </c>
      <c r="H44" s="350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289</v>
      </c>
      <c r="AR44" s="207" t="s">
        <v>140</v>
      </c>
      <c r="AS44" s="207">
        <v>19</v>
      </c>
      <c r="AT44" s="207" t="s">
        <v>290</v>
      </c>
      <c r="AV44" s="168">
        <f t="shared" si="21"/>
        <v>14</v>
      </c>
      <c r="AW44" s="168">
        <f>COUNTIF( AV$7:AV44, AV44 )</f>
        <v>16</v>
      </c>
      <c r="AX44" s="208">
        <f t="shared" si="22"/>
        <v>15.6</v>
      </c>
      <c r="AY44" s="168">
        <f t="shared" si="23"/>
        <v>29</v>
      </c>
      <c r="AZ44" s="169"/>
      <c r="BA44" s="169"/>
      <c r="BC44" s="168">
        <f t="shared" ca="1" si="24"/>
        <v>38</v>
      </c>
      <c r="BD44" s="209">
        <f t="shared" ca="1" si="6"/>
        <v>30</v>
      </c>
      <c r="BF44" s="173" t="str">
        <f t="shared" ca="1" si="25"/>
        <v>NorthWestern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NWE</v>
      </c>
    </row>
    <row r="45" spans="1:61" ht="13.8" x14ac:dyDescent="0.25">
      <c r="A45" s="223" t="s">
        <v>299</v>
      </c>
      <c r="B45" s="224" t="s">
        <v>141</v>
      </c>
      <c r="C45" s="224">
        <v>18</v>
      </c>
      <c r="D45" s="224" t="s">
        <v>300</v>
      </c>
      <c r="E45" s="225" t="str">
        <f t="shared" ca="1" si="8"/>
        <v>R</v>
      </c>
      <c r="F45" s="348"/>
      <c r="G45" s="349">
        <f t="shared" ca="1" si="1"/>
        <v>35</v>
      </c>
      <c r="H45" s="350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305</v>
      </c>
      <c r="AR45" s="207" t="s">
        <v>142</v>
      </c>
      <c r="AS45" s="207">
        <v>17</v>
      </c>
      <c r="AT45" s="207" t="s">
        <v>306</v>
      </c>
      <c r="AV45" s="168">
        <f t="shared" si="21"/>
        <v>40</v>
      </c>
      <c r="AW45" s="168">
        <f>COUNTIF( AV$7:AV45, AV45 )</f>
        <v>3</v>
      </c>
      <c r="AX45" s="208">
        <f t="shared" si="22"/>
        <v>40.299999999999997</v>
      </c>
      <c r="AY45" s="168">
        <f t="shared" si="23"/>
        <v>42</v>
      </c>
      <c r="AZ45" s="169"/>
      <c r="BA45" s="169"/>
      <c r="BC45" s="168">
        <f t="shared" ca="1" si="24"/>
        <v>39</v>
      </c>
      <c r="BD45" s="209">
        <f t="shared" ca="1" si="6"/>
        <v>32</v>
      </c>
      <c r="BF45" s="173" t="str">
        <f t="shared" ca="1" si="25"/>
        <v>Otter Tail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OTTR</v>
      </c>
    </row>
    <row r="46" spans="1:61" ht="13.8" x14ac:dyDescent="0.25">
      <c r="A46" s="223" t="s">
        <v>254</v>
      </c>
      <c r="B46" s="224" t="s">
        <v>142</v>
      </c>
      <c r="C46" s="224">
        <v>17</v>
      </c>
      <c r="D46" s="224" t="s">
        <v>255</v>
      </c>
      <c r="E46" s="225" t="str">
        <f t="shared" ca="1" si="8"/>
        <v>R</v>
      </c>
      <c r="F46" s="348"/>
      <c r="G46" s="349">
        <f t="shared" ca="1" si="1"/>
        <v>53</v>
      </c>
      <c r="H46" s="350"/>
      <c r="I46" s="191"/>
      <c r="K46" s="191"/>
      <c r="N46" s="351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46</v>
      </c>
      <c r="AK46" s="169" t="str">
        <f t="shared" ca="1" si="20"/>
        <v>BBB-</v>
      </c>
      <c r="AL46" s="169">
        <f t="shared" ca="1" si="20"/>
        <v>17</v>
      </c>
      <c r="AM46" s="169" t="str">
        <f t="shared" ca="1" si="4"/>
        <v/>
      </c>
      <c r="AQ46" s="207" t="s">
        <v>291</v>
      </c>
      <c r="AR46" s="207" t="s">
        <v>140</v>
      </c>
      <c r="AS46" s="207">
        <v>19</v>
      </c>
      <c r="AT46" s="207" t="s">
        <v>292</v>
      </c>
      <c r="AV46" s="168">
        <f t="shared" si="21"/>
        <v>14</v>
      </c>
      <c r="AW46" s="168">
        <f>COUNTIF( AV$7:AV46, AV46 )</f>
        <v>17</v>
      </c>
      <c r="AX46" s="208">
        <f t="shared" si="22"/>
        <v>15.7</v>
      </c>
      <c r="AY46" s="168">
        <f t="shared" si="23"/>
        <v>30</v>
      </c>
      <c r="AZ46" s="169"/>
      <c r="BA46" s="169"/>
      <c r="BC46" s="168">
        <f t="shared" ca="1" si="24"/>
        <v>40</v>
      </c>
      <c r="BD46" s="209">
        <f t="shared" ca="1" si="6"/>
        <v>10</v>
      </c>
      <c r="BF46" s="173" t="str">
        <f t="shared" ca="1" si="25"/>
        <v>Cleco Corporation</v>
      </c>
      <c r="BG46" s="173" t="str">
        <f t="shared" ca="1" si="25"/>
        <v>BBB-</v>
      </c>
      <c r="BH46" s="173">
        <f t="shared" ca="1" si="25"/>
        <v>17</v>
      </c>
      <c r="BI46" s="173" t="str">
        <f t="shared" ca="1" si="25"/>
        <v>**CNL</v>
      </c>
    </row>
    <row r="47" spans="1:61" ht="13.8" x14ac:dyDescent="0.25">
      <c r="A47" s="223" t="s">
        <v>279</v>
      </c>
      <c r="B47" s="224" t="s">
        <v>142</v>
      </c>
      <c r="C47" s="224">
        <v>17</v>
      </c>
      <c r="D47" s="224" t="s">
        <v>280</v>
      </c>
      <c r="E47" s="225" t="str">
        <f t="shared" ca="1" si="8"/>
        <v>MR</v>
      </c>
      <c r="F47" s="348"/>
      <c r="G47" s="349">
        <f t="shared" ca="1" si="1"/>
        <v>27</v>
      </c>
      <c r="H47" s="350"/>
      <c r="I47" s="350"/>
      <c r="J47" s="187" t="s">
        <v>307</v>
      </c>
      <c r="K47" s="191"/>
      <c r="M47" s="351"/>
      <c r="N47" s="351"/>
      <c r="AF47" s="169">
        <f t="shared" si="2"/>
        <v>1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47</v>
      </c>
      <c r="AK47" s="169" t="str">
        <f t="shared" ca="1" si="20"/>
        <v>BBB-</v>
      </c>
      <c r="AL47" s="169">
        <f t="shared" ca="1" si="20"/>
        <v>17</v>
      </c>
      <c r="AM47" s="169" t="str">
        <f t="shared" ca="1" si="4"/>
        <v/>
      </c>
      <c r="AQ47" s="207" t="s">
        <v>293</v>
      </c>
      <c r="AR47" s="207" t="s">
        <v>139</v>
      </c>
      <c r="AS47" s="207">
        <v>20</v>
      </c>
      <c r="AT47" s="207" t="s">
        <v>294</v>
      </c>
      <c r="AV47" s="168">
        <f t="shared" si="21"/>
        <v>2</v>
      </c>
      <c r="AW47" s="168">
        <f>COUNTIF( AV$7:AV47, AV47 )</f>
        <v>10</v>
      </c>
      <c r="AX47" s="208">
        <f t="shared" si="22"/>
        <v>3</v>
      </c>
      <c r="AY47" s="168">
        <f t="shared" si="23"/>
        <v>11</v>
      </c>
      <c r="AZ47" s="169"/>
      <c r="BA47" s="169"/>
      <c r="BC47" s="168">
        <f t="shared" ca="1" si="24"/>
        <v>41</v>
      </c>
      <c r="BD47" s="209">
        <f t="shared" ca="1" si="6"/>
        <v>24</v>
      </c>
      <c r="BF47" s="173" t="str">
        <f t="shared" ca="1" si="25"/>
        <v>Hawaiian Electric Industries, Inc.</v>
      </c>
      <c r="BG47" s="173" t="str">
        <f t="shared" ca="1" si="25"/>
        <v>BBB-</v>
      </c>
      <c r="BH47" s="173">
        <f t="shared" ca="1" si="25"/>
        <v>17</v>
      </c>
      <c r="BI47" s="173" t="str">
        <f t="shared" ca="1" si="25"/>
        <v>HE</v>
      </c>
    </row>
    <row r="48" spans="1:61" ht="13.8" x14ac:dyDescent="0.25">
      <c r="A48" s="223" t="s">
        <v>305</v>
      </c>
      <c r="B48" s="224" t="s">
        <v>142</v>
      </c>
      <c r="C48" s="224">
        <v>17</v>
      </c>
      <c r="D48" s="224" t="s">
        <v>306</v>
      </c>
      <c r="E48" s="225" t="str">
        <f t="shared" ca="1" si="8"/>
        <v>R</v>
      </c>
      <c r="F48" s="348"/>
      <c r="G48" s="349">
        <f t="shared" ca="1" si="1"/>
        <v>57</v>
      </c>
      <c r="H48" s="350"/>
      <c r="I48" s="350"/>
      <c r="K48" s="191"/>
      <c r="M48" s="351"/>
      <c r="N48" s="351"/>
      <c r="AF48" s="169">
        <f t="shared" si="2"/>
        <v>1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48</v>
      </c>
      <c r="AK48" s="169" t="str">
        <f t="shared" ca="1" si="20"/>
        <v>BBB-</v>
      </c>
      <c r="AL48" s="169">
        <f t="shared" ca="1" si="20"/>
        <v>17</v>
      </c>
      <c r="AM48" s="169" t="str">
        <f t="shared" ca="1" si="4"/>
        <v/>
      </c>
      <c r="AQ48" s="207" t="s">
        <v>295</v>
      </c>
      <c r="AR48" s="207" t="s">
        <v>140</v>
      </c>
      <c r="AS48" s="207">
        <v>19</v>
      </c>
      <c r="AT48" s="207" t="s">
        <v>296</v>
      </c>
      <c r="AV48" s="168">
        <f t="shared" si="21"/>
        <v>14</v>
      </c>
      <c r="AW48" s="168">
        <f>COUNTIF( AV$7:AV48, AV48 )</f>
        <v>18</v>
      </c>
      <c r="AX48" s="208">
        <f t="shared" si="22"/>
        <v>15.8</v>
      </c>
      <c r="AY48" s="168">
        <f t="shared" si="23"/>
        <v>31</v>
      </c>
      <c r="AZ48" s="169"/>
      <c r="BA48" s="169"/>
      <c r="BC48" s="168">
        <f t="shared" ca="1" si="24"/>
        <v>42</v>
      </c>
      <c r="BD48" s="209">
        <f t="shared" ca="1" si="6"/>
        <v>39</v>
      </c>
      <c r="BF48" s="173" t="str">
        <f t="shared" ca="1" si="25"/>
        <v>Puget Energy, Inc.</v>
      </c>
      <c r="BG48" s="173" t="str">
        <f t="shared" ca="1" si="25"/>
        <v>BBB-</v>
      </c>
      <c r="BH48" s="173">
        <f t="shared" ca="1" si="25"/>
        <v>17</v>
      </c>
      <c r="BI48" s="173" t="str">
        <f t="shared" ca="1" si="25"/>
        <v>**PSD</v>
      </c>
    </row>
    <row r="49" spans="1:61" ht="13.8" x14ac:dyDescent="0.25">
      <c r="A49" s="223" t="s">
        <v>259</v>
      </c>
      <c r="B49" s="224" t="s">
        <v>175</v>
      </c>
      <c r="C49" s="224">
        <v>15</v>
      </c>
      <c r="D49" s="224" t="s">
        <v>260</v>
      </c>
      <c r="E49" s="225" t="str">
        <f t="shared" ca="1" si="8"/>
        <v>R</v>
      </c>
      <c r="F49" s="348"/>
      <c r="G49" s="349">
        <f t="shared" ca="1" si="1"/>
        <v>54</v>
      </c>
      <c r="H49" s="350"/>
      <c r="I49" s="350"/>
      <c r="J49" s="191"/>
      <c r="K49" s="191"/>
      <c r="M49" s="351"/>
      <c r="N49" s="351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</v>
      </c>
      <c r="AL49" s="169">
        <f t="shared" ca="1" si="20"/>
        <v>15</v>
      </c>
      <c r="AM49" s="169" t="str">
        <f t="shared" ca="1" si="4"/>
        <v/>
      </c>
      <c r="AQ49" s="207" t="s">
        <v>247</v>
      </c>
      <c r="AR49" s="207" t="s">
        <v>139</v>
      </c>
      <c r="AS49" s="207">
        <v>20</v>
      </c>
      <c r="AT49" s="207" t="s">
        <v>248</v>
      </c>
      <c r="AV49" s="168">
        <f t="shared" si="21"/>
        <v>2</v>
      </c>
      <c r="AW49" s="168">
        <f>COUNTIF( AV$7:AV49, AV49 )</f>
        <v>11</v>
      </c>
      <c r="AX49" s="208">
        <f t="shared" si="22"/>
        <v>3.1</v>
      </c>
      <c r="AY49" s="168">
        <f t="shared" si="23"/>
        <v>12</v>
      </c>
      <c r="AZ49" s="169"/>
      <c r="BA49" s="169"/>
      <c r="BC49" s="168">
        <f t="shared" ca="1" si="24"/>
        <v>43</v>
      </c>
      <c r="BD49" s="209">
        <f t="shared" ca="1" si="6"/>
        <v>14</v>
      </c>
      <c r="BF49" s="173" t="str">
        <f t="shared" ca="1" si="25"/>
        <v>DPL Inc.</v>
      </c>
      <c r="BG49" s="173" t="str">
        <f t="shared" ca="1" si="25"/>
        <v>BB</v>
      </c>
      <c r="BH49" s="173">
        <f t="shared" ca="1" si="25"/>
        <v>15</v>
      </c>
      <c r="BI49" s="173" t="str">
        <f t="shared" ca="1" si="25"/>
        <v>**DPL</v>
      </c>
    </row>
    <row r="50" spans="1:61" ht="13.8" x14ac:dyDescent="0.25">
      <c r="A50" s="223" t="s">
        <v>301</v>
      </c>
      <c r="B50" s="224" t="s">
        <v>310</v>
      </c>
      <c r="C50" s="224" t="s">
        <v>310</v>
      </c>
      <c r="D50" s="224" t="s">
        <v>302</v>
      </c>
      <c r="E50" s="225" t="str">
        <f t="shared" ca="1" si="8"/>
        <v>R</v>
      </c>
      <c r="F50" s="348"/>
      <c r="G50" s="349">
        <f t="shared" ca="1" si="1"/>
        <v>36</v>
      </c>
      <c r="H50" s="350"/>
      <c r="I50" s="350"/>
      <c r="J50" s="191"/>
      <c r="K50" s="191"/>
      <c r="M50" s="351"/>
      <c r="N50" s="351"/>
      <c r="AF50" s="169">
        <f t="shared" si="2"/>
        <v>0</v>
      </c>
      <c r="AG50" s="169" t="str">
        <f t="shared" si="3"/>
        <v/>
      </c>
      <c r="AH50" s="169" t="str">
        <f t="shared" si="18"/>
        <v/>
      </c>
      <c r="AJ50" s="169">
        <f t="shared" ca="1" si="19"/>
        <v>50</v>
      </c>
      <c r="AK50" s="169" t="str">
        <f t="shared" ca="1" si="20"/>
        <v>D</v>
      </c>
      <c r="AL50" s="169">
        <f t="shared" ca="1" si="20"/>
        <v>3</v>
      </c>
      <c r="AM50" s="169" t="str">
        <f t="shared" ca="1" si="4"/>
        <v>Change</v>
      </c>
      <c r="AQ50" s="207" t="s">
        <v>251</v>
      </c>
      <c r="AR50" s="207" t="s">
        <v>139</v>
      </c>
      <c r="AS50" s="207">
        <v>20</v>
      </c>
      <c r="AT50" s="207" t="s">
        <v>252</v>
      </c>
      <c r="AV50" s="168">
        <f t="shared" si="21"/>
        <v>2</v>
      </c>
      <c r="AW50" s="168">
        <f>COUNTIF( AV$7:AV50, AV50 )</f>
        <v>12</v>
      </c>
      <c r="AX50" s="208">
        <f t="shared" si="22"/>
        <v>3.2</v>
      </c>
      <c r="AY50" s="168">
        <f t="shared" si="23"/>
        <v>13</v>
      </c>
      <c r="AZ50" s="169"/>
      <c r="BA50" s="169"/>
      <c r="BC50" s="168">
        <f t="shared" ca="1" si="24"/>
        <v>44</v>
      </c>
      <c r="BD50" s="209">
        <f t="shared" ca="1" si="6"/>
        <v>33</v>
      </c>
      <c r="BF50" s="173" t="str">
        <f t="shared" ca="1" si="25"/>
        <v>PG&amp;E Corporation</v>
      </c>
      <c r="BG50" s="173" t="str">
        <f t="shared" ca="1" si="25"/>
        <v/>
      </c>
      <c r="BH50" s="173" t="str">
        <f t="shared" ca="1" si="25"/>
        <v/>
      </c>
      <c r="BI50" s="173" t="str">
        <f t="shared" ca="1" si="25"/>
        <v>PCG</v>
      </c>
    </row>
    <row r="51" spans="1:61" ht="13.8" x14ac:dyDescent="0.25">
      <c r="A51" s="223"/>
      <c r="B51" s="224"/>
      <c r="C51" s="224"/>
      <c r="D51" s="224"/>
      <c r="E51" s="225"/>
      <c r="F51" s="348"/>
      <c r="G51" s="349"/>
      <c r="H51" s="350"/>
      <c r="I51" s="350"/>
      <c r="J51" s="191"/>
      <c r="K51" s="191"/>
      <c r="M51" s="351"/>
      <c r="N51" s="351"/>
      <c r="AF51" s="169">
        <f t="shared" si="2"/>
        <v>0</v>
      </c>
      <c r="AG51" s="169" t="str">
        <f t="shared" si="3"/>
        <v/>
      </c>
      <c r="AH51" s="169" t="str">
        <f t="shared" si="18"/>
        <v/>
      </c>
      <c r="AJ51" s="169" t="e">
        <f t="shared" ca="1" si="19"/>
        <v>#N/A</v>
      </c>
      <c r="AK51" s="169" t="str">
        <f t="shared" ca="1" si="20"/>
        <v/>
      </c>
      <c r="AL51" s="169" t="str">
        <f t="shared" ca="1" si="20"/>
        <v/>
      </c>
      <c r="AM51" s="169" t="str">
        <f t="shared" ca="1" si="4"/>
        <v/>
      </c>
      <c r="AQ51" s="207"/>
      <c r="AR51" s="207"/>
      <c r="AS51" s="207"/>
      <c r="AT51" s="207"/>
      <c r="AV51" s="168">
        <f t="shared" si="21"/>
        <v>99</v>
      </c>
      <c r="AW51" s="168">
        <f>COUNTIF( AV$7:AV51, AV51 )</f>
        <v>2</v>
      </c>
      <c r="AX51" s="208">
        <f t="shared" si="22"/>
        <v>99.2</v>
      </c>
      <c r="AY51" s="168">
        <f t="shared" si="23"/>
        <v>45</v>
      </c>
      <c r="AZ51" s="169"/>
      <c r="BA51" s="169"/>
      <c r="BC51" s="168">
        <f t="shared" ca="1" si="24"/>
        <v>45</v>
      </c>
      <c r="BD51" s="209">
        <f t="shared" ca="1" si="6"/>
        <v>45</v>
      </c>
      <c r="BF51" s="173">
        <f t="shared" ca="1" si="25"/>
        <v>0</v>
      </c>
      <c r="BG51" s="173">
        <f t="shared" ca="1" si="25"/>
        <v>0</v>
      </c>
      <c r="BH51" s="173">
        <f t="shared" ca="1" si="25"/>
        <v>0</v>
      </c>
      <c r="BI51" s="173">
        <f t="shared" ca="1" si="25"/>
        <v>0</v>
      </c>
    </row>
    <row r="52" spans="1:61" ht="13.8" x14ac:dyDescent="0.25">
      <c r="A52" s="223"/>
      <c r="B52" s="224"/>
      <c r="C52" s="224"/>
      <c r="D52" s="224"/>
      <c r="E52" s="225"/>
      <c r="F52" s="348"/>
      <c r="G52" s="349"/>
      <c r="H52" s="350"/>
      <c r="I52" s="350"/>
      <c r="J52" s="191"/>
      <c r="K52" s="191"/>
      <c r="AF52" s="169">
        <f t="shared" si="2"/>
        <v>0</v>
      </c>
      <c r="AG52" s="169" t="str">
        <f t="shared" si="3"/>
        <v/>
      </c>
      <c r="AH52" s="169" t="str">
        <f t="shared" si="18"/>
        <v/>
      </c>
      <c r="AJ52" s="169" t="e">
        <f t="shared" ca="1" si="19"/>
        <v>#N/A</v>
      </c>
      <c r="AK52" s="169" t="str">
        <f t="shared" ca="1" si="20"/>
        <v/>
      </c>
      <c r="AL52" s="169" t="str">
        <f t="shared" ca="1" si="20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si="21"/>
        <v>99</v>
      </c>
      <c r="AW52" s="168">
        <f>COUNTIF( AV$7:AV52, AV52 )</f>
        <v>3</v>
      </c>
      <c r="AX52" s="208">
        <f t="shared" si="22"/>
        <v>99.3</v>
      </c>
      <c r="AY52" s="168">
        <f t="shared" si="23"/>
        <v>46</v>
      </c>
      <c r="AZ52" s="169"/>
      <c r="BA52" s="169"/>
      <c r="BC52" s="168">
        <f t="shared" ca="1" si="24"/>
        <v>46</v>
      </c>
      <c r="BD52" s="209">
        <f t="shared" ca="1" si="6"/>
        <v>46</v>
      </c>
      <c r="BF52" s="173">
        <f t="shared" ca="1" si="25"/>
        <v>0</v>
      </c>
      <c r="BG52" s="173">
        <f t="shared" ca="1" si="25"/>
        <v>0</v>
      </c>
      <c r="BH52" s="173">
        <f t="shared" ca="1" si="25"/>
        <v>0</v>
      </c>
      <c r="BI52" s="173">
        <f t="shared" ca="1" si="25"/>
        <v>0</v>
      </c>
    </row>
    <row r="53" spans="1:61" ht="13.8" x14ac:dyDescent="0.25">
      <c r="A53" s="223"/>
      <c r="B53" s="224"/>
      <c r="C53" s="224"/>
      <c r="D53" s="224"/>
      <c r="E53" s="225"/>
      <c r="F53" s="348"/>
      <c r="G53" s="349" t="str">
        <f t="shared" ca="1" si="1"/>
        <v/>
      </c>
      <c r="H53" s="350"/>
      <c r="I53" s="350"/>
      <c r="J53" s="191"/>
      <c r="K53" s="191"/>
      <c r="AF53" s="169">
        <f t="shared" si="2"/>
        <v>0</v>
      </c>
      <c r="AG53" s="169" t="str">
        <f t="shared" si="3"/>
        <v/>
      </c>
      <c r="AH53" s="169" t="str">
        <f t="shared" si="18"/>
        <v/>
      </c>
      <c r="AJ53" s="169" t="e">
        <f t="shared" ca="1" si="19"/>
        <v>#N/A</v>
      </c>
      <c r="AK53" s="169" t="str">
        <f t="shared" ca="1" si="20"/>
        <v/>
      </c>
      <c r="AL53" s="169" t="str">
        <f t="shared" ca="1" si="20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si="21"/>
        <v>99</v>
      </c>
      <c r="AW53" s="168">
        <f>COUNTIF( AV$7:AV53, AV53 )</f>
        <v>4</v>
      </c>
      <c r="AX53" s="208">
        <f t="shared" si="22"/>
        <v>99.4</v>
      </c>
      <c r="AY53" s="168">
        <f t="shared" si="23"/>
        <v>47</v>
      </c>
      <c r="AZ53" s="169"/>
      <c r="BA53" s="169"/>
      <c r="BC53" s="168">
        <f t="shared" ca="1" si="24"/>
        <v>47</v>
      </c>
      <c r="BD53" s="209">
        <f t="shared" ca="1" si="6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ht="13.8" x14ac:dyDescent="0.25">
      <c r="A54" s="223"/>
      <c r="B54" s="224"/>
      <c r="C54" s="224"/>
      <c r="D54" s="224"/>
      <c r="E54" s="225"/>
      <c r="F54" s="348"/>
      <c r="G54" s="349" t="str">
        <f t="shared" ca="1" si="1"/>
        <v/>
      </c>
      <c r="H54" s="350"/>
      <c r="I54" s="350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8"/>
        <v/>
      </c>
      <c r="AJ54" s="169" t="e">
        <f t="shared" ca="1" si="19"/>
        <v>#N/A</v>
      </c>
      <c r="AK54" s="169" t="str">
        <f t="shared" ca="1" si="20"/>
        <v/>
      </c>
      <c r="AL54" s="169" t="str">
        <f t="shared" ca="1" si="20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21"/>
        <v>99</v>
      </c>
      <c r="AW54" s="168">
        <f>COUNTIF( AV$7:AV54, AV54 )</f>
        <v>5</v>
      </c>
      <c r="AX54" s="208">
        <f t="shared" si="22"/>
        <v>99.5</v>
      </c>
      <c r="AY54" s="168">
        <f t="shared" si="23"/>
        <v>48</v>
      </c>
      <c r="AZ54" s="169"/>
      <c r="BA54" s="169"/>
      <c r="BC54" s="168">
        <f t="shared" ca="1" si="24"/>
        <v>48</v>
      </c>
      <c r="BD54" s="209">
        <f t="shared" ca="1" si="6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3.8" x14ac:dyDescent="0.25">
      <c r="A55" s="223"/>
      <c r="B55" s="224"/>
      <c r="C55" s="224"/>
      <c r="D55" s="224"/>
      <c r="E55" s="225"/>
      <c r="F55" s="348"/>
      <c r="G55" s="349" t="str">
        <f t="shared" ca="1" si="1"/>
        <v/>
      </c>
      <c r="H55" s="350"/>
      <c r="I55" s="350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8"/>
        <v/>
      </c>
      <c r="AJ55" s="169" t="e">
        <f t="shared" ca="1" si="19"/>
        <v>#N/A</v>
      </c>
      <c r="AK55" s="169" t="str">
        <f t="shared" ca="1" si="20"/>
        <v/>
      </c>
      <c r="AL55" s="169" t="str">
        <f t="shared" ca="1" si="20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1"/>
        <v>99</v>
      </c>
      <c r="AW55" s="168">
        <f>COUNTIF( AV$7:AV55, AV55 )</f>
        <v>6</v>
      </c>
      <c r="AX55" s="208">
        <f t="shared" si="22"/>
        <v>99.6</v>
      </c>
      <c r="AY55" s="168">
        <f t="shared" si="23"/>
        <v>49</v>
      </c>
      <c r="AZ55" s="169"/>
      <c r="BA55" s="169"/>
      <c r="BC55" s="168">
        <f t="shared" ca="1" si="24"/>
        <v>49</v>
      </c>
      <c r="BD55" s="209">
        <f t="shared" ca="1" si="6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3.8" x14ac:dyDescent="0.25">
      <c r="A56" s="223"/>
      <c r="B56" s="224"/>
      <c r="C56" s="224"/>
      <c r="D56" s="224"/>
      <c r="E56" s="225"/>
      <c r="F56" s="348"/>
      <c r="G56" s="349" t="str">
        <f t="shared" ca="1" si="1"/>
        <v/>
      </c>
      <c r="H56" s="350"/>
      <c r="I56" s="350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7</v>
      </c>
      <c r="AX56" s="208">
        <f t="shared" si="22"/>
        <v>99.7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8" x14ac:dyDescent="0.25">
      <c r="A57" s="223"/>
      <c r="B57" s="224"/>
      <c r="C57" s="224"/>
      <c r="D57" s="224"/>
      <c r="E57" s="225"/>
      <c r="F57" s="348"/>
      <c r="G57" s="349" t="str">
        <f t="shared" ca="1" si="1"/>
        <v/>
      </c>
      <c r="H57" s="350"/>
      <c r="I57" s="350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8</v>
      </c>
      <c r="AX57" s="208">
        <f t="shared" si="22"/>
        <v>99.8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8" x14ac:dyDescent="0.25">
      <c r="A58" s="223"/>
      <c r="B58" s="224"/>
      <c r="C58" s="224"/>
      <c r="D58" s="224"/>
      <c r="E58" s="225"/>
      <c r="F58" s="348"/>
      <c r="G58" s="349" t="str">
        <f t="shared" ca="1" si="1"/>
        <v/>
      </c>
      <c r="H58" s="350"/>
      <c r="I58" s="350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9</v>
      </c>
      <c r="AX58" s="208">
        <f t="shared" si="22"/>
        <v>99.9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8" x14ac:dyDescent="0.25">
      <c r="A59" s="223"/>
      <c r="B59" s="224"/>
      <c r="C59" s="224"/>
      <c r="D59" s="224"/>
      <c r="E59" s="225" t="str">
        <f t="shared" ca="1" si="8"/>
        <v/>
      </c>
      <c r="F59" s="348"/>
      <c r="G59" s="349" t="str">
        <f t="shared" ca="1" si="1"/>
        <v/>
      </c>
      <c r="H59" s="350"/>
      <c r="I59" s="350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10</v>
      </c>
      <c r="AX59" s="208">
        <f t="shared" si="22"/>
        <v>100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" thickBot="1" x14ac:dyDescent="0.3">
      <c r="A60" s="192"/>
      <c r="B60" s="193"/>
      <c r="C60" s="193"/>
      <c r="D60" s="193"/>
      <c r="E60" s="194" t="str">
        <f t="shared" ca="1" si="8"/>
        <v/>
      </c>
      <c r="F60" s="350"/>
      <c r="G60" s="353" t="str">
        <f t="shared" ca="1" si="1"/>
        <v/>
      </c>
      <c r="H60" s="350"/>
      <c r="I60" s="350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11</v>
      </c>
      <c r="AX60" s="208">
        <f t="shared" si="22"/>
        <v>100.1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8" x14ac:dyDescent="0.25">
      <c r="A61" s="226" t="s">
        <v>308</v>
      </c>
      <c r="B61" s="227" t="s">
        <v>162</v>
      </c>
      <c r="C61" s="227">
        <v>23</v>
      </c>
      <c r="D61" s="227" t="s">
        <v>309</v>
      </c>
      <c r="E61" s="228" t="str">
        <f t="shared" ca="1" si="8"/>
        <v>R</v>
      </c>
      <c r="F61" s="354"/>
      <c r="G61" s="355">
        <f t="shared" ca="1" si="1"/>
        <v>30</v>
      </c>
      <c r="H61" s="350"/>
      <c r="I61" s="350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12</v>
      </c>
      <c r="AX61" s="208">
        <f t="shared" si="22"/>
        <v>100.2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8" x14ac:dyDescent="0.25">
      <c r="A62" s="223"/>
      <c r="B62" s="224"/>
      <c r="C62" s="224"/>
      <c r="D62" s="224"/>
      <c r="E62" s="225"/>
      <c r="F62" s="348"/>
      <c r="G62" s="349" t="str">
        <f t="shared" ca="1" si="1"/>
        <v/>
      </c>
      <c r="H62" s="350"/>
      <c r="I62" s="350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 t="e">
        <f t="shared" ca="1" si="19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13</v>
      </c>
      <c r="AX62" s="208">
        <f t="shared" si="22"/>
        <v>100.3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/>
      <c r="B63" s="229"/>
      <c r="C63" s="224"/>
      <c r="D63" s="224"/>
      <c r="E63" s="225"/>
      <c r="F63" s="348"/>
      <c r="G63" s="349"/>
      <c r="H63" s="350"/>
      <c r="I63" s="350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14</v>
      </c>
      <c r="AX63" s="208">
        <f t="shared" si="22"/>
        <v>100.4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/>
      <c r="B64" s="229"/>
      <c r="C64" s="224"/>
      <c r="D64" s="224"/>
      <c r="E64" s="225"/>
      <c r="F64" s="348"/>
      <c r="G64" s="349"/>
      <c r="H64" s="350"/>
      <c r="I64" s="350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308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58" ht="13.8" x14ac:dyDescent="0.25">
      <c r="A65" s="223"/>
      <c r="B65" s="229"/>
      <c r="C65" s="224"/>
      <c r="D65" s="224"/>
      <c r="E65" s="225"/>
      <c r="F65" s="348"/>
      <c r="G65" s="349"/>
      <c r="H65" s="350"/>
      <c r="I65" s="350"/>
      <c r="N65" s="168" t="s">
        <v>310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3.8" x14ac:dyDescent="0.25">
      <c r="A66" s="195"/>
      <c r="B66" s="196"/>
      <c r="C66" s="185"/>
      <c r="D66" s="185"/>
      <c r="E66" s="182"/>
      <c r="F66" s="350"/>
      <c r="H66" s="350"/>
      <c r="I66" s="350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50"/>
      <c r="H67" s="350"/>
      <c r="I67" s="350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8" x14ac:dyDescent="0.25">
      <c r="A68" s="200" t="s">
        <v>311</v>
      </c>
      <c r="B68" s="189" t="str">
        <f ca="1">OFFSET( Scale!$H$5, ROUND( C68, 0 ) - 1, 1 )</f>
        <v>BBB+</v>
      </c>
      <c r="C68" s="201">
        <f>AVERAGE(C7:C65)</f>
        <v>19</v>
      </c>
      <c r="D68" s="201"/>
      <c r="E68" s="201"/>
      <c r="F68" s="350"/>
      <c r="H68" s="350"/>
      <c r="I68" s="350"/>
      <c r="J68" s="351"/>
      <c r="K68" s="351"/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50"/>
      <c r="H69" s="350"/>
      <c r="I69" s="350"/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1"/>
      <c r="K70" s="351"/>
    </row>
    <row r="71" spans="1:58" x14ac:dyDescent="0.25">
      <c r="A71" s="203" t="s">
        <v>312</v>
      </c>
      <c r="F71" s="173"/>
      <c r="H71" s="173"/>
      <c r="I71" s="173"/>
    </row>
    <row r="72" spans="1:58" x14ac:dyDescent="0.25">
      <c r="A72" s="203" t="s">
        <v>313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314</v>
      </c>
      <c r="B73" s="173"/>
      <c r="D73" s="173"/>
      <c r="E73" s="173"/>
      <c r="F73" s="204"/>
      <c r="H73" s="204"/>
      <c r="I73" s="204"/>
    </row>
    <row r="74" spans="1:58" x14ac:dyDescent="0.25">
      <c r="A74" s="203" t="s">
        <v>315</v>
      </c>
      <c r="D74" s="204"/>
      <c r="F74" s="206"/>
      <c r="H74" s="206"/>
      <c r="I74" s="206"/>
      <c r="AQ74" s="207"/>
      <c r="AR74" s="207"/>
      <c r="AS74" s="207"/>
    </row>
    <row r="75" spans="1:58" x14ac:dyDescent="0.25">
      <c r="A75" s="203" t="s">
        <v>316</v>
      </c>
      <c r="D75" s="204"/>
      <c r="F75" s="206"/>
      <c r="H75" s="206"/>
      <c r="I75" s="206"/>
      <c r="AQ75" s="207"/>
      <c r="AR75" s="207"/>
      <c r="AS75" s="207"/>
    </row>
    <row r="76" spans="1:58" x14ac:dyDescent="0.25">
      <c r="A76" s="203"/>
      <c r="AQ76" s="207"/>
      <c r="AR76" s="207"/>
      <c r="AS76" s="207"/>
    </row>
    <row r="77" spans="1:58" x14ac:dyDescent="0.25">
      <c r="C77" s="190">
        <f>SUMPRODUCT( L8:L13, Y8:Y13 ) / L14</f>
        <v>18.977272727272727</v>
      </c>
      <c r="E77" s="191"/>
      <c r="G77" s="353"/>
      <c r="J77" s="173"/>
      <c r="K77" s="173"/>
      <c r="AQ77" s="207"/>
      <c r="AR77" s="207"/>
      <c r="AS77" s="207"/>
    </row>
    <row r="78" spans="1:58" s="173" customFormat="1" ht="13.8" x14ac:dyDescent="0.2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ref="AQ7:AT52">
    <sortCondition ref="AQ7:AQ52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271" priority="31" stopIfTrue="1">
      <formula>IF( $AH7 = 1, TRUE, FALSE )</formula>
    </cfRule>
    <cfRule type="expression" dxfId="1270" priority="32" stopIfTrue="1">
      <formula>IF( $AG7 = 1, TRUE, FALSE )</formula>
    </cfRule>
    <cfRule type="expression" dxfId="1269" priority="33" stopIfTrue="1">
      <formula>IF( $AF7 = 1, TRUE, FALSE )</formula>
    </cfRule>
  </conditionalFormatting>
  <conditionalFormatting sqref="A67:E67">
    <cfRule type="expression" dxfId="1268" priority="34" stopIfTrue="1">
      <formula>IF( $AH67 = 1, TRUE, FALSE )</formula>
    </cfRule>
    <cfRule type="expression" dxfId="1267" priority="35" stopIfTrue="1">
      <formula>IF( $AG67 = 1, TRUE, FALSE )</formula>
    </cfRule>
    <cfRule type="expression" dxfId="1266" priority="36" stopIfTrue="1">
      <formula>IF( $AF67 = 1, TRUE, FALSE )</formula>
    </cfRule>
  </conditionalFormatting>
  <conditionalFormatting sqref="A66:E66">
    <cfRule type="expression" dxfId="1265" priority="28" stopIfTrue="1">
      <formula>IF( $AH66 = 1, TRUE, FALSE )</formula>
    </cfRule>
    <cfRule type="expression" dxfId="1264" priority="29" stopIfTrue="1">
      <formula>IF( $AG66 = 1, TRUE, FALSE )</formula>
    </cfRule>
    <cfRule type="expression" dxfId="1263" priority="30" stopIfTrue="1">
      <formula>IF( $AF66 = 1, TRUE, FALSE )</formula>
    </cfRule>
  </conditionalFormatting>
  <conditionalFormatting sqref="A8:D33 B7:D7 A35:D58">
    <cfRule type="expression" dxfId="1262" priority="25" stopIfTrue="1">
      <formula>IF( $AH7 = 1, TRUE, FALSE )</formula>
    </cfRule>
    <cfRule type="expression" dxfId="1261" priority="26" stopIfTrue="1">
      <formula>IF( $AG7 = 1, TRUE, FALSE )</formula>
    </cfRule>
    <cfRule type="expression" dxfId="1260" priority="27" stopIfTrue="1">
      <formula>IF( $AF7 = 1, TRUE, FALSE )</formula>
    </cfRule>
  </conditionalFormatting>
  <conditionalFormatting sqref="A59:D59">
    <cfRule type="expression" dxfId="1259" priority="22" stopIfTrue="1">
      <formula>IF( $AH59 = 1, TRUE, FALSE )</formula>
    </cfRule>
    <cfRule type="expression" dxfId="1258" priority="23" stopIfTrue="1">
      <formula>IF( $AG59 = 1, TRUE, FALSE )</formula>
    </cfRule>
    <cfRule type="expression" dxfId="1257" priority="24" stopIfTrue="1">
      <formula>IF( $AF59 = 1, TRUE, FALSE )</formula>
    </cfRule>
  </conditionalFormatting>
  <conditionalFormatting sqref="A61:D65">
    <cfRule type="expression" dxfId="1256" priority="19" stopIfTrue="1">
      <formula>IF( $AH61 = 1, TRUE, FALSE )</formula>
    </cfRule>
    <cfRule type="expression" dxfId="1255" priority="20" stopIfTrue="1">
      <formula>IF( $AG61 = 1, TRUE, FALSE )</formula>
    </cfRule>
    <cfRule type="expression" dxfId="1254" priority="21" stopIfTrue="1">
      <formula>IF( $AF61 = 1, TRUE, FALSE )</formula>
    </cfRule>
  </conditionalFormatting>
  <conditionalFormatting sqref="U8:U12">
    <cfRule type="cellIs" dxfId="1253" priority="18" operator="equal">
      <formula>0</formula>
    </cfRule>
  </conditionalFormatting>
  <conditionalFormatting sqref="O8:O12 Q8:Q12">
    <cfRule type="cellIs" dxfId="1252" priority="17" operator="equal">
      <formula>0</formula>
    </cfRule>
  </conditionalFormatting>
  <conditionalFormatting sqref="V8:V12">
    <cfRule type="cellIs" dxfId="1251" priority="16" operator="equal">
      <formula>0</formula>
    </cfRule>
  </conditionalFormatting>
  <conditionalFormatting sqref="S8:S12">
    <cfRule type="cellIs" dxfId="1250" priority="14" operator="equal">
      <formula>0</formula>
    </cfRule>
  </conditionalFormatting>
  <conditionalFormatting sqref="R8:R12">
    <cfRule type="cellIs" dxfId="1249" priority="15" operator="equal">
      <formula>0</formula>
    </cfRule>
  </conditionalFormatting>
  <conditionalFormatting sqref="P8:P12">
    <cfRule type="cellIs" dxfId="1248" priority="13" operator="equal">
      <formula>0</formula>
    </cfRule>
  </conditionalFormatting>
  <conditionalFormatting sqref="M8:M12">
    <cfRule type="cellIs" dxfId="1247" priority="12" operator="equal">
      <formula>0</formula>
    </cfRule>
  </conditionalFormatting>
  <conditionalFormatting sqref="T8:T12">
    <cfRule type="cellIs" dxfId="1246" priority="11" operator="equal">
      <formula>0</formula>
    </cfRule>
  </conditionalFormatting>
  <conditionalFormatting sqref="N8:N12">
    <cfRule type="cellIs" dxfId="1245" priority="10" operator="equal">
      <formula>0</formula>
    </cfRule>
  </conditionalFormatting>
  <conditionalFormatting sqref="K8:K12">
    <cfRule type="cellIs" dxfId="1244" priority="9" operator="equal">
      <formula>0</formula>
    </cfRule>
  </conditionalFormatting>
  <conditionalFormatting sqref="I8:I12">
    <cfRule type="cellIs" dxfId="1243" priority="8" operator="equal">
      <formula>0</formula>
    </cfRule>
  </conditionalFormatting>
  <conditionalFormatting sqref="W8:W12">
    <cfRule type="cellIs" dxfId="1242" priority="7" operator="equal">
      <formula>0</formula>
    </cfRule>
  </conditionalFormatting>
  <conditionalFormatting sqref="A7">
    <cfRule type="expression" dxfId="1241" priority="4" stopIfTrue="1">
      <formula>IF( $AH7 = 1, TRUE, FALSE )</formula>
    </cfRule>
    <cfRule type="expression" dxfId="1240" priority="5" stopIfTrue="1">
      <formula>IF( $AG7 = 1, TRUE, FALSE )</formula>
    </cfRule>
    <cfRule type="expression" dxfId="1239" priority="6" stopIfTrue="1">
      <formula>IF( $AF7 = 1, TRUE, FALSE )</formula>
    </cfRule>
  </conditionalFormatting>
  <conditionalFormatting sqref="A34:D34">
    <cfRule type="expression" dxfId="1238" priority="1" stopIfTrue="1">
      <formula>IF( $AH34 = 1, TRUE, FALSE )</formula>
    </cfRule>
    <cfRule type="expression" dxfId="1237" priority="2" stopIfTrue="1">
      <formula>IF( $AG34 = 1, TRUE, FALSE )</formula>
    </cfRule>
    <cfRule type="expression" dxfId="1236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hidden="1" customWidth="1" outlineLevel="1"/>
    <col min="23" max="23" width="2" style="168" hidden="1" customWidth="1" outlineLevel="1"/>
    <col min="24" max="24" width="4.109375" style="168" customWidth="1" collapsed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15.88671875" style="169" hidden="1" customWidth="1" outlineLevel="1" collapsed="1"/>
    <col min="37" max="38" width="15.88671875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-- 2019 Q4</v>
      </c>
      <c r="G1" s="175" t="s">
        <v>195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 x14ac:dyDescent="0.25">
      <c r="A2" s="167"/>
      <c r="E2" s="171" t="str">
        <f>G2</f>
        <v>Reg_Percent_2018</v>
      </c>
      <c r="G2" s="172" t="s">
        <v>334</v>
      </c>
      <c r="AJ2" s="173" t="str">
        <f>AJ4 &amp; AJ3</f>
        <v>'Credit_2019Q3'!d:d</v>
      </c>
      <c r="AK2" s="173" t="str">
        <f>AK4 &amp; AK3</f>
        <v>'Credit_2019Q3'!b1</v>
      </c>
      <c r="AL2" s="173" t="str">
        <f>AL4 &amp; AL3</f>
        <v>'Credit_2019Q3'!c1</v>
      </c>
      <c r="AQ2" s="169"/>
    </row>
    <row r="3" spans="1:61" ht="18" hidden="1" outlineLevel="1" x14ac:dyDescent="0.25">
      <c r="A3" s="167"/>
      <c r="E3" s="174" t="str">
        <f>"'" &amp; E2 &amp; "'!"</f>
        <v>'Reg_Percent_2018'!</v>
      </c>
      <c r="G3" s="168" t="str">
        <f>"'" &amp; G2 &amp; "'!"</f>
        <v>'Reg_Percent_2018'!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205</v>
      </c>
      <c r="AK3" s="149" t="s">
        <v>206</v>
      </c>
      <c r="AL3" s="149" t="s">
        <v>207</v>
      </c>
      <c r="AQ3" s="169"/>
    </row>
    <row r="4" spans="1:61" ht="18" hidden="1" outlineLevel="1" x14ac:dyDescent="0.25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>$AQ$5</f>
        <v>'Credit_2019Q3'!</v>
      </c>
      <c r="AK4" s="169" t="str">
        <f t="shared" ref="AK4:AL4" si="0">$AQ$5</f>
        <v>'Credit_2019Q3'!</v>
      </c>
      <c r="AL4" s="169" t="str">
        <f t="shared" si="0"/>
        <v>'Credit_2019Q3'!</v>
      </c>
      <c r="AQ4" s="169"/>
    </row>
    <row r="5" spans="1:61" ht="13.8" collapsed="1" x14ac:dyDescent="0.25">
      <c r="E5" s="176" t="s">
        <v>209</v>
      </c>
      <c r="G5" s="170" t="s">
        <v>199</v>
      </c>
      <c r="I5" s="230"/>
      <c r="J5" s="389" t="s">
        <v>210</v>
      </c>
      <c r="K5" s="230"/>
      <c r="L5" s="391" t="str">
        <f>"All Companies" &amp; CHAR( 10 ) &amp; "("&amp; L14 &amp; ")"</f>
        <v>All Companies
(45)</v>
      </c>
      <c r="M5" s="391"/>
      <c r="N5" s="230"/>
      <c r="O5" s="389" t="str">
        <f ca="1">"Regulated" &amp; CHAR( 10 ) &amp; "(" &amp; O14 &amp; ")"</f>
        <v>Regulated
(35)</v>
      </c>
      <c r="P5" s="393"/>
      <c r="Q5" s="230"/>
      <c r="R5" s="389" t="str">
        <f ca="1">"Mostly Regulated" &amp; CHAR( 10 ) &amp; "(" &amp; R14 &amp; ")"</f>
        <v>Mostly Regulated
(10)</v>
      </c>
      <c r="S5" s="393"/>
      <c r="T5" s="230"/>
      <c r="U5" s="389" t="str">
        <f ca="1">"Diversified" &amp; CHAR( 10 ) &amp; "(" &amp; U14 &amp; ")"</f>
        <v>Diversified
(0)</v>
      </c>
      <c r="V5" s="393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335</v>
      </c>
    </row>
    <row r="6" spans="1:61" ht="28.5" customHeight="1" x14ac:dyDescent="0.25">
      <c r="A6" s="219" t="s">
        <v>212</v>
      </c>
      <c r="B6" s="220" t="s">
        <v>336</v>
      </c>
      <c r="C6" s="249" t="s">
        <v>214</v>
      </c>
      <c r="D6" s="221"/>
      <c r="E6" s="222">
        <f ca="1">INDIRECT( E3 &amp; G1 )</f>
        <v>43465</v>
      </c>
      <c r="I6" s="231"/>
      <c r="J6" s="390"/>
      <c r="K6" s="231"/>
      <c r="L6" s="392"/>
      <c r="M6" s="392"/>
      <c r="N6" s="231"/>
      <c r="O6" s="390"/>
      <c r="P6" s="390"/>
      <c r="Q6" s="231"/>
      <c r="R6" s="390" t="s">
        <v>136</v>
      </c>
      <c r="S6" s="390"/>
      <c r="T6" s="231"/>
      <c r="U6" s="390"/>
      <c r="V6" s="390"/>
      <c r="W6" s="231"/>
      <c r="AE6" s="178"/>
      <c r="AJ6" s="179"/>
    </row>
    <row r="7" spans="1:61" ht="13.8" x14ac:dyDescent="0.25">
      <c r="A7" s="223" t="s">
        <v>215</v>
      </c>
      <c r="B7" s="224" t="s">
        <v>166</v>
      </c>
      <c r="C7" s="224">
        <v>21</v>
      </c>
      <c r="D7" s="224" t="s">
        <v>216</v>
      </c>
      <c r="E7" s="225" t="str">
        <f ca="1">IF( LEN( $G7 ) = 0, "", OFFSET( INDIRECT( E$3 &amp; E$4 ), $G7 - 1, 0 ) )</f>
        <v>MR</v>
      </c>
      <c r="F7" s="348"/>
      <c r="G7" s="349">
        <f t="shared" ref="G7:G62" ca="1" si="1">IF( LEN( $D7 ) = 0, "", MATCH( $D7, INDIRECT( G$3 &amp; G$4 ), 0 ) )</f>
        <v>56</v>
      </c>
      <c r="H7" s="350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217</v>
      </c>
      <c r="AR7" s="207" t="s">
        <v>140</v>
      </c>
      <c r="AS7" s="207">
        <v>19</v>
      </c>
      <c r="AT7" s="207" t="s">
        <v>218</v>
      </c>
      <c r="AV7" s="168">
        <f>IF( LEN( AS7 ) = 0, 99, RANK( AS7, $AS$7:$AS$63 ) )</f>
        <v>14</v>
      </c>
      <c r="AW7" s="168">
        <f>COUNTIF( AV7:AV$7, AV7 )</f>
        <v>1</v>
      </c>
      <c r="AX7" s="208">
        <f>AV7 + AW7 / 10</f>
        <v>14.1</v>
      </c>
      <c r="AY7" s="168">
        <f>RANK( AX7, $AX$7:$AX$63, 1 )</f>
        <v>14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7</v>
      </c>
      <c r="BF7" s="173" t="str">
        <f t="shared" ref="BF7:BI38" ca="1" si="7">OFFSET( AQ$6, $BD7, 0 )</f>
        <v>Berkshire Energy Holdings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**BRK</v>
      </c>
    </row>
    <row r="8" spans="1:61" ht="13.8" x14ac:dyDescent="0.25">
      <c r="A8" s="223" t="s">
        <v>219</v>
      </c>
      <c r="B8" s="224" t="s">
        <v>139</v>
      </c>
      <c r="C8" s="224">
        <v>20</v>
      </c>
      <c r="D8" s="224" t="s">
        <v>220</v>
      </c>
      <c r="E8" s="225" t="str">
        <f t="shared" ref="E8:E61" ca="1" si="8">IF( LEN( $G8 ) = 0, "", OFFSET( INDIRECT( E$3 &amp; E$4 ), $G8 - 1, 0 ) )</f>
        <v>R</v>
      </c>
      <c r="F8" s="348"/>
      <c r="G8" s="349">
        <f t="shared" ca="1" si="1"/>
        <v>8</v>
      </c>
      <c r="H8" s="350"/>
      <c r="I8" s="233"/>
      <c r="J8" s="213" t="s">
        <v>137</v>
      </c>
      <c r="K8" s="233"/>
      <c r="L8" s="213">
        <f t="shared" ref="L8:L13" si="9">COUNTIF($C$7:$C$67,$X8)</f>
        <v>2</v>
      </c>
      <c r="M8" s="214">
        <f t="shared" ref="M8:M13" si="10">IF( L8 = 0, "", L8/L$14 )</f>
        <v>4.4444444444444446E-2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2.8571428571428571E-2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0.1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7">SUM(O8, R8, U8)</f>
        <v>2</v>
      </c>
      <c r="AC8" s="351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4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ref="AV8:AV63" si="21">IF( LEN( AS8 ) = 0, 99, RANK( AS8, $AS$7:$AS$63 ) )</f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ref="AY8:AY63" si="23">RANK( AX8, $AX$7:$AX$63, 1 )</f>
        <v>2</v>
      </c>
      <c r="AZ8" s="169"/>
      <c r="BA8" s="169"/>
      <c r="BC8" s="168">
        <f ca="1">OFFSET( BC8, -1, 0 ) + 1</f>
        <v>2</v>
      </c>
      <c r="BD8" s="209">
        <f t="shared" ca="1" si="6"/>
        <v>2</v>
      </c>
      <c r="BF8" s="173" t="str">
        <f t="shared" ca="1" si="7"/>
        <v>Alliant Energy Corporation</v>
      </c>
      <c r="BG8" s="173" t="str">
        <f t="shared" ca="1" si="7"/>
        <v>A-</v>
      </c>
      <c r="BH8" s="173">
        <f t="shared" ca="1" si="7"/>
        <v>20</v>
      </c>
      <c r="BI8" s="173" t="str">
        <f t="shared" ca="1" si="7"/>
        <v>LNT</v>
      </c>
    </row>
    <row r="9" spans="1:61" ht="13.8" x14ac:dyDescent="0.25">
      <c r="A9" s="223" t="s">
        <v>222</v>
      </c>
      <c r="B9" s="224" t="s">
        <v>139</v>
      </c>
      <c r="C9" s="224">
        <v>20</v>
      </c>
      <c r="D9" s="224" t="s">
        <v>223</v>
      </c>
      <c r="E9" s="225" t="str">
        <f t="shared" ca="1" si="8"/>
        <v>R</v>
      </c>
      <c r="F9" s="348"/>
      <c r="G9" s="349">
        <f t="shared" ca="1" si="1"/>
        <v>10</v>
      </c>
      <c r="H9" s="350"/>
      <c r="I9" s="234"/>
      <c r="J9" s="215" t="s">
        <v>139</v>
      </c>
      <c r="K9" s="234"/>
      <c r="L9" s="215">
        <f t="shared" si="9"/>
        <v>12</v>
      </c>
      <c r="M9" s="216">
        <f t="shared" si="10"/>
        <v>0.26666666666666666</v>
      </c>
      <c r="N9" s="234"/>
      <c r="O9" s="215">
        <f t="shared" ca="1" si="11"/>
        <v>11</v>
      </c>
      <c r="P9" s="216">
        <f t="shared" ca="1" si="12"/>
        <v>0.31428571428571428</v>
      </c>
      <c r="Q9" s="234"/>
      <c r="R9" s="215">
        <f t="shared" ca="1" si="13"/>
        <v>1</v>
      </c>
      <c r="S9" s="216">
        <f t="shared" ca="1" si="14"/>
        <v>0.1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7"/>
        <v>12</v>
      </c>
      <c r="AC9" s="351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si="21"/>
        <v>14</v>
      </c>
      <c r="AW9" s="168">
        <f>COUNTIF( AV$7:AV9, AV9 )</f>
        <v>2</v>
      </c>
      <c r="AX9" s="208">
        <f t="shared" si="22"/>
        <v>14.2</v>
      </c>
      <c r="AY9" s="168">
        <f t="shared" si="23"/>
        <v>15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4</v>
      </c>
      <c r="BF9" s="173" t="str">
        <f t="shared" ca="1" si="7"/>
        <v>American Electric Power Company, Inc.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AEP</v>
      </c>
    </row>
    <row r="10" spans="1:61" ht="13.8" x14ac:dyDescent="0.25">
      <c r="A10" s="223" t="s">
        <v>227</v>
      </c>
      <c r="B10" s="224" t="s">
        <v>139</v>
      </c>
      <c r="C10" s="224">
        <v>20</v>
      </c>
      <c r="D10" s="224" t="s">
        <v>228</v>
      </c>
      <c r="E10" s="225" t="str">
        <f t="shared" ca="1" si="8"/>
        <v>R</v>
      </c>
      <c r="F10" s="348"/>
      <c r="G10" s="349">
        <f t="shared" ca="1" si="1"/>
        <v>16</v>
      </c>
      <c r="H10" s="350"/>
      <c r="I10" s="234"/>
      <c r="J10" s="215" t="s">
        <v>140</v>
      </c>
      <c r="K10" s="234"/>
      <c r="L10" s="215">
        <f t="shared" si="9"/>
        <v>18</v>
      </c>
      <c r="M10" s="216">
        <f t="shared" si="10"/>
        <v>0.4</v>
      </c>
      <c r="N10" s="234"/>
      <c r="O10" s="215">
        <f t="shared" ca="1" si="11"/>
        <v>11</v>
      </c>
      <c r="P10" s="216">
        <f t="shared" ca="1" si="12"/>
        <v>0.31428571428571428</v>
      </c>
      <c r="Q10" s="234"/>
      <c r="R10" s="215">
        <f t="shared" ca="1" si="13"/>
        <v>7</v>
      </c>
      <c r="S10" s="216">
        <f t="shared" ca="1" si="14"/>
        <v>0.7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229</v>
      </c>
      <c r="Y10" s="186">
        <v>19</v>
      </c>
      <c r="Z10" s="186">
        <v>1</v>
      </c>
      <c r="AA10" s="185">
        <f t="shared" ca="1" si="17"/>
        <v>18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222</v>
      </c>
      <c r="AR10" s="207" t="s">
        <v>139</v>
      </c>
      <c r="AS10" s="207">
        <v>20</v>
      </c>
      <c r="AT10" s="207" t="s">
        <v>223</v>
      </c>
      <c r="AV10" s="168">
        <f t="shared" si="21"/>
        <v>2</v>
      </c>
      <c r="AW10" s="168">
        <f>COUNTIF( AV$7:AV10, AV10 )</f>
        <v>2</v>
      </c>
      <c r="AX10" s="208">
        <f t="shared" si="22"/>
        <v>2.2000000000000002</v>
      </c>
      <c r="AY10" s="168">
        <f t="shared" si="23"/>
        <v>3</v>
      </c>
      <c r="AZ10" s="169"/>
      <c r="BA10" s="169"/>
      <c r="BC10" s="168">
        <f t="shared" ca="1" si="24"/>
        <v>4</v>
      </c>
      <c r="BD10" s="209">
        <f t="shared" ca="1" si="6"/>
        <v>12</v>
      </c>
      <c r="BF10" s="173" t="str">
        <f t="shared" ca="1" si="7"/>
        <v>Consolidated Edison,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ED</v>
      </c>
    </row>
    <row r="11" spans="1:61" ht="13.8" x14ac:dyDescent="0.25">
      <c r="A11" s="223" t="s">
        <v>263</v>
      </c>
      <c r="B11" s="224" t="s">
        <v>139</v>
      </c>
      <c r="C11" s="224">
        <v>20</v>
      </c>
      <c r="D11" s="224" t="s">
        <v>264</v>
      </c>
      <c r="E11" s="225" t="str">
        <f t="shared" ca="1" si="8"/>
        <v>R</v>
      </c>
      <c r="F11" s="348"/>
      <c r="G11" s="349">
        <f t="shared" ca="1" si="1"/>
        <v>19</v>
      </c>
      <c r="H11" s="350"/>
      <c r="I11" s="234"/>
      <c r="J11" s="215" t="s">
        <v>141</v>
      </c>
      <c r="K11" s="234"/>
      <c r="L11" s="215">
        <f t="shared" si="9"/>
        <v>8</v>
      </c>
      <c r="M11" s="216">
        <f t="shared" si="10"/>
        <v>0.17777777777777778</v>
      </c>
      <c r="N11" s="234"/>
      <c r="O11" s="215">
        <f t="shared" ca="1" si="11"/>
        <v>8</v>
      </c>
      <c r="P11" s="216">
        <f t="shared" ca="1" si="12"/>
        <v>0.22857142857142856</v>
      </c>
      <c r="Q11" s="234"/>
      <c r="R11" s="215">
        <f t="shared" ca="1" si="13"/>
        <v>0</v>
      </c>
      <c r="S11" s="216" t="str">
        <f t="shared" ca="1" si="14"/>
        <v/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7"/>
        <v>8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233</v>
      </c>
      <c r="AR11" s="207" t="s">
        <v>140</v>
      </c>
      <c r="AS11" s="207">
        <v>19</v>
      </c>
      <c r="AT11" s="207" t="s">
        <v>234</v>
      </c>
      <c r="AV11" s="168">
        <f t="shared" si="21"/>
        <v>14</v>
      </c>
      <c r="AW11" s="168">
        <f>COUNTIF( AV$7:AV11, AV11 )</f>
        <v>3</v>
      </c>
      <c r="AX11" s="208">
        <f t="shared" si="22"/>
        <v>14.3</v>
      </c>
      <c r="AY11" s="168">
        <f t="shared" si="23"/>
        <v>16</v>
      </c>
      <c r="AZ11" s="169"/>
      <c r="BA11" s="169"/>
      <c r="BC11" s="168">
        <f t="shared" ca="1" si="24"/>
        <v>5</v>
      </c>
      <c r="BD11" s="209">
        <f t="shared" ca="1" si="6"/>
        <v>16</v>
      </c>
      <c r="BF11" s="173" t="str">
        <f t="shared" ca="1" si="7"/>
        <v>Duke Energy Corporation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DUK</v>
      </c>
    </row>
    <row r="12" spans="1:61" ht="13.8" x14ac:dyDescent="0.25">
      <c r="A12" s="223" t="s">
        <v>230</v>
      </c>
      <c r="B12" s="224" t="s">
        <v>139</v>
      </c>
      <c r="C12" s="224">
        <v>20</v>
      </c>
      <c r="D12" s="224" t="s">
        <v>231</v>
      </c>
      <c r="E12" s="225" t="str">
        <f t="shared" ca="1" si="8"/>
        <v>R</v>
      </c>
      <c r="F12" s="348"/>
      <c r="G12" s="349">
        <f t="shared" ca="1" si="1"/>
        <v>23</v>
      </c>
      <c r="H12" s="350"/>
      <c r="I12" s="234"/>
      <c r="J12" s="215" t="s">
        <v>142</v>
      </c>
      <c r="K12" s="234"/>
      <c r="L12" s="215">
        <f t="shared" si="9"/>
        <v>3</v>
      </c>
      <c r="M12" s="216">
        <f t="shared" si="10"/>
        <v>6.6666666666666666E-2</v>
      </c>
      <c r="N12" s="234"/>
      <c r="O12" s="215">
        <f t="shared" ca="1" si="11"/>
        <v>2</v>
      </c>
      <c r="P12" s="216">
        <f t="shared" ca="1" si="12"/>
        <v>5.7142857142857141E-2</v>
      </c>
      <c r="Q12" s="234"/>
      <c r="R12" s="215">
        <f t="shared" ca="1" si="13"/>
        <v>1</v>
      </c>
      <c r="S12" s="216">
        <f t="shared" ca="1" si="14"/>
        <v>0.1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237</v>
      </c>
      <c r="Y12" s="186">
        <v>17</v>
      </c>
      <c r="Z12" s="186">
        <v>1</v>
      </c>
      <c r="AA12" s="185">
        <f t="shared" ca="1" si="17"/>
        <v>3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238</v>
      </c>
      <c r="AR12" s="207" t="s">
        <v>141</v>
      </c>
      <c r="AS12" s="207">
        <v>18</v>
      </c>
      <c r="AT12" s="207" t="s">
        <v>239</v>
      </c>
      <c r="AV12" s="168">
        <f t="shared" si="21"/>
        <v>32</v>
      </c>
      <c r="AW12" s="168">
        <f>COUNTIF( AV$7:AV12, AV12 )</f>
        <v>1</v>
      </c>
      <c r="AX12" s="208">
        <f t="shared" si="22"/>
        <v>32.1</v>
      </c>
      <c r="AY12" s="168">
        <f t="shared" si="23"/>
        <v>32</v>
      </c>
      <c r="AZ12" s="169"/>
      <c r="BA12" s="169"/>
      <c r="BC12" s="168">
        <f t="shared" ca="1" si="24"/>
        <v>6</v>
      </c>
      <c r="BD12" s="209">
        <f t="shared" ca="1" si="6"/>
        <v>20</v>
      </c>
      <c r="BF12" s="173" t="str">
        <f t="shared" ca="1" si="7"/>
        <v>Evergy,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EVRG</v>
      </c>
    </row>
    <row r="13" spans="1:61" ht="13.8" x14ac:dyDescent="0.25">
      <c r="A13" s="223" t="s">
        <v>235</v>
      </c>
      <c r="B13" s="224" t="s">
        <v>139</v>
      </c>
      <c r="C13" s="224">
        <v>20</v>
      </c>
      <c r="D13" s="224" t="s">
        <v>236</v>
      </c>
      <c r="E13" s="225" t="str">
        <f t="shared" ca="1" si="8"/>
        <v>R</v>
      </c>
      <c r="F13" s="348"/>
      <c r="G13" s="349">
        <f t="shared" ca="1" si="1"/>
        <v>24</v>
      </c>
      <c r="H13" s="350"/>
      <c r="I13" s="235"/>
      <c r="J13" s="217" t="s">
        <v>143</v>
      </c>
      <c r="K13" s="235"/>
      <c r="L13" s="217">
        <f t="shared" si="9"/>
        <v>2</v>
      </c>
      <c r="M13" s="218">
        <f t="shared" si="10"/>
        <v>4.4444444444444446E-2</v>
      </c>
      <c r="N13" s="235"/>
      <c r="O13" s="217">
        <f t="shared" ca="1" si="11"/>
        <v>2</v>
      </c>
      <c r="P13" s="218">
        <f t="shared" ca="1" si="12"/>
        <v>5.7142857142857141E-2</v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242</v>
      </c>
      <c r="Y13" s="186">
        <v>16</v>
      </c>
      <c r="Z13" s="186">
        <v>1</v>
      </c>
      <c r="AA13" s="188">
        <f t="shared" ca="1" si="17"/>
        <v>2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215</v>
      </c>
      <c r="AR13" s="207" t="s">
        <v>166</v>
      </c>
      <c r="AS13" s="207">
        <v>21</v>
      </c>
      <c r="AT13" s="207" t="s">
        <v>216</v>
      </c>
      <c r="AV13" s="168">
        <f t="shared" si="21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23"/>
        <v>1</v>
      </c>
      <c r="AZ13" s="169"/>
      <c r="BA13" s="169"/>
      <c r="BC13" s="168">
        <f t="shared" ca="1" si="24"/>
        <v>7</v>
      </c>
      <c r="BD13" s="209">
        <f t="shared" ca="1" si="6"/>
        <v>21</v>
      </c>
      <c r="BF13" s="173" t="str">
        <f t="shared" ca="1" si="7"/>
        <v>Eversource Energy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ES</v>
      </c>
    </row>
    <row r="14" spans="1:61" ht="13.8" x14ac:dyDescent="0.25">
      <c r="A14" s="223" t="s">
        <v>240</v>
      </c>
      <c r="B14" s="224" t="s">
        <v>139</v>
      </c>
      <c r="C14" s="224">
        <v>20</v>
      </c>
      <c r="D14" s="224" t="s">
        <v>241</v>
      </c>
      <c r="E14" s="225" t="str">
        <f t="shared" ca="1" si="8"/>
        <v>MR</v>
      </c>
      <c r="F14" s="348"/>
      <c r="G14" s="349">
        <f t="shared" ca="1" si="1"/>
        <v>31</v>
      </c>
      <c r="H14" s="350"/>
      <c r="I14" s="236"/>
      <c r="J14" s="211" t="s">
        <v>144</v>
      </c>
      <c r="K14" s="236"/>
      <c r="L14" s="211">
        <f>SUM(L8:L13)</f>
        <v>45</v>
      </c>
      <c r="M14" s="212">
        <f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10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18.911111111111111</v>
      </c>
      <c r="Z14" s="190"/>
      <c r="AA14" s="189">
        <f ca="1">SUM(AA8:AA13)</f>
        <v>45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245</v>
      </c>
      <c r="AR14" s="207" t="s">
        <v>140</v>
      </c>
      <c r="AS14" s="207">
        <v>19</v>
      </c>
      <c r="AT14" s="207" t="s">
        <v>246</v>
      </c>
      <c r="AV14" s="168">
        <f>IF( LEN( AS14 ) = 0, 99, RANK( AS14, $AS$7:$AS$63 ) )</f>
        <v>14</v>
      </c>
      <c r="AW14" s="168">
        <f>COUNTIF( AV$7:AV14, AV14 )</f>
        <v>4</v>
      </c>
      <c r="AX14" s="208">
        <f t="shared" si="22"/>
        <v>14.4</v>
      </c>
      <c r="AY14" s="168">
        <f t="shared" si="23"/>
        <v>17</v>
      </c>
      <c r="AZ14" s="169"/>
      <c r="BA14" s="169"/>
      <c r="BC14" s="168">
        <f t="shared" ca="1" si="24"/>
        <v>8</v>
      </c>
      <c r="BD14" s="209">
        <f t="shared" ca="1" si="6"/>
        <v>28</v>
      </c>
      <c r="BF14" s="173" t="str">
        <f t="shared" ca="1" si="7"/>
        <v>NextEra Energy,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NEE</v>
      </c>
    </row>
    <row r="15" spans="1:61" ht="13.8" x14ac:dyDescent="0.25">
      <c r="A15" s="223" t="s">
        <v>281</v>
      </c>
      <c r="B15" s="224" t="s">
        <v>139</v>
      </c>
      <c r="C15" s="224">
        <v>20</v>
      </c>
      <c r="D15" s="224" t="s">
        <v>282</v>
      </c>
      <c r="E15" s="225" t="str">
        <f t="shared" ca="1" si="8"/>
        <v>R</v>
      </c>
      <c r="F15" s="348"/>
      <c r="G15" s="349">
        <f t="shared" ca="1" si="1"/>
        <v>37</v>
      </c>
      <c r="H15" s="350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249</v>
      </c>
      <c r="AR15" s="207" t="s">
        <v>140</v>
      </c>
      <c r="AS15" s="207">
        <v>19</v>
      </c>
      <c r="AT15" s="207" t="s">
        <v>250</v>
      </c>
      <c r="AV15" s="168">
        <f t="shared" si="21"/>
        <v>14</v>
      </c>
      <c r="AW15" s="168">
        <f>COUNTIF( AV$7:AV15, AV15 )</f>
        <v>5</v>
      </c>
      <c r="AX15" s="208">
        <f t="shared" si="22"/>
        <v>14.5</v>
      </c>
      <c r="AY15" s="168">
        <f t="shared" si="23"/>
        <v>18</v>
      </c>
      <c r="AZ15" s="169"/>
      <c r="BA15" s="169"/>
      <c r="BC15" s="168">
        <f t="shared" ca="1" si="24"/>
        <v>9</v>
      </c>
      <c r="BD15" s="209">
        <f t="shared" ca="1" si="6"/>
        <v>34</v>
      </c>
      <c r="BF15" s="173" t="str">
        <f t="shared" ca="1" si="7"/>
        <v>Pinnacle West Capital Corporation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PNW</v>
      </c>
    </row>
    <row r="16" spans="1:61" ht="13.8" x14ac:dyDescent="0.25">
      <c r="A16" s="223" t="s">
        <v>243</v>
      </c>
      <c r="B16" s="224" t="s">
        <v>139</v>
      </c>
      <c r="C16" s="224">
        <v>20</v>
      </c>
      <c r="D16" s="224" t="s">
        <v>244</v>
      </c>
      <c r="E16" s="225" t="str">
        <f t="shared" ca="1" si="8"/>
        <v>R</v>
      </c>
      <c r="F16" s="348"/>
      <c r="G16" s="349">
        <f t="shared" ca="1" si="1"/>
        <v>40</v>
      </c>
      <c r="H16" s="350"/>
      <c r="I16" s="232"/>
      <c r="J16" s="210" t="s">
        <v>253</v>
      </c>
      <c r="K16" s="232"/>
      <c r="L16" s="386">
        <f t="array" ref="L16">SUM( IF( LEN( $C$7:$C$65 ) = 0, 0, $C$7:$C$65 ) ) / SUM( IF( LEN( $C$7:$C$65 ) = 0, 0, 1  ) )</f>
        <v>18.644444444444446</v>
      </c>
      <c r="M16" s="387"/>
      <c r="N16" s="232"/>
      <c r="O16" s="386">
        <f t="array" aca="1" ref="O16" ca="1">SUM( IF( LEN( $C$7:$C$65 ) = 0, 0, IF( $E$7:$E$65 = O3, $C$7:$C$65, 0 ) ) ) / SUM( IF( LEN( $C$7:$C$65 ) = 0, 0, IF( $E$7:$E$65 = O3, 1, 0 ) ) )</f>
        <v>18.514285714285716</v>
      </c>
      <c r="P16" s="387"/>
      <c r="Q16" s="232"/>
      <c r="R16" s="386">
        <f t="array" aca="1" ref="R16" ca="1">SUM( IF( LEN( $C$7:$C$65 ) = 0, 0, IF( $E$7:$E$65 = R3, $C$7:$C$65, 0 ) ) ) / SUM( IF( LEN( $C$7:$C$65 ) = 0, 0, IF( $E$7:$E$65 = R3, 1, 0 ) ) )</f>
        <v>19.100000000000001</v>
      </c>
      <c r="S16" s="387"/>
      <c r="T16" s="232"/>
      <c r="U16" s="386" t="e">
        <f t="array" aca="1" ref="U16" ca="1">SUM( IF( LEN( $C$7:$C$65 ) = 0, 0, IF( $E$7:$E$65 = U3, $C$7:$C$65, 0 ) ) ) / SUM( IF( LEN( $C$7:$C$65 ) = 0, 0, IF( $E$7:$E$65 = U3, 1, 0 ) ) )</f>
        <v>#DIV/0!</v>
      </c>
      <c r="V16" s="388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254</v>
      </c>
      <c r="AR16" s="207" t="s">
        <v>142</v>
      </c>
      <c r="AS16" s="207">
        <v>17</v>
      </c>
      <c r="AT16" s="207" t="s">
        <v>255</v>
      </c>
      <c r="AV16" s="168">
        <f t="shared" si="21"/>
        <v>40</v>
      </c>
      <c r="AW16" s="168">
        <f>COUNTIF( AV$7:AV16, AV16 )</f>
        <v>1</v>
      </c>
      <c r="AX16" s="208">
        <f t="shared" si="22"/>
        <v>40.1</v>
      </c>
      <c r="AY16" s="168">
        <f t="shared" si="23"/>
        <v>40</v>
      </c>
      <c r="AZ16" s="169"/>
      <c r="BA16" s="169"/>
      <c r="BC16" s="168">
        <f t="shared" ca="1" si="24"/>
        <v>10</v>
      </c>
      <c r="BD16" s="209">
        <f t="shared" ca="1" si="6"/>
        <v>37</v>
      </c>
      <c r="BF16" s="173" t="str">
        <f t="shared" ca="1" si="7"/>
        <v>PPL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PPL</v>
      </c>
    </row>
    <row r="17" spans="1:61" ht="13.8" x14ac:dyDescent="0.25">
      <c r="A17" s="223" t="s">
        <v>293</v>
      </c>
      <c r="B17" s="224" t="s">
        <v>139</v>
      </c>
      <c r="C17" s="224">
        <v>20</v>
      </c>
      <c r="D17" s="224" t="s">
        <v>294</v>
      </c>
      <c r="E17" s="225" t="str">
        <f t="shared" ca="1" si="8"/>
        <v>R</v>
      </c>
      <c r="F17" s="348"/>
      <c r="G17" s="349">
        <f t="shared" ca="1" si="1"/>
        <v>43</v>
      </c>
      <c r="H17" s="350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256</v>
      </c>
      <c r="AR17" s="207" t="s">
        <v>140</v>
      </c>
      <c r="AS17" s="207">
        <v>19</v>
      </c>
      <c r="AT17" s="207" t="s">
        <v>257</v>
      </c>
      <c r="AV17" s="168">
        <f t="shared" si="21"/>
        <v>14</v>
      </c>
      <c r="AW17" s="168">
        <f>COUNTIF( AV$7:AV17, AV17 )</f>
        <v>6</v>
      </c>
      <c r="AX17" s="208">
        <f t="shared" si="22"/>
        <v>14.6</v>
      </c>
      <c r="AY17" s="168">
        <f t="shared" si="23"/>
        <v>19</v>
      </c>
      <c r="AZ17" s="169"/>
      <c r="BA17" s="169"/>
      <c r="BC17" s="168">
        <f t="shared" ca="1" si="24"/>
        <v>11</v>
      </c>
      <c r="BD17" s="209">
        <f t="shared" ca="1" si="6"/>
        <v>41</v>
      </c>
      <c r="BF17" s="173" t="str">
        <f t="shared" ca="1" si="7"/>
        <v>Southern Company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SO</v>
      </c>
    </row>
    <row r="18" spans="1:61" ht="13.8" x14ac:dyDescent="0.25">
      <c r="A18" s="223" t="s">
        <v>247</v>
      </c>
      <c r="B18" s="224" t="s">
        <v>139</v>
      </c>
      <c r="C18" s="224">
        <v>20</v>
      </c>
      <c r="D18" s="224" t="s">
        <v>248</v>
      </c>
      <c r="E18" s="225" t="str">
        <f t="shared" ca="1" si="8"/>
        <v>R</v>
      </c>
      <c r="F18" s="348"/>
      <c r="G18" s="349">
        <f t="shared" ca="1" si="1"/>
        <v>45</v>
      </c>
      <c r="H18" s="350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227</v>
      </c>
      <c r="AR18" s="207" t="s">
        <v>139</v>
      </c>
      <c r="AS18" s="207">
        <v>20</v>
      </c>
      <c r="AT18" s="207" t="s">
        <v>228</v>
      </c>
      <c r="AV18" s="168">
        <f t="shared" si="21"/>
        <v>2</v>
      </c>
      <c r="AW18" s="168">
        <f>COUNTIF( AV$7:AV18, AV18 )</f>
        <v>3</v>
      </c>
      <c r="AX18" s="208">
        <f t="shared" si="22"/>
        <v>2.2999999999999998</v>
      </c>
      <c r="AY18" s="168">
        <f t="shared" si="23"/>
        <v>4</v>
      </c>
      <c r="AZ18" s="169"/>
      <c r="BA18" s="169"/>
      <c r="BC18" s="168">
        <f t="shared" ca="1" si="24"/>
        <v>12</v>
      </c>
      <c r="BD18" s="209">
        <f t="shared" ca="1" si="6"/>
        <v>43</v>
      </c>
      <c r="BF18" s="173" t="str">
        <f t="shared" ca="1" si="7"/>
        <v>Wisconsin Energy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WEC</v>
      </c>
    </row>
    <row r="19" spans="1:61" ht="13.8" x14ac:dyDescent="0.25">
      <c r="A19" s="223" t="s">
        <v>251</v>
      </c>
      <c r="B19" s="224" t="s">
        <v>139</v>
      </c>
      <c r="C19" s="224">
        <v>20</v>
      </c>
      <c r="D19" s="224" t="s">
        <v>252</v>
      </c>
      <c r="E19" s="225" t="str">
        <f t="shared" ca="1" si="8"/>
        <v>R</v>
      </c>
      <c r="F19" s="348"/>
      <c r="G19" s="349">
        <f t="shared" ca="1" si="1"/>
        <v>46</v>
      </c>
      <c r="H19" s="350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258</v>
      </c>
      <c r="AR19" s="207" t="s">
        <v>140</v>
      </c>
      <c r="AS19" s="207">
        <v>19</v>
      </c>
      <c r="AT19" s="207" t="s">
        <v>194</v>
      </c>
      <c r="AV19" s="168">
        <f t="shared" si="21"/>
        <v>14</v>
      </c>
      <c r="AW19" s="168">
        <f>COUNTIF( AV$7:AV19, AV19 )</f>
        <v>7</v>
      </c>
      <c r="AX19" s="208">
        <f t="shared" si="22"/>
        <v>14.7</v>
      </c>
      <c r="AY19" s="168">
        <f t="shared" si="23"/>
        <v>20</v>
      </c>
      <c r="AZ19" s="169"/>
      <c r="BA19" s="169"/>
      <c r="BC19" s="168">
        <f t="shared" ca="1" si="24"/>
        <v>13</v>
      </c>
      <c r="BD19" s="209">
        <f t="shared" ca="1" si="6"/>
        <v>44</v>
      </c>
      <c r="BF19" s="173" t="str">
        <f t="shared" ca="1" si="7"/>
        <v>Xcel Energy Inc.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XEL</v>
      </c>
    </row>
    <row r="20" spans="1:61" ht="13.8" x14ac:dyDescent="0.25">
      <c r="A20" s="223" t="s">
        <v>217</v>
      </c>
      <c r="B20" s="224" t="s">
        <v>140</v>
      </c>
      <c r="C20" s="224">
        <v>19</v>
      </c>
      <c r="D20" s="224" t="s">
        <v>218</v>
      </c>
      <c r="E20" s="225" t="str">
        <f t="shared" ca="1" si="8"/>
        <v>MR</v>
      </c>
      <c r="F20" s="348"/>
      <c r="G20" s="349">
        <f t="shared" ca="1" si="1"/>
        <v>7</v>
      </c>
      <c r="H20" s="350"/>
      <c r="I20" s="352"/>
      <c r="K20" s="352"/>
      <c r="N20" s="352"/>
      <c r="O20" s="173"/>
      <c r="Q20" s="352"/>
      <c r="T20" s="352"/>
      <c r="W20" s="352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4"/>
        <v/>
      </c>
      <c r="AQ20" s="207" t="s">
        <v>259</v>
      </c>
      <c r="AR20" s="207" t="s">
        <v>175</v>
      </c>
      <c r="AS20" s="207">
        <v>15</v>
      </c>
      <c r="AT20" s="207" t="s">
        <v>260</v>
      </c>
      <c r="AV20" s="168">
        <f t="shared" si="21"/>
        <v>43</v>
      </c>
      <c r="AW20" s="168">
        <f>COUNTIF( AV$7:AV20, AV20 )</f>
        <v>1</v>
      </c>
      <c r="AX20" s="208">
        <f t="shared" si="22"/>
        <v>43.1</v>
      </c>
      <c r="AY20" s="168">
        <f t="shared" si="23"/>
        <v>43</v>
      </c>
      <c r="AZ20" s="169"/>
      <c r="BA20" s="169"/>
      <c r="BC20" s="168">
        <f t="shared" ca="1" si="24"/>
        <v>14</v>
      </c>
      <c r="BD20" s="209">
        <f t="shared" ca="1" si="6"/>
        <v>1</v>
      </c>
      <c r="BF20" s="173" t="str">
        <f t="shared" ca="1" si="7"/>
        <v>ALLETE, Inc.</v>
      </c>
      <c r="BG20" s="173" t="str">
        <f t="shared" ca="1" si="7"/>
        <v>BBB+</v>
      </c>
      <c r="BH20" s="173">
        <f t="shared" ca="1" si="7"/>
        <v>19</v>
      </c>
      <c r="BI20" s="173" t="str">
        <f t="shared" ca="1" si="7"/>
        <v>ALE</v>
      </c>
    </row>
    <row r="21" spans="1:61" ht="13.8" x14ac:dyDescent="0.25">
      <c r="A21" s="223" t="s">
        <v>225</v>
      </c>
      <c r="B21" s="224" t="s">
        <v>140</v>
      </c>
      <c r="C21" s="224">
        <v>19</v>
      </c>
      <c r="D21" s="224" t="s">
        <v>226</v>
      </c>
      <c r="E21" s="225" t="str">
        <f t="shared" ca="1" si="8"/>
        <v>R</v>
      </c>
      <c r="F21" s="348"/>
      <c r="G21" s="349">
        <f t="shared" ca="1" si="1"/>
        <v>9</v>
      </c>
      <c r="H21" s="350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261</v>
      </c>
      <c r="AR21" s="207" t="s">
        <v>140</v>
      </c>
      <c r="AS21" s="207">
        <v>19</v>
      </c>
      <c r="AT21" s="207" t="s">
        <v>262</v>
      </c>
      <c r="AV21" s="168">
        <f t="shared" si="21"/>
        <v>14</v>
      </c>
      <c r="AW21" s="168">
        <f>COUNTIF( AV$7:AV21, AV21 )</f>
        <v>8</v>
      </c>
      <c r="AX21" s="208">
        <f t="shared" si="22"/>
        <v>14.8</v>
      </c>
      <c r="AY21" s="168">
        <f t="shared" si="23"/>
        <v>21</v>
      </c>
      <c r="AZ21" s="169"/>
      <c r="BA21" s="169"/>
      <c r="BC21" s="168">
        <f t="shared" ca="1" si="24"/>
        <v>15</v>
      </c>
      <c r="BD21" s="209">
        <f t="shared" ca="1" si="6"/>
        <v>3</v>
      </c>
      <c r="BF21" s="173" t="str">
        <f t="shared" ca="1" si="7"/>
        <v>Ameren Corporation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AEE</v>
      </c>
    </row>
    <row r="22" spans="1:61" ht="13.8" x14ac:dyDescent="0.25">
      <c r="A22" s="223" t="s">
        <v>233</v>
      </c>
      <c r="B22" s="224" t="s">
        <v>140</v>
      </c>
      <c r="C22" s="224">
        <v>19</v>
      </c>
      <c r="D22" s="224" t="s">
        <v>234</v>
      </c>
      <c r="E22" s="225" t="str">
        <f t="shared" ca="1" si="8"/>
        <v>MR</v>
      </c>
      <c r="F22" s="348"/>
      <c r="G22" s="349">
        <f t="shared" ca="1" si="1"/>
        <v>11</v>
      </c>
      <c r="H22" s="350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263</v>
      </c>
      <c r="AR22" s="207" t="s">
        <v>139</v>
      </c>
      <c r="AS22" s="207">
        <v>20</v>
      </c>
      <c r="AT22" s="207" t="s">
        <v>264</v>
      </c>
      <c r="AV22" s="168">
        <f t="shared" si="21"/>
        <v>2</v>
      </c>
      <c r="AW22" s="168">
        <f>COUNTIF( AV$7:AV22, AV22 )</f>
        <v>4</v>
      </c>
      <c r="AX22" s="208">
        <f t="shared" si="22"/>
        <v>2.4</v>
      </c>
      <c r="AY22" s="168">
        <f t="shared" si="23"/>
        <v>5</v>
      </c>
      <c r="AZ22" s="169"/>
      <c r="BA22" s="169"/>
      <c r="BC22" s="168">
        <f t="shared" ca="1" si="24"/>
        <v>16</v>
      </c>
      <c r="BD22" s="209">
        <f t="shared" ca="1" si="6"/>
        <v>5</v>
      </c>
      <c r="BF22" s="173" t="str">
        <f t="shared" ca="1" si="7"/>
        <v>AVANGRID, Inc.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AGR</v>
      </c>
    </row>
    <row r="23" spans="1:61" ht="13.8" x14ac:dyDescent="0.25">
      <c r="A23" s="223" t="s">
        <v>245</v>
      </c>
      <c r="B23" s="224" t="s">
        <v>140</v>
      </c>
      <c r="C23" s="224">
        <v>19</v>
      </c>
      <c r="D23" s="224" t="s">
        <v>246</v>
      </c>
      <c r="E23" s="225" t="str">
        <f t="shared" ca="1" si="8"/>
        <v>R</v>
      </c>
      <c r="F23" s="348"/>
      <c r="G23" s="349">
        <f t="shared" ca="1" si="1"/>
        <v>13</v>
      </c>
      <c r="H23" s="350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265</v>
      </c>
      <c r="AR23" s="207" t="s">
        <v>141</v>
      </c>
      <c r="AS23" s="207">
        <v>18</v>
      </c>
      <c r="AT23" s="207" t="s">
        <v>266</v>
      </c>
      <c r="AV23" s="168">
        <f t="shared" si="21"/>
        <v>32</v>
      </c>
      <c r="AW23" s="168">
        <f>COUNTIF( AV$7:AV23, AV23 )</f>
        <v>2</v>
      </c>
      <c r="AX23" s="208">
        <f t="shared" si="22"/>
        <v>32.200000000000003</v>
      </c>
      <c r="AY23" s="168">
        <f t="shared" si="23"/>
        <v>33</v>
      </c>
      <c r="AZ23" s="169"/>
      <c r="BA23" s="169"/>
      <c r="BC23" s="168">
        <f t="shared" ca="1" si="24"/>
        <v>17</v>
      </c>
      <c r="BD23" s="209">
        <f t="shared" ca="1" si="6"/>
        <v>8</v>
      </c>
      <c r="BF23" s="173" t="str">
        <f t="shared" ca="1" si="7"/>
        <v>Black Hills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BKH</v>
      </c>
    </row>
    <row r="24" spans="1:61" ht="13.8" x14ac:dyDescent="0.25">
      <c r="A24" s="223" t="s">
        <v>249</v>
      </c>
      <c r="B24" s="224" t="s">
        <v>140</v>
      </c>
      <c r="C24" s="224">
        <v>19</v>
      </c>
      <c r="D24" s="224" t="s">
        <v>250</v>
      </c>
      <c r="E24" s="225" t="str">
        <f t="shared" ca="1" si="8"/>
        <v>MR</v>
      </c>
      <c r="F24" s="348"/>
      <c r="G24" s="349">
        <f t="shared" ca="1" si="1"/>
        <v>14</v>
      </c>
      <c r="H24" s="350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328</v>
      </c>
      <c r="AR24" s="207" t="s">
        <v>141</v>
      </c>
      <c r="AS24" s="207">
        <v>18</v>
      </c>
      <c r="AT24" s="207" t="s">
        <v>331</v>
      </c>
      <c r="AV24" s="168">
        <f t="shared" si="21"/>
        <v>32</v>
      </c>
      <c r="AW24" s="168">
        <f>COUNTIF( AV$7:AV24, AV24 )</f>
        <v>3</v>
      </c>
      <c r="AX24" s="208">
        <f t="shared" si="22"/>
        <v>32.299999999999997</v>
      </c>
      <c r="AY24" s="168">
        <f t="shared" si="23"/>
        <v>34</v>
      </c>
      <c r="AZ24" s="169"/>
      <c r="BA24" s="169"/>
      <c r="BC24" s="168">
        <f t="shared" ca="1" si="24"/>
        <v>18</v>
      </c>
      <c r="BD24" s="209">
        <f t="shared" ca="1" si="6"/>
        <v>9</v>
      </c>
      <c r="BF24" s="173" t="str">
        <f t="shared" ca="1" si="7"/>
        <v>CenterPoint Energy, Inc.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CNP</v>
      </c>
    </row>
    <row r="25" spans="1:61" ht="13.8" x14ac:dyDescent="0.25">
      <c r="A25" s="223" t="s">
        <v>256</v>
      </c>
      <c r="B25" s="224" t="s">
        <v>140</v>
      </c>
      <c r="C25" s="224">
        <v>19</v>
      </c>
      <c r="D25" s="224" t="s">
        <v>257</v>
      </c>
      <c r="E25" s="225" t="str">
        <f t="shared" ca="1" si="8"/>
        <v>R</v>
      </c>
      <c r="F25" s="348"/>
      <c r="G25" s="349">
        <f t="shared" ca="1" si="1"/>
        <v>15</v>
      </c>
      <c r="H25" s="350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267</v>
      </c>
      <c r="AR25" s="207" t="s">
        <v>140</v>
      </c>
      <c r="AS25" s="207">
        <v>19</v>
      </c>
      <c r="AT25" s="207" t="s">
        <v>268</v>
      </c>
      <c r="AV25" s="168">
        <f t="shared" si="21"/>
        <v>14</v>
      </c>
      <c r="AW25" s="168">
        <f>COUNTIF( AV$7:AV25, AV25 )</f>
        <v>9</v>
      </c>
      <c r="AX25" s="208">
        <f t="shared" si="22"/>
        <v>14.9</v>
      </c>
      <c r="AY25" s="168">
        <f t="shared" si="23"/>
        <v>22</v>
      </c>
      <c r="AZ25" s="169"/>
      <c r="BA25" s="169"/>
      <c r="BC25" s="168">
        <f t="shared" ca="1" si="24"/>
        <v>19</v>
      </c>
      <c r="BD25" s="209">
        <f t="shared" ca="1" si="6"/>
        <v>11</v>
      </c>
      <c r="BF25" s="173" t="str">
        <f t="shared" ca="1" si="7"/>
        <v>CMS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CMS</v>
      </c>
    </row>
    <row r="26" spans="1:61" ht="13.8" x14ac:dyDescent="0.25">
      <c r="A26" s="223" t="s">
        <v>258</v>
      </c>
      <c r="B26" s="224" t="s">
        <v>140</v>
      </c>
      <c r="C26" s="224">
        <v>19</v>
      </c>
      <c r="D26" s="224" t="s">
        <v>194</v>
      </c>
      <c r="E26" s="225" t="str">
        <f t="shared" ca="1" si="8"/>
        <v>R</v>
      </c>
      <c r="F26" s="348"/>
      <c r="G26" s="349">
        <f t="shared" ca="1" si="1"/>
        <v>17</v>
      </c>
      <c r="H26" s="350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230</v>
      </c>
      <c r="AR26" s="207" t="s">
        <v>139</v>
      </c>
      <c r="AS26" s="207">
        <v>20</v>
      </c>
      <c r="AT26" s="207" t="s">
        <v>231</v>
      </c>
      <c r="AV26" s="168">
        <f t="shared" si="21"/>
        <v>2</v>
      </c>
      <c r="AW26" s="168">
        <f>COUNTIF( AV$7:AV26, AV26 )</f>
        <v>5</v>
      </c>
      <c r="AX26" s="208">
        <f t="shared" si="22"/>
        <v>2.5</v>
      </c>
      <c r="AY26" s="168">
        <f t="shared" si="23"/>
        <v>6</v>
      </c>
      <c r="AZ26" s="169"/>
      <c r="BA26" s="169"/>
      <c r="BC26" s="168">
        <f t="shared" ca="1" si="24"/>
        <v>20</v>
      </c>
      <c r="BD26" s="209">
        <f t="shared" ca="1" si="6"/>
        <v>13</v>
      </c>
      <c r="BF26" s="173" t="str">
        <f t="shared" ca="1" si="7"/>
        <v>Dominion Energy, Inc.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</v>
      </c>
    </row>
    <row r="27" spans="1:61" ht="13.8" x14ac:dyDescent="0.25">
      <c r="A27" s="223" t="s">
        <v>261</v>
      </c>
      <c r="B27" s="224" t="s">
        <v>140</v>
      </c>
      <c r="C27" s="224">
        <v>19</v>
      </c>
      <c r="D27" s="224" t="s">
        <v>262</v>
      </c>
      <c r="E27" s="225" t="str">
        <f t="shared" ca="1" si="8"/>
        <v>MR</v>
      </c>
      <c r="F27" s="348"/>
      <c r="G27" s="349">
        <f t="shared" ca="1" si="1"/>
        <v>18</v>
      </c>
      <c r="H27" s="350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235</v>
      </c>
      <c r="AR27" s="207" t="s">
        <v>139</v>
      </c>
      <c r="AS27" s="207">
        <v>20</v>
      </c>
      <c r="AT27" s="207" t="s">
        <v>236</v>
      </c>
      <c r="AV27" s="168">
        <f t="shared" si="21"/>
        <v>2</v>
      </c>
      <c r="AW27" s="168">
        <f>COUNTIF( AV$7:AV27, AV27 )</f>
        <v>6</v>
      </c>
      <c r="AX27" s="208">
        <f t="shared" si="22"/>
        <v>2.6</v>
      </c>
      <c r="AY27" s="168">
        <f t="shared" si="23"/>
        <v>7</v>
      </c>
      <c r="AZ27" s="169"/>
      <c r="BA27" s="169"/>
      <c r="BC27" s="168">
        <f t="shared" ca="1" si="24"/>
        <v>21</v>
      </c>
      <c r="BD27" s="209">
        <f t="shared" ca="1" si="6"/>
        <v>15</v>
      </c>
      <c r="BF27" s="173" t="str">
        <f t="shared" ca="1" si="7"/>
        <v>DTE Energy Company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DTE</v>
      </c>
    </row>
    <row r="28" spans="1:61" ht="13.8" x14ac:dyDescent="0.25">
      <c r="A28" s="223" t="s">
        <v>267</v>
      </c>
      <c r="B28" s="224" t="s">
        <v>140</v>
      </c>
      <c r="C28" s="224">
        <v>19</v>
      </c>
      <c r="D28" s="224" t="s">
        <v>268</v>
      </c>
      <c r="E28" s="225" t="str">
        <f t="shared" ca="1" si="8"/>
        <v>R</v>
      </c>
      <c r="F28" s="348"/>
      <c r="G28" s="349">
        <f t="shared" ca="1" si="1"/>
        <v>22</v>
      </c>
      <c r="H28" s="350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269</v>
      </c>
      <c r="AR28" s="207" t="s">
        <v>140</v>
      </c>
      <c r="AS28" s="207">
        <v>19</v>
      </c>
      <c r="AT28" s="207" t="s">
        <v>270</v>
      </c>
      <c r="AV28" s="168">
        <f t="shared" si="21"/>
        <v>14</v>
      </c>
      <c r="AW28" s="168">
        <f>COUNTIF( AV$7:AV28, AV28 )</f>
        <v>10</v>
      </c>
      <c r="AX28" s="208">
        <f t="shared" si="22"/>
        <v>15</v>
      </c>
      <c r="AY28" s="168">
        <f t="shared" si="23"/>
        <v>23</v>
      </c>
      <c r="AZ28" s="169"/>
      <c r="BA28" s="169"/>
      <c r="BC28" s="168">
        <f t="shared" ca="1" si="24"/>
        <v>22</v>
      </c>
      <c r="BD28" s="209">
        <f t="shared" ca="1" si="6"/>
        <v>19</v>
      </c>
      <c r="BF28" s="173" t="str">
        <f t="shared" ca="1" si="7"/>
        <v>Entergy Corporation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ETR</v>
      </c>
    </row>
    <row r="29" spans="1:61" ht="13.8" x14ac:dyDescent="0.25">
      <c r="A29" s="223" t="s">
        <v>269</v>
      </c>
      <c r="B29" s="224" t="s">
        <v>140</v>
      </c>
      <c r="C29" s="224">
        <v>19</v>
      </c>
      <c r="D29" s="224" t="s">
        <v>270</v>
      </c>
      <c r="E29" s="225" t="str">
        <f t="shared" ca="1" si="8"/>
        <v>MR</v>
      </c>
      <c r="F29" s="348"/>
      <c r="G29" s="349">
        <f t="shared" ca="1" si="1"/>
        <v>25</v>
      </c>
      <c r="H29" s="350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275</v>
      </c>
      <c r="AR29" s="207" t="s">
        <v>141</v>
      </c>
      <c r="AS29" s="207">
        <v>18</v>
      </c>
      <c r="AT29" s="207" t="s">
        <v>276</v>
      </c>
      <c r="AV29" s="168">
        <f t="shared" si="21"/>
        <v>32</v>
      </c>
      <c r="AW29" s="168">
        <f>COUNTIF( AV$7:AV29, AV29 )</f>
        <v>4</v>
      </c>
      <c r="AX29" s="208">
        <f t="shared" si="22"/>
        <v>32.4</v>
      </c>
      <c r="AY29" s="168">
        <f t="shared" si="23"/>
        <v>35</v>
      </c>
      <c r="AZ29" s="169"/>
      <c r="BA29" s="169"/>
      <c r="BC29" s="168">
        <f t="shared" ca="1" si="24"/>
        <v>23</v>
      </c>
      <c r="BD29" s="209">
        <f t="shared" ca="1" si="6"/>
        <v>22</v>
      </c>
      <c r="BF29" s="173" t="str">
        <f t="shared" ca="1" si="7"/>
        <v>Exelon Corporation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EXC</v>
      </c>
    </row>
    <row r="30" spans="1:61" ht="13.8" x14ac:dyDescent="0.25">
      <c r="A30" s="223" t="s">
        <v>271</v>
      </c>
      <c r="B30" s="224" t="s">
        <v>140</v>
      </c>
      <c r="C30" s="224">
        <v>19</v>
      </c>
      <c r="D30" s="224" t="s">
        <v>272</v>
      </c>
      <c r="E30" s="225" t="str">
        <f t="shared" ca="1" si="8"/>
        <v>MR</v>
      </c>
      <c r="F30" s="348"/>
      <c r="G30" s="349">
        <f t="shared" ca="1" si="1"/>
        <v>29</v>
      </c>
      <c r="H30" s="350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279</v>
      </c>
      <c r="AR30" s="207" t="s">
        <v>142</v>
      </c>
      <c r="AS30" s="207">
        <v>17</v>
      </c>
      <c r="AT30" s="207" t="s">
        <v>280</v>
      </c>
      <c r="AV30" s="168">
        <f t="shared" si="21"/>
        <v>40</v>
      </c>
      <c r="AW30" s="168">
        <f>COUNTIF( AV$7:AV30, AV30 )</f>
        <v>2</v>
      </c>
      <c r="AX30" s="208">
        <f t="shared" si="22"/>
        <v>40.200000000000003</v>
      </c>
      <c r="AY30" s="168">
        <f t="shared" si="23"/>
        <v>41</v>
      </c>
      <c r="AZ30" s="169"/>
      <c r="BA30" s="169"/>
      <c r="BC30" s="168">
        <f t="shared" ca="1" si="24"/>
        <v>24</v>
      </c>
      <c r="BD30" s="209">
        <f t="shared" ca="1" si="6"/>
        <v>27</v>
      </c>
      <c r="BF30" s="173" t="str">
        <f t="shared" ca="1" si="7"/>
        <v>MDU Resources Group,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MDU</v>
      </c>
    </row>
    <row r="31" spans="1:61" ht="13.8" x14ac:dyDescent="0.25">
      <c r="A31" s="223" t="s">
        <v>273</v>
      </c>
      <c r="B31" s="224" t="s">
        <v>140</v>
      </c>
      <c r="C31" s="224">
        <v>19</v>
      </c>
      <c r="D31" s="224" t="s">
        <v>274</v>
      </c>
      <c r="E31" s="225" t="str">
        <f t="shared" ca="1" si="8"/>
        <v>R</v>
      </c>
      <c r="F31" s="348"/>
      <c r="G31" s="349">
        <f t="shared" ca="1" si="1"/>
        <v>32</v>
      </c>
      <c r="H31" s="350"/>
      <c r="I31" s="237"/>
      <c r="J31" s="191"/>
      <c r="K31" s="237"/>
      <c r="N31" s="237"/>
      <c r="O31" s="351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283</v>
      </c>
      <c r="AR31" s="207" t="s">
        <v>141</v>
      </c>
      <c r="AS31" s="207">
        <v>18</v>
      </c>
      <c r="AT31" s="207" t="s">
        <v>284</v>
      </c>
      <c r="AV31" s="168">
        <f t="shared" si="21"/>
        <v>32</v>
      </c>
      <c r="AW31" s="168">
        <f>COUNTIF( AV$7:AV31, AV31 )</f>
        <v>5</v>
      </c>
      <c r="AX31" s="208">
        <f t="shared" si="22"/>
        <v>32.5</v>
      </c>
      <c r="AY31" s="168">
        <f t="shared" si="23"/>
        <v>36</v>
      </c>
      <c r="AZ31" s="169"/>
      <c r="BA31" s="169"/>
      <c r="BC31" s="168">
        <f t="shared" ca="1" si="24"/>
        <v>25</v>
      </c>
      <c r="BD31" s="209">
        <f t="shared" ca="1" si="6"/>
        <v>29</v>
      </c>
      <c r="BF31" s="173" t="str">
        <f t="shared" ca="1" si="7"/>
        <v>NiSource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NI</v>
      </c>
    </row>
    <row r="32" spans="1:61" ht="13.8" x14ac:dyDescent="0.25">
      <c r="A32" s="223" t="s">
        <v>277</v>
      </c>
      <c r="B32" s="224" t="s">
        <v>140</v>
      </c>
      <c r="C32" s="224">
        <v>19</v>
      </c>
      <c r="D32" s="224" t="s">
        <v>278</v>
      </c>
      <c r="E32" s="225" t="str">
        <f t="shared" ca="1" si="8"/>
        <v>R</v>
      </c>
      <c r="F32" s="348"/>
      <c r="G32" s="349">
        <f t="shared" ca="1" si="1"/>
        <v>34</v>
      </c>
      <c r="H32" s="350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32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287</v>
      </c>
      <c r="AR32" s="207" t="s">
        <v>141</v>
      </c>
      <c r="AS32" s="207">
        <v>18</v>
      </c>
      <c r="AT32" s="207" t="s">
        <v>288</v>
      </c>
      <c r="AV32" s="168">
        <f t="shared" si="21"/>
        <v>32</v>
      </c>
      <c r="AW32" s="168">
        <f>COUNTIF( AV$7:AV32, AV32 )</f>
        <v>6</v>
      </c>
      <c r="AX32" s="208">
        <f t="shared" si="22"/>
        <v>32.6</v>
      </c>
      <c r="AY32" s="168">
        <f t="shared" si="23"/>
        <v>37</v>
      </c>
      <c r="AZ32" s="169"/>
      <c r="BA32" s="169"/>
      <c r="BC32" s="168">
        <f t="shared" ca="1" si="24"/>
        <v>26</v>
      </c>
      <c r="BD32" s="209">
        <f t="shared" ca="1" si="6"/>
        <v>31</v>
      </c>
      <c r="BF32" s="173" t="str">
        <f t="shared" ca="1" si="7"/>
        <v>OGE Energy Corp.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OGE</v>
      </c>
    </row>
    <row r="33" spans="1:61" ht="13.8" x14ac:dyDescent="0.25">
      <c r="A33" s="223" t="s">
        <v>303</v>
      </c>
      <c r="B33" s="224" t="s">
        <v>140</v>
      </c>
      <c r="C33" s="224">
        <v>19</v>
      </c>
      <c r="D33" s="224" t="s">
        <v>304</v>
      </c>
      <c r="E33" s="225" t="str">
        <f t="shared" ca="1" si="8"/>
        <v>R</v>
      </c>
      <c r="F33" s="348"/>
      <c r="G33" s="349">
        <f t="shared" ca="1" si="1"/>
        <v>38</v>
      </c>
      <c r="H33" s="350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33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271</v>
      </c>
      <c r="AR33" s="207" t="s">
        <v>140</v>
      </c>
      <c r="AS33" s="207">
        <v>19</v>
      </c>
      <c r="AT33" s="207" t="s">
        <v>272</v>
      </c>
      <c r="AV33" s="168">
        <f t="shared" si="21"/>
        <v>14</v>
      </c>
      <c r="AW33" s="168">
        <f>COUNTIF( AV$7:AV33, AV33 )</f>
        <v>11</v>
      </c>
      <c r="AX33" s="208">
        <f t="shared" si="22"/>
        <v>15.1</v>
      </c>
      <c r="AY33" s="168">
        <f t="shared" si="23"/>
        <v>24</v>
      </c>
      <c r="AZ33" s="169"/>
      <c r="BA33" s="169"/>
      <c r="BC33" s="168">
        <f t="shared" ca="1" si="24"/>
        <v>27</v>
      </c>
      <c r="BD33" s="209">
        <f t="shared" ca="1" si="6"/>
        <v>35</v>
      </c>
      <c r="BF33" s="173" t="str">
        <f t="shared" ca="1" si="7"/>
        <v>PNM Resources, Inc.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PNM</v>
      </c>
    </row>
    <row r="34" spans="1:61" ht="13.8" x14ac:dyDescent="0.25">
      <c r="A34" s="223" t="s">
        <v>285</v>
      </c>
      <c r="B34" s="224" t="s">
        <v>140</v>
      </c>
      <c r="C34" s="224">
        <v>19</v>
      </c>
      <c r="D34" s="224" t="s">
        <v>286</v>
      </c>
      <c r="E34" s="225" t="str">
        <f t="shared" ca="1" si="8"/>
        <v>R</v>
      </c>
      <c r="F34" s="348"/>
      <c r="G34" s="349">
        <f t="shared" ca="1" si="1"/>
        <v>39</v>
      </c>
      <c r="H34" s="350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34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240</v>
      </c>
      <c r="AR34" s="207" t="s">
        <v>139</v>
      </c>
      <c r="AS34" s="207">
        <v>20</v>
      </c>
      <c r="AT34" s="207" t="s">
        <v>241</v>
      </c>
      <c r="AV34" s="168">
        <f t="shared" si="21"/>
        <v>2</v>
      </c>
      <c r="AW34" s="168">
        <f>COUNTIF( AV$7:AV34, AV34 )</f>
        <v>7</v>
      </c>
      <c r="AX34" s="208">
        <f t="shared" si="22"/>
        <v>2.7</v>
      </c>
      <c r="AY34" s="168">
        <f t="shared" si="23"/>
        <v>8</v>
      </c>
      <c r="AZ34" s="169"/>
      <c r="BA34" s="169"/>
      <c r="BC34" s="168">
        <f t="shared" ca="1" si="24"/>
        <v>28</v>
      </c>
      <c r="BD34" s="209">
        <f t="shared" ca="1" si="6"/>
        <v>36</v>
      </c>
      <c r="BF34" s="173" t="str">
        <f t="shared" ca="1" si="7"/>
        <v>Portland General Electric Company</v>
      </c>
      <c r="BG34" s="173" t="str">
        <f t="shared" ca="1" si="7"/>
        <v>BBB+</v>
      </c>
      <c r="BH34" s="173">
        <f t="shared" ca="1" si="7"/>
        <v>19</v>
      </c>
      <c r="BI34" s="173" t="str">
        <f ca="1">OFFSET( AT$6, $BD34, 0 )</f>
        <v>POR</v>
      </c>
    </row>
    <row r="35" spans="1:61" ht="13.8" x14ac:dyDescent="0.25">
      <c r="A35" s="223" t="s">
        <v>289</v>
      </c>
      <c r="B35" s="224" t="s">
        <v>140</v>
      </c>
      <c r="C35" s="224">
        <v>19</v>
      </c>
      <c r="D35" s="224" t="s">
        <v>290</v>
      </c>
      <c r="E35" s="225" t="str">
        <f t="shared" ca="1" si="8"/>
        <v>MR</v>
      </c>
      <c r="F35" s="348"/>
      <c r="G35" s="349">
        <f t="shared" ca="1" si="1"/>
        <v>41</v>
      </c>
      <c r="H35" s="350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35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273</v>
      </c>
      <c r="AR35" s="207" t="s">
        <v>140</v>
      </c>
      <c r="AS35" s="207">
        <v>19</v>
      </c>
      <c r="AT35" s="207" t="s">
        <v>274</v>
      </c>
      <c r="AV35" s="168">
        <f t="shared" si="21"/>
        <v>14</v>
      </c>
      <c r="AW35" s="168">
        <f>COUNTIF( AV$7:AV35, AV35 )</f>
        <v>12</v>
      </c>
      <c r="AX35" s="208">
        <f t="shared" si="22"/>
        <v>15.2</v>
      </c>
      <c r="AY35" s="168">
        <f t="shared" si="23"/>
        <v>25</v>
      </c>
      <c r="AZ35" s="169"/>
      <c r="BA35" s="169"/>
      <c r="BC35" s="168">
        <f t="shared" ca="1" si="24"/>
        <v>29</v>
      </c>
      <c r="BD35" s="209">
        <f t="shared" ca="1" si="6"/>
        <v>38</v>
      </c>
      <c r="BF35" s="173" t="str">
        <f t="shared" ca="1" si="7"/>
        <v>Public Service Enterprise Group Incorporated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PEG</v>
      </c>
    </row>
    <row r="36" spans="1:61" ht="13.8" x14ac:dyDescent="0.25">
      <c r="A36" s="223" t="s">
        <v>291</v>
      </c>
      <c r="B36" s="224" t="s">
        <v>140</v>
      </c>
      <c r="C36" s="224">
        <v>19</v>
      </c>
      <c r="D36" s="224" t="s">
        <v>292</v>
      </c>
      <c r="E36" s="225" t="str">
        <f t="shared" ca="1" si="8"/>
        <v>R</v>
      </c>
      <c r="F36" s="348"/>
      <c r="G36" s="349">
        <f t="shared" ca="1" si="1"/>
        <v>42</v>
      </c>
      <c r="H36" s="350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36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297</v>
      </c>
      <c r="AR36" s="207" t="s">
        <v>141</v>
      </c>
      <c r="AS36" s="207">
        <v>18</v>
      </c>
      <c r="AT36" s="207" t="s">
        <v>298</v>
      </c>
      <c r="AV36" s="168">
        <f t="shared" si="21"/>
        <v>32</v>
      </c>
      <c r="AW36" s="168">
        <f>COUNTIF( AV$7:AV36, AV36 )</f>
        <v>7</v>
      </c>
      <c r="AX36" s="208">
        <f t="shared" si="22"/>
        <v>32.700000000000003</v>
      </c>
      <c r="AY36" s="168">
        <f t="shared" si="23"/>
        <v>38</v>
      </c>
      <c r="AZ36" s="169"/>
      <c r="BA36" s="169"/>
      <c r="BC36" s="168">
        <f t="shared" ca="1" si="24"/>
        <v>30</v>
      </c>
      <c r="BD36" s="209">
        <f t="shared" ca="1" si="6"/>
        <v>40</v>
      </c>
      <c r="BF36" s="173" t="str">
        <f t="shared" ca="1" si="7"/>
        <v>Sempra Energy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SRE</v>
      </c>
    </row>
    <row r="37" spans="1:61" ht="13.8" x14ac:dyDescent="0.25">
      <c r="A37" s="223" t="s">
        <v>295</v>
      </c>
      <c r="B37" s="224" t="s">
        <v>140</v>
      </c>
      <c r="C37" s="224">
        <v>19</v>
      </c>
      <c r="D37" s="224" t="s">
        <v>296</v>
      </c>
      <c r="E37" s="225" t="str">
        <f t="shared" ca="1" si="8"/>
        <v>R</v>
      </c>
      <c r="F37" s="348"/>
      <c r="G37" s="349">
        <f t="shared" ca="1" si="1"/>
        <v>44</v>
      </c>
      <c r="H37" s="350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37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277</v>
      </c>
      <c r="AR37" s="207" t="s">
        <v>140</v>
      </c>
      <c r="AS37" s="207">
        <v>19</v>
      </c>
      <c r="AT37" s="207" t="s">
        <v>278</v>
      </c>
      <c r="AV37" s="168">
        <f t="shared" si="21"/>
        <v>14</v>
      </c>
      <c r="AW37" s="168">
        <f>COUNTIF( AV$7:AV37, AV37 )</f>
        <v>13</v>
      </c>
      <c r="AX37" s="208">
        <f t="shared" si="22"/>
        <v>15.3</v>
      </c>
      <c r="AY37" s="168">
        <f t="shared" si="23"/>
        <v>26</v>
      </c>
      <c r="AZ37" s="169"/>
      <c r="BA37" s="169"/>
      <c r="BC37" s="168">
        <f t="shared" ca="1" si="24"/>
        <v>31</v>
      </c>
      <c r="BD37" s="209">
        <f t="shared" ca="1" si="6"/>
        <v>42</v>
      </c>
      <c r="BF37" s="173" t="str">
        <f t="shared" ca="1" si="7"/>
        <v>Unitil Corporation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UTL</v>
      </c>
    </row>
    <row r="38" spans="1:61" ht="13.8" x14ac:dyDescent="0.25">
      <c r="A38" s="223" t="s">
        <v>238</v>
      </c>
      <c r="B38" s="224" t="s">
        <v>141</v>
      </c>
      <c r="C38" s="224">
        <v>18</v>
      </c>
      <c r="D38" s="224" t="s">
        <v>239</v>
      </c>
      <c r="E38" s="225" t="str">
        <f t="shared" ca="1" si="8"/>
        <v>R</v>
      </c>
      <c r="F38" s="348"/>
      <c r="G38" s="349">
        <f t="shared" ca="1" si="1"/>
        <v>12</v>
      </c>
      <c r="H38" s="350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38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299</v>
      </c>
      <c r="AR38" s="207" t="s">
        <v>141</v>
      </c>
      <c r="AS38" s="207">
        <v>18</v>
      </c>
      <c r="AT38" s="207" t="s">
        <v>300</v>
      </c>
      <c r="AV38" s="168">
        <f t="shared" si="21"/>
        <v>32</v>
      </c>
      <c r="AW38" s="168">
        <f>COUNTIF( AV$7:AV38, AV38 )</f>
        <v>8</v>
      </c>
      <c r="AX38" s="208">
        <f t="shared" si="22"/>
        <v>32.799999999999997</v>
      </c>
      <c r="AY38" s="168">
        <f t="shared" si="23"/>
        <v>39</v>
      </c>
      <c r="AZ38" s="169"/>
      <c r="BA38" s="169"/>
      <c r="BC38" s="168">
        <f t="shared" ca="1" si="24"/>
        <v>32</v>
      </c>
      <c r="BD38" s="209">
        <f t="shared" ca="1" si="6"/>
        <v>6</v>
      </c>
      <c r="BF38" s="173" t="str">
        <f t="shared" ca="1" si="7"/>
        <v>Avista Corporation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AVA</v>
      </c>
    </row>
    <row r="39" spans="1:61" ht="13.8" x14ac:dyDescent="0.25">
      <c r="A39" s="223" t="s">
        <v>265</v>
      </c>
      <c r="B39" s="224" t="s">
        <v>141</v>
      </c>
      <c r="C39" s="224">
        <v>18</v>
      </c>
      <c r="D39" s="224" t="s">
        <v>266</v>
      </c>
      <c r="E39" s="225" t="str">
        <f t="shared" ca="1" si="8"/>
        <v>R</v>
      </c>
      <c r="F39" s="348"/>
      <c r="G39" s="349">
        <f t="shared" ca="1" si="1"/>
        <v>20</v>
      </c>
      <c r="H39" s="350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39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301</v>
      </c>
      <c r="AR39" s="207" t="s">
        <v>194</v>
      </c>
      <c r="AS39" s="207">
        <v>3</v>
      </c>
      <c r="AT39" s="207" t="s">
        <v>302</v>
      </c>
      <c r="AV39" s="168">
        <f t="shared" si="21"/>
        <v>44</v>
      </c>
      <c r="AW39" s="168">
        <f>COUNTIF( AV$7:AV39, AV39 )</f>
        <v>1</v>
      </c>
      <c r="AX39" s="208">
        <f t="shared" si="22"/>
        <v>44.1</v>
      </c>
      <c r="AY39" s="168">
        <f t="shared" si="23"/>
        <v>44</v>
      </c>
      <c r="AZ39" s="169"/>
      <c r="BA39" s="169"/>
      <c r="BC39" s="168">
        <f t="shared" ca="1" si="24"/>
        <v>33</v>
      </c>
      <c r="BD39" s="209">
        <f t="shared" ca="1" si="6"/>
        <v>17</v>
      </c>
      <c r="BF39" s="173" t="str">
        <f t="shared" ref="BF39:BI63" ca="1" si="25">OFFSET( AQ$6, $BD39, 0 )</f>
        <v>Edison International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EIX</v>
      </c>
    </row>
    <row r="40" spans="1:61" ht="13.8" x14ac:dyDescent="0.25">
      <c r="A40" s="223" t="s">
        <v>328</v>
      </c>
      <c r="B40" s="224" t="s">
        <v>141</v>
      </c>
      <c r="C40" s="224">
        <v>18</v>
      </c>
      <c r="D40" s="224" t="s">
        <v>331</v>
      </c>
      <c r="E40" s="225" t="str">
        <f t="shared" ca="1" si="8"/>
        <v>R</v>
      </c>
      <c r="F40" s="348"/>
      <c r="G40" s="349">
        <f t="shared" ca="1" si="1"/>
        <v>21</v>
      </c>
      <c r="H40" s="350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40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281</v>
      </c>
      <c r="AR40" s="207" t="s">
        <v>139</v>
      </c>
      <c r="AS40" s="207">
        <v>20</v>
      </c>
      <c r="AT40" s="207" t="s">
        <v>282</v>
      </c>
      <c r="AV40" s="168">
        <f t="shared" si="21"/>
        <v>2</v>
      </c>
      <c r="AW40" s="168">
        <f>COUNTIF( AV$7:AV40, AV40 )</f>
        <v>8</v>
      </c>
      <c r="AX40" s="208">
        <f t="shared" si="22"/>
        <v>2.8</v>
      </c>
      <c r="AY40" s="168">
        <f t="shared" si="23"/>
        <v>9</v>
      </c>
      <c r="AZ40" s="169"/>
      <c r="BA40" s="169"/>
      <c r="BC40" s="168">
        <f t="shared" ca="1" si="24"/>
        <v>34</v>
      </c>
      <c r="BD40" s="209">
        <f t="shared" ca="1" si="6"/>
        <v>18</v>
      </c>
      <c r="BF40" s="173" t="str">
        <f t="shared" ca="1" si="25"/>
        <v>El Paso Electric Company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EE</v>
      </c>
    </row>
    <row r="41" spans="1:61" ht="13.8" x14ac:dyDescent="0.25">
      <c r="A41" s="223" t="s">
        <v>275</v>
      </c>
      <c r="B41" s="224" t="s">
        <v>141</v>
      </c>
      <c r="C41" s="224">
        <v>18</v>
      </c>
      <c r="D41" s="224" t="s">
        <v>276</v>
      </c>
      <c r="E41" s="225" t="str">
        <f t="shared" ca="1" si="8"/>
        <v>R</v>
      </c>
      <c r="F41" s="348"/>
      <c r="G41" s="349">
        <f t="shared" ca="1" si="1"/>
        <v>26</v>
      </c>
      <c r="H41" s="350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303</v>
      </c>
      <c r="AR41" s="207" t="s">
        <v>140</v>
      </c>
      <c r="AS41" s="207">
        <v>19</v>
      </c>
      <c r="AT41" s="207" t="s">
        <v>304</v>
      </c>
      <c r="AV41" s="168">
        <f t="shared" si="21"/>
        <v>14</v>
      </c>
      <c r="AW41" s="168">
        <f>COUNTIF( AV$7:AV41, AV41 )</f>
        <v>14</v>
      </c>
      <c r="AX41" s="208">
        <f t="shared" si="22"/>
        <v>15.4</v>
      </c>
      <c r="AY41" s="168">
        <f t="shared" si="23"/>
        <v>27</v>
      </c>
      <c r="AZ41" s="169"/>
      <c r="BA41" s="169"/>
      <c r="BC41" s="168">
        <f t="shared" ca="1" si="24"/>
        <v>35</v>
      </c>
      <c r="BD41" s="209">
        <f t="shared" ca="1" si="6"/>
        <v>23</v>
      </c>
      <c r="BF41" s="173" t="str">
        <f t="shared" ca="1" si="25"/>
        <v>FirstEnergy Corp.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FE</v>
      </c>
    </row>
    <row r="42" spans="1:61" ht="13.8" x14ac:dyDescent="0.25">
      <c r="A42" s="223" t="s">
        <v>283</v>
      </c>
      <c r="B42" s="224" t="s">
        <v>141</v>
      </c>
      <c r="C42" s="224">
        <v>18</v>
      </c>
      <c r="D42" s="224" t="s">
        <v>284</v>
      </c>
      <c r="E42" s="225" t="str">
        <f t="shared" ca="1" si="8"/>
        <v>R</v>
      </c>
      <c r="F42" s="348"/>
      <c r="G42" s="349">
        <f t="shared" ca="1" si="1"/>
        <v>28</v>
      </c>
      <c r="H42" s="350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285</v>
      </c>
      <c r="AR42" s="207" t="s">
        <v>140</v>
      </c>
      <c r="AS42" s="207">
        <v>19</v>
      </c>
      <c r="AT42" s="207" t="s">
        <v>286</v>
      </c>
      <c r="AV42" s="168">
        <f t="shared" si="21"/>
        <v>14</v>
      </c>
      <c r="AW42" s="168">
        <f>COUNTIF( AV$7:AV42, AV42 )</f>
        <v>15</v>
      </c>
      <c r="AX42" s="208">
        <f t="shared" si="22"/>
        <v>15.5</v>
      </c>
      <c r="AY42" s="168">
        <f t="shared" si="23"/>
        <v>28</v>
      </c>
      <c r="AZ42" s="169"/>
      <c r="BA42" s="169"/>
      <c r="BC42" s="168">
        <f t="shared" ca="1" si="24"/>
        <v>36</v>
      </c>
      <c r="BD42" s="209">
        <f t="shared" ca="1" si="6"/>
        <v>25</v>
      </c>
      <c r="BF42" s="173" t="str">
        <f t="shared" ca="1" si="25"/>
        <v>IDACORP, Inc.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IDA</v>
      </c>
    </row>
    <row r="43" spans="1:61" ht="13.8" x14ac:dyDescent="0.25">
      <c r="A43" s="223" t="s">
        <v>287</v>
      </c>
      <c r="B43" s="224" t="s">
        <v>141</v>
      </c>
      <c r="C43" s="224">
        <v>18</v>
      </c>
      <c r="D43" s="224" t="s">
        <v>288</v>
      </c>
      <c r="E43" s="225" t="str">
        <f t="shared" ca="1" si="8"/>
        <v>R</v>
      </c>
      <c r="F43" s="348"/>
      <c r="G43" s="349">
        <f t="shared" ca="1" si="1"/>
        <v>55</v>
      </c>
      <c r="H43" s="350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243</v>
      </c>
      <c r="AR43" s="207" t="s">
        <v>139</v>
      </c>
      <c r="AS43" s="207">
        <v>20</v>
      </c>
      <c r="AT43" s="207" t="s">
        <v>244</v>
      </c>
      <c r="AV43" s="168">
        <f t="shared" si="21"/>
        <v>2</v>
      </c>
      <c r="AW43" s="168">
        <f>COUNTIF( AV$7:AV43, AV43 )</f>
        <v>9</v>
      </c>
      <c r="AX43" s="208">
        <f t="shared" si="22"/>
        <v>2.9</v>
      </c>
      <c r="AY43" s="168">
        <f t="shared" si="23"/>
        <v>10</v>
      </c>
      <c r="AZ43" s="169"/>
      <c r="BA43" s="169"/>
      <c r="BC43" s="168">
        <f t="shared" ca="1" si="24"/>
        <v>37</v>
      </c>
      <c r="BD43" s="209">
        <f t="shared" ca="1" si="6"/>
        <v>26</v>
      </c>
      <c r="BF43" s="173" t="str">
        <f t="shared" ca="1" si="25"/>
        <v>IPALCO Enterprises, Inc.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**IPALCO</v>
      </c>
    </row>
    <row r="44" spans="1:61" ht="13.8" x14ac:dyDescent="0.25">
      <c r="A44" s="223" t="s">
        <v>297</v>
      </c>
      <c r="B44" s="224" t="s">
        <v>141</v>
      </c>
      <c r="C44" s="224">
        <v>18</v>
      </c>
      <c r="D44" s="224" t="s">
        <v>298</v>
      </c>
      <c r="E44" s="225" t="str">
        <f t="shared" ca="1" si="8"/>
        <v>R</v>
      </c>
      <c r="F44" s="348"/>
      <c r="G44" s="349">
        <f t="shared" ca="1" si="1"/>
        <v>33</v>
      </c>
      <c r="H44" s="350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289</v>
      </c>
      <c r="AR44" s="207" t="s">
        <v>140</v>
      </c>
      <c r="AS44" s="207">
        <v>19</v>
      </c>
      <c r="AT44" s="207" t="s">
        <v>290</v>
      </c>
      <c r="AV44" s="168">
        <f t="shared" si="21"/>
        <v>14</v>
      </c>
      <c r="AW44" s="168">
        <f>COUNTIF( AV$7:AV44, AV44 )</f>
        <v>16</v>
      </c>
      <c r="AX44" s="208">
        <f t="shared" si="22"/>
        <v>15.6</v>
      </c>
      <c r="AY44" s="168">
        <f t="shared" si="23"/>
        <v>29</v>
      </c>
      <c r="AZ44" s="169"/>
      <c r="BA44" s="169"/>
      <c r="BC44" s="168">
        <f t="shared" ca="1" si="24"/>
        <v>38</v>
      </c>
      <c r="BD44" s="209">
        <f t="shared" ca="1" si="6"/>
        <v>30</v>
      </c>
      <c r="BF44" s="173" t="str">
        <f t="shared" ca="1" si="25"/>
        <v>NorthWestern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NWE</v>
      </c>
    </row>
    <row r="45" spans="1:61" ht="13.8" x14ac:dyDescent="0.25">
      <c r="A45" s="223" t="s">
        <v>299</v>
      </c>
      <c r="B45" s="224" t="s">
        <v>141</v>
      </c>
      <c r="C45" s="224">
        <v>18</v>
      </c>
      <c r="D45" s="224" t="s">
        <v>300</v>
      </c>
      <c r="E45" s="225" t="str">
        <f t="shared" ca="1" si="8"/>
        <v>R</v>
      </c>
      <c r="F45" s="348"/>
      <c r="G45" s="349">
        <f t="shared" ca="1" si="1"/>
        <v>35</v>
      </c>
      <c r="H45" s="350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305</v>
      </c>
      <c r="AR45" s="207" t="s">
        <v>142</v>
      </c>
      <c r="AS45" s="207">
        <v>17</v>
      </c>
      <c r="AT45" s="207" t="s">
        <v>306</v>
      </c>
      <c r="AV45" s="168">
        <f t="shared" si="21"/>
        <v>40</v>
      </c>
      <c r="AW45" s="168">
        <f>COUNTIF( AV$7:AV45, AV45 )</f>
        <v>3</v>
      </c>
      <c r="AX45" s="208">
        <f t="shared" si="22"/>
        <v>40.299999999999997</v>
      </c>
      <c r="AY45" s="168">
        <f t="shared" si="23"/>
        <v>42</v>
      </c>
      <c r="AZ45" s="169"/>
      <c r="BA45" s="169"/>
      <c r="BC45" s="168">
        <f t="shared" ca="1" si="24"/>
        <v>39</v>
      </c>
      <c r="BD45" s="209">
        <f t="shared" ca="1" si="6"/>
        <v>32</v>
      </c>
      <c r="BF45" s="173" t="str">
        <f t="shared" ca="1" si="25"/>
        <v>Otter Tail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OTTR</v>
      </c>
    </row>
    <row r="46" spans="1:61" ht="13.8" x14ac:dyDescent="0.25">
      <c r="A46" s="223" t="s">
        <v>254</v>
      </c>
      <c r="B46" s="224" t="s">
        <v>142</v>
      </c>
      <c r="C46" s="224">
        <v>17</v>
      </c>
      <c r="D46" s="224" t="s">
        <v>255</v>
      </c>
      <c r="E46" s="225" t="str">
        <f t="shared" ca="1" si="8"/>
        <v>R</v>
      </c>
      <c r="F46" s="348"/>
      <c r="G46" s="349">
        <f t="shared" ca="1" si="1"/>
        <v>53</v>
      </c>
      <c r="H46" s="350"/>
      <c r="I46" s="191"/>
      <c r="K46" s="191"/>
      <c r="N46" s="351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46</v>
      </c>
      <c r="AK46" s="169" t="str">
        <f t="shared" ca="1" si="20"/>
        <v>BBB-</v>
      </c>
      <c r="AL46" s="169">
        <f t="shared" ca="1" si="20"/>
        <v>17</v>
      </c>
      <c r="AM46" s="169" t="str">
        <f t="shared" ca="1" si="4"/>
        <v/>
      </c>
      <c r="AQ46" s="207" t="s">
        <v>291</v>
      </c>
      <c r="AR46" s="207" t="s">
        <v>140</v>
      </c>
      <c r="AS46" s="207">
        <v>19</v>
      </c>
      <c r="AT46" s="207" t="s">
        <v>292</v>
      </c>
      <c r="AV46" s="168">
        <f t="shared" si="21"/>
        <v>14</v>
      </c>
      <c r="AW46" s="168">
        <f>COUNTIF( AV$7:AV46, AV46 )</f>
        <v>17</v>
      </c>
      <c r="AX46" s="208">
        <f t="shared" si="22"/>
        <v>15.7</v>
      </c>
      <c r="AY46" s="168">
        <f t="shared" si="23"/>
        <v>30</v>
      </c>
      <c r="AZ46" s="169"/>
      <c r="BA46" s="169"/>
      <c r="BC46" s="168">
        <f t="shared" ca="1" si="24"/>
        <v>40</v>
      </c>
      <c r="BD46" s="209">
        <f t="shared" ca="1" si="6"/>
        <v>10</v>
      </c>
      <c r="BF46" s="173" t="str">
        <f t="shared" ca="1" si="25"/>
        <v>Cleco Corporation</v>
      </c>
      <c r="BG46" s="173" t="str">
        <f t="shared" ca="1" si="25"/>
        <v>BBB-</v>
      </c>
      <c r="BH46" s="173">
        <f t="shared" ca="1" si="25"/>
        <v>17</v>
      </c>
      <c r="BI46" s="173" t="str">
        <f t="shared" ca="1" si="25"/>
        <v>**CNL</v>
      </c>
    </row>
    <row r="47" spans="1:61" ht="13.8" x14ac:dyDescent="0.25">
      <c r="A47" s="223" t="s">
        <v>279</v>
      </c>
      <c r="B47" s="224" t="s">
        <v>142</v>
      </c>
      <c r="C47" s="224">
        <v>17</v>
      </c>
      <c r="D47" s="224" t="s">
        <v>280</v>
      </c>
      <c r="E47" s="225" t="str">
        <f t="shared" ca="1" si="8"/>
        <v>MR</v>
      </c>
      <c r="F47" s="348"/>
      <c r="G47" s="349">
        <f t="shared" ca="1" si="1"/>
        <v>27</v>
      </c>
      <c r="H47" s="350"/>
      <c r="I47" s="350"/>
      <c r="J47" s="187" t="s">
        <v>307</v>
      </c>
      <c r="K47" s="191"/>
      <c r="M47" s="351"/>
      <c r="N47" s="351"/>
      <c r="AF47" s="169">
        <f t="shared" si="2"/>
        <v>1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48</v>
      </c>
      <c r="AK47" s="169" t="str">
        <f t="shared" ca="1" si="20"/>
        <v>BBB-</v>
      </c>
      <c r="AL47" s="169">
        <f t="shared" ca="1" si="20"/>
        <v>17</v>
      </c>
      <c r="AM47" s="169" t="str">
        <f t="shared" ca="1" si="4"/>
        <v/>
      </c>
      <c r="AQ47" s="207" t="s">
        <v>293</v>
      </c>
      <c r="AR47" s="207" t="s">
        <v>139</v>
      </c>
      <c r="AS47" s="207">
        <v>20</v>
      </c>
      <c r="AT47" s="207" t="s">
        <v>294</v>
      </c>
      <c r="AV47" s="168">
        <f t="shared" si="21"/>
        <v>2</v>
      </c>
      <c r="AW47" s="168">
        <f>COUNTIF( AV$7:AV47, AV47 )</f>
        <v>10</v>
      </c>
      <c r="AX47" s="208">
        <f t="shared" si="22"/>
        <v>3</v>
      </c>
      <c r="AY47" s="168">
        <f t="shared" si="23"/>
        <v>11</v>
      </c>
      <c r="AZ47" s="169"/>
      <c r="BA47" s="169"/>
      <c r="BC47" s="168">
        <f t="shared" ca="1" si="24"/>
        <v>41</v>
      </c>
      <c r="BD47" s="209">
        <f t="shared" ca="1" si="6"/>
        <v>24</v>
      </c>
      <c r="BF47" s="173" t="str">
        <f t="shared" ca="1" si="25"/>
        <v>Hawaiian Electric Industries, Inc.</v>
      </c>
      <c r="BG47" s="173" t="str">
        <f t="shared" ca="1" si="25"/>
        <v>BBB-</v>
      </c>
      <c r="BH47" s="173">
        <f t="shared" ca="1" si="25"/>
        <v>17</v>
      </c>
      <c r="BI47" s="173" t="str">
        <f t="shared" ca="1" si="25"/>
        <v>HE</v>
      </c>
    </row>
    <row r="48" spans="1:61" ht="13.8" x14ac:dyDescent="0.25">
      <c r="A48" s="223" t="s">
        <v>305</v>
      </c>
      <c r="B48" s="224" t="s">
        <v>142</v>
      </c>
      <c r="C48" s="224">
        <v>17</v>
      </c>
      <c r="D48" s="224" t="s">
        <v>306</v>
      </c>
      <c r="E48" s="225" t="str">
        <f t="shared" ca="1" si="8"/>
        <v>R</v>
      </c>
      <c r="F48" s="348"/>
      <c r="G48" s="349">
        <f t="shared" ca="1" si="1"/>
        <v>57</v>
      </c>
      <c r="H48" s="350"/>
      <c r="I48" s="350"/>
      <c r="K48" s="191"/>
      <c r="M48" s="351"/>
      <c r="N48" s="351"/>
      <c r="AF48" s="169">
        <f t="shared" si="2"/>
        <v>1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49</v>
      </c>
      <c r="AK48" s="169" t="str">
        <f t="shared" ca="1" si="20"/>
        <v>BBB-</v>
      </c>
      <c r="AL48" s="169">
        <f t="shared" ca="1" si="20"/>
        <v>17</v>
      </c>
      <c r="AM48" s="169" t="str">
        <f t="shared" ca="1" si="4"/>
        <v/>
      </c>
      <c r="AQ48" s="207" t="s">
        <v>295</v>
      </c>
      <c r="AR48" s="207" t="s">
        <v>140</v>
      </c>
      <c r="AS48" s="207">
        <v>19</v>
      </c>
      <c r="AT48" s="207" t="s">
        <v>296</v>
      </c>
      <c r="AV48" s="168">
        <f t="shared" si="21"/>
        <v>14</v>
      </c>
      <c r="AW48" s="168">
        <f>COUNTIF( AV$7:AV48, AV48 )</f>
        <v>18</v>
      </c>
      <c r="AX48" s="208">
        <f t="shared" si="22"/>
        <v>15.8</v>
      </c>
      <c r="AY48" s="168">
        <f t="shared" si="23"/>
        <v>31</v>
      </c>
      <c r="AZ48" s="169"/>
      <c r="BA48" s="169"/>
      <c r="BC48" s="168">
        <f t="shared" ca="1" si="24"/>
        <v>42</v>
      </c>
      <c r="BD48" s="209">
        <f t="shared" ca="1" si="6"/>
        <v>39</v>
      </c>
      <c r="BF48" s="173" t="str">
        <f t="shared" ca="1" si="25"/>
        <v>Puget Energy, Inc.</v>
      </c>
      <c r="BG48" s="173" t="str">
        <f t="shared" ca="1" si="25"/>
        <v>BBB-</v>
      </c>
      <c r="BH48" s="173">
        <f t="shared" ca="1" si="25"/>
        <v>17</v>
      </c>
      <c r="BI48" s="173" t="str">
        <f t="shared" ca="1" si="25"/>
        <v>**PSD</v>
      </c>
    </row>
    <row r="49" spans="1:61" ht="13.8" x14ac:dyDescent="0.25">
      <c r="A49" s="223" t="s">
        <v>259</v>
      </c>
      <c r="B49" s="224" t="s">
        <v>175</v>
      </c>
      <c r="C49" s="224">
        <v>15</v>
      </c>
      <c r="D49" s="224" t="s">
        <v>260</v>
      </c>
      <c r="E49" s="225" t="str">
        <f t="shared" ca="1" si="8"/>
        <v>R</v>
      </c>
      <c r="F49" s="348"/>
      <c r="G49" s="349">
        <f t="shared" ca="1" si="1"/>
        <v>54</v>
      </c>
      <c r="H49" s="350"/>
      <c r="I49" s="350"/>
      <c r="J49" s="191"/>
      <c r="K49" s="191"/>
      <c r="M49" s="351"/>
      <c r="N49" s="351"/>
      <c r="AF49" s="169">
        <f t="shared" si="2"/>
        <v>0</v>
      </c>
      <c r="AG49" s="169" t="str">
        <f t="shared" ca="1" si="3"/>
        <v/>
      </c>
      <c r="AH49" s="169">
        <f t="shared" ca="1" si="18"/>
        <v>1</v>
      </c>
      <c r="AJ49" s="169">
        <f t="shared" ca="1" si="19"/>
        <v>47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4"/>
        <v>Change</v>
      </c>
      <c r="AQ49" s="207" t="s">
        <v>247</v>
      </c>
      <c r="AR49" s="207" t="s">
        <v>139</v>
      </c>
      <c r="AS49" s="207">
        <v>20</v>
      </c>
      <c r="AT49" s="207" t="s">
        <v>248</v>
      </c>
      <c r="AV49" s="168">
        <f t="shared" si="21"/>
        <v>2</v>
      </c>
      <c r="AW49" s="168">
        <f>COUNTIF( AV$7:AV49, AV49 )</f>
        <v>11</v>
      </c>
      <c r="AX49" s="208">
        <f t="shared" si="22"/>
        <v>3.1</v>
      </c>
      <c r="AY49" s="168">
        <f t="shared" si="23"/>
        <v>12</v>
      </c>
      <c r="AZ49" s="169"/>
      <c r="BA49" s="169"/>
      <c r="BC49" s="168">
        <f t="shared" ca="1" si="24"/>
        <v>43</v>
      </c>
      <c r="BD49" s="209">
        <f t="shared" ca="1" si="6"/>
        <v>14</v>
      </c>
      <c r="BF49" s="173" t="str">
        <f t="shared" ca="1" si="25"/>
        <v>DPL Inc.</v>
      </c>
      <c r="BG49" s="173" t="str">
        <f t="shared" ca="1" si="25"/>
        <v>BB</v>
      </c>
      <c r="BH49" s="173">
        <f t="shared" ca="1" si="25"/>
        <v>15</v>
      </c>
      <c r="BI49" s="173" t="str">
        <f t="shared" ca="1" si="25"/>
        <v>**DPL</v>
      </c>
    </row>
    <row r="50" spans="1:61" ht="13.8" x14ac:dyDescent="0.25">
      <c r="A50" s="223" t="s">
        <v>301</v>
      </c>
      <c r="B50" s="224" t="s">
        <v>194</v>
      </c>
      <c r="C50" s="224">
        <v>3</v>
      </c>
      <c r="D50" s="224" t="s">
        <v>302</v>
      </c>
      <c r="E50" s="225" t="str">
        <f t="shared" ca="1" si="8"/>
        <v>R</v>
      </c>
      <c r="F50" s="348"/>
      <c r="G50" s="349">
        <f t="shared" ca="1" si="1"/>
        <v>36</v>
      </c>
      <c r="H50" s="350"/>
      <c r="I50" s="350"/>
      <c r="J50" s="191"/>
      <c r="K50" s="191"/>
      <c r="M50" s="351"/>
      <c r="N50" s="351"/>
      <c r="AF50" s="169">
        <f t="shared" si="2"/>
        <v>1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50</v>
      </c>
      <c r="AK50" s="169" t="str">
        <f t="shared" ca="1" si="20"/>
        <v>D</v>
      </c>
      <c r="AL50" s="169">
        <f t="shared" ca="1" si="20"/>
        <v>3</v>
      </c>
      <c r="AM50" s="169" t="str">
        <f t="shared" ca="1" si="4"/>
        <v/>
      </c>
      <c r="AQ50" s="207" t="s">
        <v>251</v>
      </c>
      <c r="AR50" s="207" t="s">
        <v>139</v>
      </c>
      <c r="AS50" s="207">
        <v>20</v>
      </c>
      <c r="AT50" s="207" t="s">
        <v>252</v>
      </c>
      <c r="AV50" s="168">
        <f t="shared" si="21"/>
        <v>2</v>
      </c>
      <c r="AW50" s="168">
        <f>COUNTIF( AV$7:AV50, AV50 )</f>
        <v>12</v>
      </c>
      <c r="AX50" s="208">
        <f t="shared" si="22"/>
        <v>3.2</v>
      </c>
      <c r="AY50" s="168">
        <f t="shared" si="23"/>
        <v>13</v>
      </c>
      <c r="AZ50" s="169"/>
      <c r="BA50" s="169"/>
      <c r="BC50" s="168">
        <f t="shared" ca="1" si="24"/>
        <v>44</v>
      </c>
      <c r="BD50" s="209">
        <f t="shared" ca="1" si="6"/>
        <v>33</v>
      </c>
      <c r="BF50" s="173" t="str">
        <f t="shared" ca="1" si="25"/>
        <v>PG&amp;E Corporation</v>
      </c>
      <c r="BG50" s="173" t="str">
        <f t="shared" ca="1" si="25"/>
        <v>D</v>
      </c>
      <c r="BH50" s="173">
        <f t="shared" ca="1" si="25"/>
        <v>3</v>
      </c>
      <c r="BI50" s="173" t="str">
        <f t="shared" ca="1" si="25"/>
        <v>PCG</v>
      </c>
    </row>
    <row r="51" spans="1:61" ht="13.8" x14ac:dyDescent="0.25">
      <c r="A51" s="223"/>
      <c r="B51" s="224"/>
      <c r="C51" s="224"/>
      <c r="D51" s="224"/>
      <c r="E51" s="225"/>
      <c r="F51" s="348"/>
      <c r="G51" s="349"/>
      <c r="H51" s="350"/>
      <c r="I51" s="350"/>
      <c r="J51" s="191"/>
      <c r="K51" s="191"/>
      <c r="M51" s="351"/>
      <c r="N51" s="351"/>
      <c r="AF51" s="169">
        <f t="shared" si="2"/>
        <v>0</v>
      </c>
      <c r="AG51" s="169" t="str">
        <f t="shared" si="3"/>
        <v/>
      </c>
      <c r="AH51" s="169" t="str">
        <f t="shared" si="18"/>
        <v/>
      </c>
      <c r="AJ51" s="169" t="e">
        <f t="shared" ca="1" si="19"/>
        <v>#N/A</v>
      </c>
      <c r="AK51" s="169" t="str">
        <f t="shared" ca="1" si="20"/>
        <v/>
      </c>
      <c r="AL51" s="169" t="str">
        <f t="shared" ca="1" si="20"/>
        <v/>
      </c>
      <c r="AM51" s="169" t="str">
        <f t="shared" ca="1" si="4"/>
        <v/>
      </c>
      <c r="AQ51" s="207"/>
      <c r="AR51" s="207"/>
      <c r="AS51" s="207"/>
      <c r="AT51" s="207"/>
      <c r="AV51" s="168">
        <f t="shared" si="21"/>
        <v>99</v>
      </c>
      <c r="AW51" s="168">
        <f>COUNTIF( AV$7:AV51, AV51 )</f>
        <v>1</v>
      </c>
      <c r="AX51" s="208">
        <f t="shared" si="22"/>
        <v>99.1</v>
      </c>
      <c r="AY51" s="168">
        <f t="shared" si="23"/>
        <v>45</v>
      </c>
      <c r="AZ51" s="169"/>
      <c r="BA51" s="169"/>
      <c r="BC51" s="168">
        <f t="shared" ca="1" si="24"/>
        <v>45</v>
      </c>
      <c r="BD51" s="209">
        <f t="shared" ca="1" si="6"/>
        <v>45</v>
      </c>
      <c r="BF51" s="173">
        <f t="shared" ca="1" si="25"/>
        <v>0</v>
      </c>
      <c r="BG51" s="173">
        <f t="shared" ca="1" si="25"/>
        <v>0</v>
      </c>
      <c r="BH51" s="173">
        <f t="shared" ca="1" si="25"/>
        <v>0</v>
      </c>
      <c r="BI51" s="173">
        <f t="shared" ca="1" si="25"/>
        <v>0</v>
      </c>
    </row>
    <row r="52" spans="1:61" ht="13.8" x14ac:dyDescent="0.25">
      <c r="A52" s="223"/>
      <c r="B52" s="224"/>
      <c r="C52" s="224"/>
      <c r="D52" s="224"/>
      <c r="E52" s="225"/>
      <c r="F52" s="348"/>
      <c r="G52" s="349"/>
      <c r="H52" s="350"/>
      <c r="I52" s="350"/>
      <c r="J52" s="191"/>
      <c r="K52" s="191"/>
      <c r="AF52" s="169">
        <f t="shared" si="2"/>
        <v>0</v>
      </c>
      <c r="AG52" s="169" t="str">
        <f t="shared" si="3"/>
        <v/>
      </c>
      <c r="AH52" s="169" t="str">
        <f t="shared" si="18"/>
        <v/>
      </c>
      <c r="AJ52" s="169" t="e">
        <f t="shared" ca="1" si="19"/>
        <v>#N/A</v>
      </c>
      <c r="AK52" s="169" t="str">
        <f t="shared" ca="1" si="20"/>
        <v/>
      </c>
      <c r="AL52" s="169" t="str">
        <f t="shared" ca="1" si="20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si="21"/>
        <v>99</v>
      </c>
      <c r="AW52" s="168">
        <f>COUNTIF( AV$7:AV52, AV52 )</f>
        <v>2</v>
      </c>
      <c r="AX52" s="208">
        <f t="shared" si="22"/>
        <v>99.2</v>
      </c>
      <c r="AY52" s="168">
        <f t="shared" si="23"/>
        <v>46</v>
      </c>
      <c r="AZ52" s="169"/>
      <c r="BA52" s="169"/>
      <c r="BC52" s="168">
        <f t="shared" ca="1" si="24"/>
        <v>46</v>
      </c>
      <c r="BD52" s="209">
        <f t="shared" ca="1" si="6"/>
        <v>46</v>
      </c>
      <c r="BF52" s="173">
        <f t="shared" ca="1" si="25"/>
        <v>0</v>
      </c>
      <c r="BG52" s="173">
        <f t="shared" ca="1" si="25"/>
        <v>0</v>
      </c>
      <c r="BH52" s="173">
        <f t="shared" ca="1" si="25"/>
        <v>0</v>
      </c>
      <c r="BI52" s="173">
        <f t="shared" ca="1" si="25"/>
        <v>0</v>
      </c>
    </row>
    <row r="53" spans="1:61" ht="13.8" x14ac:dyDescent="0.25">
      <c r="A53" s="223"/>
      <c r="B53" s="224"/>
      <c r="C53" s="224"/>
      <c r="D53" s="224"/>
      <c r="E53" s="225"/>
      <c r="F53" s="348"/>
      <c r="G53" s="349" t="str">
        <f t="shared" ca="1" si="1"/>
        <v/>
      </c>
      <c r="H53" s="350"/>
      <c r="I53" s="350"/>
      <c r="J53" s="191"/>
      <c r="K53" s="191"/>
      <c r="AF53" s="169">
        <f t="shared" si="2"/>
        <v>0</v>
      </c>
      <c r="AG53" s="169" t="str">
        <f t="shared" si="3"/>
        <v/>
      </c>
      <c r="AH53" s="169" t="str">
        <f t="shared" si="18"/>
        <v/>
      </c>
      <c r="AJ53" s="169" t="e">
        <f t="shared" ca="1" si="19"/>
        <v>#N/A</v>
      </c>
      <c r="AK53" s="169" t="str">
        <f t="shared" ca="1" si="20"/>
        <v/>
      </c>
      <c r="AL53" s="169" t="str">
        <f t="shared" ca="1" si="20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si="21"/>
        <v>99</v>
      </c>
      <c r="AW53" s="168">
        <f>COUNTIF( AV$7:AV53, AV53 )</f>
        <v>3</v>
      </c>
      <c r="AX53" s="208">
        <f t="shared" si="22"/>
        <v>99.3</v>
      </c>
      <c r="AY53" s="168">
        <f t="shared" si="23"/>
        <v>47</v>
      </c>
      <c r="AZ53" s="169"/>
      <c r="BA53" s="169"/>
      <c r="BC53" s="168">
        <f t="shared" ca="1" si="24"/>
        <v>47</v>
      </c>
      <c r="BD53" s="209">
        <f t="shared" ca="1" si="6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ht="13.8" x14ac:dyDescent="0.25">
      <c r="A54" s="223"/>
      <c r="B54" s="224"/>
      <c r="C54" s="224"/>
      <c r="D54" s="224"/>
      <c r="E54" s="225"/>
      <c r="F54" s="348"/>
      <c r="G54" s="349" t="str">
        <f t="shared" ca="1" si="1"/>
        <v/>
      </c>
      <c r="H54" s="350"/>
      <c r="I54" s="350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8"/>
        <v/>
      </c>
      <c r="AJ54" s="169" t="e">
        <f t="shared" ca="1" si="19"/>
        <v>#N/A</v>
      </c>
      <c r="AK54" s="169" t="str">
        <f t="shared" ca="1" si="20"/>
        <v/>
      </c>
      <c r="AL54" s="169" t="str">
        <f t="shared" ca="1" si="20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21"/>
        <v>99</v>
      </c>
      <c r="AW54" s="168">
        <f>COUNTIF( AV$7:AV54, AV54 )</f>
        <v>4</v>
      </c>
      <c r="AX54" s="208">
        <f t="shared" si="22"/>
        <v>99.4</v>
      </c>
      <c r="AY54" s="168">
        <f t="shared" si="23"/>
        <v>48</v>
      </c>
      <c r="AZ54" s="169"/>
      <c r="BA54" s="169"/>
      <c r="BC54" s="168">
        <f t="shared" ca="1" si="24"/>
        <v>48</v>
      </c>
      <c r="BD54" s="209">
        <f t="shared" ca="1" si="6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3.8" x14ac:dyDescent="0.25">
      <c r="A55" s="223"/>
      <c r="B55" s="224"/>
      <c r="C55" s="224"/>
      <c r="D55" s="224"/>
      <c r="E55" s="225"/>
      <c r="F55" s="348"/>
      <c r="G55" s="349" t="str">
        <f t="shared" ca="1" si="1"/>
        <v/>
      </c>
      <c r="H55" s="350"/>
      <c r="I55" s="350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8"/>
        <v/>
      </c>
      <c r="AJ55" s="169" t="e">
        <f t="shared" ca="1" si="19"/>
        <v>#N/A</v>
      </c>
      <c r="AK55" s="169" t="str">
        <f t="shared" ca="1" si="20"/>
        <v/>
      </c>
      <c r="AL55" s="169" t="str">
        <f t="shared" ca="1" si="20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1"/>
        <v>99</v>
      </c>
      <c r="AW55" s="168">
        <f>COUNTIF( AV$7:AV55, AV55 )</f>
        <v>5</v>
      </c>
      <c r="AX55" s="208">
        <f t="shared" si="22"/>
        <v>99.5</v>
      </c>
      <c r="AY55" s="168">
        <f t="shared" si="23"/>
        <v>49</v>
      </c>
      <c r="AZ55" s="169"/>
      <c r="BA55" s="169"/>
      <c r="BC55" s="168">
        <f t="shared" ca="1" si="24"/>
        <v>49</v>
      </c>
      <c r="BD55" s="209">
        <f t="shared" ca="1" si="6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3.8" x14ac:dyDescent="0.25">
      <c r="A56" s="223"/>
      <c r="B56" s="224"/>
      <c r="C56" s="224"/>
      <c r="D56" s="224"/>
      <c r="E56" s="225"/>
      <c r="F56" s="348"/>
      <c r="G56" s="349" t="str">
        <f t="shared" ca="1" si="1"/>
        <v/>
      </c>
      <c r="H56" s="350"/>
      <c r="I56" s="350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6</v>
      </c>
      <c r="AX56" s="208">
        <f t="shared" si="22"/>
        <v>99.6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8" x14ac:dyDescent="0.25">
      <c r="A57" s="223"/>
      <c r="B57" s="224"/>
      <c r="C57" s="224"/>
      <c r="D57" s="224"/>
      <c r="E57" s="225"/>
      <c r="F57" s="348"/>
      <c r="G57" s="349" t="str">
        <f t="shared" ca="1" si="1"/>
        <v/>
      </c>
      <c r="H57" s="350"/>
      <c r="I57" s="350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7</v>
      </c>
      <c r="AX57" s="208">
        <f t="shared" si="22"/>
        <v>99.7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8" x14ac:dyDescent="0.25">
      <c r="A58" s="223"/>
      <c r="B58" s="224"/>
      <c r="C58" s="224"/>
      <c r="D58" s="224"/>
      <c r="E58" s="225"/>
      <c r="F58" s="348"/>
      <c r="G58" s="349" t="str">
        <f t="shared" ca="1" si="1"/>
        <v/>
      </c>
      <c r="H58" s="350"/>
      <c r="I58" s="350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8</v>
      </c>
      <c r="AX58" s="208">
        <f t="shared" si="22"/>
        <v>99.8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8" x14ac:dyDescent="0.25">
      <c r="A59" s="223"/>
      <c r="B59" s="224"/>
      <c r="C59" s="224"/>
      <c r="D59" s="224"/>
      <c r="E59" s="225" t="str">
        <f t="shared" ca="1" si="8"/>
        <v/>
      </c>
      <c r="F59" s="348"/>
      <c r="G59" s="349" t="str">
        <f t="shared" ca="1" si="1"/>
        <v/>
      </c>
      <c r="H59" s="350"/>
      <c r="I59" s="350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9</v>
      </c>
      <c r="AX59" s="208">
        <f t="shared" si="22"/>
        <v>99.9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" thickBot="1" x14ac:dyDescent="0.3">
      <c r="A60" s="192"/>
      <c r="B60" s="193"/>
      <c r="C60" s="193"/>
      <c r="D60" s="193"/>
      <c r="E60" s="194" t="str">
        <f t="shared" ca="1" si="8"/>
        <v/>
      </c>
      <c r="F60" s="350"/>
      <c r="G60" s="353" t="str">
        <f t="shared" ca="1" si="1"/>
        <v/>
      </c>
      <c r="H60" s="350"/>
      <c r="I60" s="350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10</v>
      </c>
      <c r="AX60" s="208">
        <f t="shared" si="22"/>
        <v>100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8" x14ac:dyDescent="0.25">
      <c r="A61" s="226" t="s">
        <v>308</v>
      </c>
      <c r="B61" s="227" t="s">
        <v>162</v>
      </c>
      <c r="C61" s="227">
        <v>23</v>
      </c>
      <c r="D61" s="227" t="s">
        <v>309</v>
      </c>
      <c r="E61" s="228" t="str">
        <f t="shared" ca="1" si="8"/>
        <v>R</v>
      </c>
      <c r="F61" s="354"/>
      <c r="G61" s="355">
        <f t="shared" ca="1" si="1"/>
        <v>30</v>
      </c>
      <c r="H61" s="350"/>
      <c r="I61" s="350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11</v>
      </c>
      <c r="AX61" s="208">
        <f t="shared" si="22"/>
        <v>100.1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8" x14ac:dyDescent="0.25">
      <c r="A62" s="223"/>
      <c r="B62" s="224"/>
      <c r="C62" s="224"/>
      <c r="D62" s="224"/>
      <c r="E62" s="225"/>
      <c r="F62" s="348"/>
      <c r="G62" s="349" t="str">
        <f t="shared" ca="1" si="1"/>
        <v/>
      </c>
      <c r="H62" s="350"/>
      <c r="I62" s="350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 t="e">
        <f t="shared" ca="1" si="19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12</v>
      </c>
      <c r="AX62" s="208">
        <f t="shared" si="22"/>
        <v>100.2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/>
      <c r="B63" s="229"/>
      <c r="C63" s="224"/>
      <c r="D63" s="224"/>
      <c r="E63" s="225"/>
      <c r="F63" s="348"/>
      <c r="G63" s="349"/>
      <c r="H63" s="350"/>
      <c r="I63" s="350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13</v>
      </c>
      <c r="AX63" s="208">
        <f t="shared" si="22"/>
        <v>100.3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/>
      <c r="B64" s="229"/>
      <c r="C64" s="224"/>
      <c r="D64" s="224"/>
      <c r="E64" s="225"/>
      <c r="F64" s="348"/>
      <c r="G64" s="349"/>
      <c r="H64" s="350"/>
      <c r="I64" s="350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308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58" ht="13.8" x14ac:dyDescent="0.25">
      <c r="A65" s="223"/>
      <c r="B65" s="229"/>
      <c r="C65" s="224"/>
      <c r="D65" s="224"/>
      <c r="E65" s="225"/>
      <c r="F65" s="348"/>
      <c r="G65" s="349"/>
      <c r="H65" s="350"/>
      <c r="I65" s="350"/>
      <c r="N65" s="168" t="s">
        <v>310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3.8" x14ac:dyDescent="0.25">
      <c r="A66" s="195"/>
      <c r="B66" s="196"/>
      <c r="C66" s="185"/>
      <c r="D66" s="185"/>
      <c r="E66" s="182"/>
      <c r="F66" s="350"/>
      <c r="H66" s="350"/>
      <c r="I66" s="350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50"/>
      <c r="H67" s="350"/>
      <c r="I67" s="350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8" x14ac:dyDescent="0.25">
      <c r="A68" s="200" t="s">
        <v>311</v>
      </c>
      <c r="B68" s="189" t="str">
        <f ca="1">OFFSET( Scale!$H$5, ROUND( C68, 0 ) - 1, 1 )</f>
        <v>BBB+</v>
      </c>
      <c r="C68" s="201">
        <f>AVERAGE(C7:C65)</f>
        <v>18.644444444444446</v>
      </c>
      <c r="D68" s="201"/>
      <c r="E68" s="201"/>
      <c r="F68" s="350"/>
      <c r="H68" s="350"/>
      <c r="I68" s="350"/>
      <c r="J68" s="351"/>
      <c r="K68" s="351"/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50"/>
      <c r="H69" s="350"/>
      <c r="I69" s="350"/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1"/>
      <c r="K70" s="351"/>
    </row>
    <row r="71" spans="1:58" x14ac:dyDescent="0.25">
      <c r="A71" s="203" t="s">
        <v>312</v>
      </c>
      <c r="F71" s="173"/>
      <c r="H71" s="173"/>
      <c r="I71" s="173"/>
    </row>
    <row r="72" spans="1:58" x14ac:dyDescent="0.25">
      <c r="A72" s="203" t="s">
        <v>313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314</v>
      </c>
      <c r="B73" s="173"/>
      <c r="D73" s="173"/>
      <c r="E73" s="173"/>
      <c r="F73" s="204"/>
      <c r="H73" s="204"/>
      <c r="I73" s="204"/>
    </row>
    <row r="74" spans="1:58" x14ac:dyDescent="0.25">
      <c r="A74" s="203" t="s">
        <v>315</v>
      </c>
      <c r="D74" s="204"/>
      <c r="F74" s="206"/>
      <c r="H74" s="206"/>
      <c r="I74" s="206"/>
      <c r="AQ74" s="207"/>
      <c r="AR74" s="207"/>
      <c r="AS74" s="207"/>
    </row>
    <row r="75" spans="1:58" x14ac:dyDescent="0.25">
      <c r="A75" s="203" t="s">
        <v>316</v>
      </c>
      <c r="D75" s="204"/>
      <c r="F75" s="206"/>
      <c r="H75" s="206"/>
      <c r="I75" s="206"/>
      <c r="AQ75" s="207"/>
      <c r="AR75" s="207"/>
      <c r="AS75" s="207"/>
    </row>
    <row r="76" spans="1:58" x14ac:dyDescent="0.25">
      <c r="A76" s="203"/>
      <c r="AQ76" s="207"/>
      <c r="AR76" s="207"/>
      <c r="AS76" s="207"/>
    </row>
    <row r="77" spans="1:58" x14ac:dyDescent="0.25">
      <c r="C77" s="190">
        <f>SUMPRODUCT( L8:L13, Y8:Y13 ) / L14</f>
        <v>18.911111111111111</v>
      </c>
      <c r="E77" s="191"/>
      <c r="G77" s="353"/>
      <c r="J77" s="173"/>
      <c r="K77" s="173"/>
      <c r="AQ77" s="207"/>
      <c r="AR77" s="207"/>
      <c r="AS77" s="207"/>
    </row>
    <row r="78" spans="1:58" s="173" customFormat="1" ht="13.8" x14ac:dyDescent="0.2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ref="AQ7:AT52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235" priority="31" stopIfTrue="1">
      <formula>IF( $AH7 = 1, TRUE, FALSE )</formula>
    </cfRule>
    <cfRule type="expression" dxfId="1234" priority="32" stopIfTrue="1">
      <formula>IF( $AG7 = 1, TRUE, FALSE )</formula>
    </cfRule>
    <cfRule type="expression" dxfId="1233" priority="33" stopIfTrue="1">
      <formula>IF( $AF7 = 1, TRUE, FALSE )</formula>
    </cfRule>
  </conditionalFormatting>
  <conditionalFormatting sqref="A67:E67">
    <cfRule type="expression" dxfId="1232" priority="34" stopIfTrue="1">
      <formula>IF( $AH67 = 1, TRUE, FALSE )</formula>
    </cfRule>
    <cfRule type="expression" dxfId="1231" priority="35" stopIfTrue="1">
      <formula>IF( $AG67 = 1, TRUE, FALSE )</formula>
    </cfRule>
    <cfRule type="expression" dxfId="1230" priority="36" stopIfTrue="1">
      <formula>IF( $AF67 = 1, TRUE, FALSE )</formula>
    </cfRule>
  </conditionalFormatting>
  <conditionalFormatting sqref="A66:E66">
    <cfRule type="expression" dxfId="1229" priority="28" stopIfTrue="1">
      <formula>IF( $AH66 = 1, TRUE, FALSE )</formula>
    </cfRule>
    <cfRule type="expression" dxfId="1228" priority="29" stopIfTrue="1">
      <formula>IF( $AG66 = 1, TRUE, FALSE )</formula>
    </cfRule>
    <cfRule type="expression" dxfId="1227" priority="30" stopIfTrue="1">
      <formula>IF( $AF66 = 1, TRUE, FALSE )</formula>
    </cfRule>
  </conditionalFormatting>
  <conditionalFormatting sqref="A8:D33 B7:D7 A35:D58">
    <cfRule type="expression" dxfId="1226" priority="25" stopIfTrue="1">
      <formula>IF( $AH7 = 1, TRUE, FALSE )</formula>
    </cfRule>
    <cfRule type="expression" dxfId="1225" priority="26" stopIfTrue="1">
      <formula>IF( $AG7 = 1, TRUE, FALSE )</formula>
    </cfRule>
    <cfRule type="expression" dxfId="1224" priority="27" stopIfTrue="1">
      <formula>IF( $AF7 = 1, TRUE, FALSE )</formula>
    </cfRule>
  </conditionalFormatting>
  <conditionalFormatting sqref="A59:D59">
    <cfRule type="expression" dxfId="1223" priority="22" stopIfTrue="1">
      <formula>IF( $AH59 = 1, TRUE, FALSE )</formula>
    </cfRule>
    <cfRule type="expression" dxfId="1222" priority="23" stopIfTrue="1">
      <formula>IF( $AG59 = 1, TRUE, FALSE )</formula>
    </cfRule>
    <cfRule type="expression" dxfId="1221" priority="24" stopIfTrue="1">
      <formula>IF( $AF59 = 1, TRUE, FALSE )</formula>
    </cfRule>
  </conditionalFormatting>
  <conditionalFormatting sqref="A61:D65">
    <cfRule type="expression" dxfId="1220" priority="19" stopIfTrue="1">
      <formula>IF( $AH61 = 1, TRUE, FALSE )</formula>
    </cfRule>
    <cfRule type="expression" dxfId="1219" priority="20" stopIfTrue="1">
      <formula>IF( $AG61 = 1, TRUE, FALSE )</formula>
    </cfRule>
    <cfRule type="expression" dxfId="1218" priority="21" stopIfTrue="1">
      <formula>IF( $AF61 = 1, TRUE, FALSE )</formula>
    </cfRule>
  </conditionalFormatting>
  <conditionalFormatting sqref="U8:U12">
    <cfRule type="cellIs" dxfId="1217" priority="18" operator="equal">
      <formula>0</formula>
    </cfRule>
  </conditionalFormatting>
  <conditionalFormatting sqref="O8:O12 Q8:Q12">
    <cfRule type="cellIs" dxfId="1216" priority="17" operator="equal">
      <formula>0</formula>
    </cfRule>
  </conditionalFormatting>
  <conditionalFormatting sqref="V8:V12">
    <cfRule type="cellIs" dxfId="1215" priority="16" operator="equal">
      <formula>0</formula>
    </cfRule>
  </conditionalFormatting>
  <conditionalFormatting sqref="S8:S12">
    <cfRule type="cellIs" dxfId="1214" priority="14" operator="equal">
      <formula>0</formula>
    </cfRule>
  </conditionalFormatting>
  <conditionalFormatting sqref="R8:R12">
    <cfRule type="cellIs" dxfId="1213" priority="15" operator="equal">
      <formula>0</formula>
    </cfRule>
  </conditionalFormatting>
  <conditionalFormatting sqref="P8:P12">
    <cfRule type="cellIs" dxfId="1212" priority="13" operator="equal">
      <formula>0</formula>
    </cfRule>
  </conditionalFormatting>
  <conditionalFormatting sqref="M8:M12">
    <cfRule type="cellIs" dxfId="1211" priority="12" operator="equal">
      <formula>0</formula>
    </cfRule>
  </conditionalFormatting>
  <conditionalFormatting sqref="T8:T12">
    <cfRule type="cellIs" dxfId="1210" priority="11" operator="equal">
      <formula>0</formula>
    </cfRule>
  </conditionalFormatting>
  <conditionalFormatting sqref="N8:N12">
    <cfRule type="cellIs" dxfId="1209" priority="10" operator="equal">
      <formula>0</formula>
    </cfRule>
  </conditionalFormatting>
  <conditionalFormatting sqref="K8:K12">
    <cfRule type="cellIs" dxfId="1208" priority="9" operator="equal">
      <formula>0</formula>
    </cfRule>
  </conditionalFormatting>
  <conditionalFormatting sqref="I8:I12">
    <cfRule type="cellIs" dxfId="1207" priority="8" operator="equal">
      <formula>0</formula>
    </cfRule>
  </conditionalFormatting>
  <conditionalFormatting sqref="W8:W12">
    <cfRule type="cellIs" dxfId="1206" priority="7" operator="equal">
      <formula>0</formula>
    </cfRule>
  </conditionalFormatting>
  <conditionalFormatting sqref="A7">
    <cfRule type="expression" dxfId="1205" priority="4" stopIfTrue="1">
      <formula>IF( $AH7 = 1, TRUE, FALSE )</formula>
    </cfRule>
    <cfRule type="expression" dxfId="1204" priority="5" stopIfTrue="1">
      <formula>IF( $AG7 = 1, TRUE, FALSE )</formula>
    </cfRule>
    <cfRule type="expression" dxfId="1203" priority="6" stopIfTrue="1">
      <formula>IF( $AF7 = 1, TRUE, FALSE )</formula>
    </cfRule>
  </conditionalFormatting>
  <conditionalFormatting sqref="A34:D34">
    <cfRule type="expression" dxfId="1202" priority="1" stopIfTrue="1">
      <formula>IF( $AH34 = 1, TRUE, FALSE )</formula>
    </cfRule>
    <cfRule type="expression" dxfId="1201" priority="2" stopIfTrue="1">
      <formula>IF( $AG34 = 1, TRUE, FALSE )</formula>
    </cfRule>
    <cfRule type="expression" dxfId="1200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hidden="1" customWidth="1" outlineLevel="1"/>
    <col min="23" max="23" width="2" style="168" hidden="1" customWidth="1" outlineLevel="1"/>
    <col min="24" max="24" width="4.109375" style="168" customWidth="1" collapsed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15.88671875" style="169" hidden="1" customWidth="1" outlineLevel="1" collapsed="1"/>
    <col min="37" max="38" width="15.88671875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-- 2019 Q3</v>
      </c>
      <c r="G1" s="175" t="s">
        <v>195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 x14ac:dyDescent="0.25">
      <c r="A2" s="167"/>
      <c r="E2" s="171" t="str">
        <f>G2</f>
        <v>Reg_Percent_2018</v>
      </c>
      <c r="G2" s="172" t="s">
        <v>334</v>
      </c>
      <c r="AJ2" s="173" t="str">
        <f>AJ4 &amp; AJ3</f>
        <v>'Credit_2019Q2'!d:d</v>
      </c>
      <c r="AK2" s="173" t="str">
        <f>AK4 &amp; AK3</f>
        <v>'Credit_2019Q2'!b1</v>
      </c>
      <c r="AL2" s="173" t="str">
        <f>AL4 &amp; AL3</f>
        <v>'Credit_2019Q2'!c1</v>
      </c>
      <c r="AQ2" s="169"/>
    </row>
    <row r="3" spans="1:61" ht="18" hidden="1" outlineLevel="1" x14ac:dyDescent="0.25">
      <c r="A3" s="167"/>
      <c r="E3" s="174" t="str">
        <f>"'" &amp; E2 &amp; "'!"</f>
        <v>'Reg_Percent_2018'!</v>
      </c>
      <c r="G3" s="168" t="str">
        <f>"'" &amp; G2 &amp; "'!"</f>
        <v>'Reg_Percent_2018'!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205</v>
      </c>
      <c r="AK3" s="149" t="s">
        <v>206</v>
      </c>
      <c r="AL3" s="149" t="s">
        <v>207</v>
      </c>
      <c r="AQ3" s="169"/>
    </row>
    <row r="4" spans="1:61" ht="18" hidden="1" outlineLevel="1" x14ac:dyDescent="0.25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>$AQ$5</f>
        <v>'Credit_2019Q2'!</v>
      </c>
      <c r="AK4" s="169" t="str">
        <f t="shared" ref="AK4:AL4" si="0">$AQ$5</f>
        <v>'Credit_2019Q2'!</v>
      </c>
      <c r="AL4" s="169" t="str">
        <f t="shared" si="0"/>
        <v>'Credit_2019Q2'!</v>
      </c>
      <c r="AQ4" s="169"/>
    </row>
    <row r="5" spans="1:61" ht="13.8" collapsed="1" x14ac:dyDescent="0.25">
      <c r="E5" s="176" t="s">
        <v>209</v>
      </c>
      <c r="G5" s="170" t="s">
        <v>199</v>
      </c>
      <c r="I5" s="230"/>
      <c r="J5" s="389" t="s">
        <v>210</v>
      </c>
      <c r="K5" s="230"/>
      <c r="L5" s="391" t="str">
        <f>"All Companies" &amp; CHAR( 10 ) &amp; "("&amp; L14 &amp; ")"</f>
        <v>All Companies
(45)</v>
      </c>
      <c r="M5" s="391"/>
      <c r="N5" s="230"/>
      <c r="O5" s="389" t="str">
        <f ca="1">"Regulated" &amp; CHAR( 10 ) &amp; "(" &amp; O14 &amp; ")"</f>
        <v>Regulated
(35)</v>
      </c>
      <c r="P5" s="393"/>
      <c r="Q5" s="230"/>
      <c r="R5" s="389" t="str">
        <f ca="1">"Mostly Regulated" &amp; CHAR( 10 ) &amp; "(" &amp; R14 &amp; ")"</f>
        <v>Mostly Regulated
(10)</v>
      </c>
      <c r="S5" s="393"/>
      <c r="T5" s="230"/>
      <c r="U5" s="389" t="str">
        <f ca="1">"Diversified" &amp; CHAR( 10 ) &amp; "(" &amp; U14 &amp; ")"</f>
        <v>Diversified
(0)</v>
      </c>
      <c r="V5" s="393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337</v>
      </c>
    </row>
    <row r="6" spans="1:61" ht="28.5" customHeight="1" x14ac:dyDescent="0.25">
      <c r="A6" s="219" t="s">
        <v>212</v>
      </c>
      <c r="B6" s="220" t="s">
        <v>338</v>
      </c>
      <c r="C6" s="249" t="s">
        <v>214</v>
      </c>
      <c r="D6" s="221"/>
      <c r="E6" s="222">
        <f ca="1">INDIRECT( E3 &amp; G1 )</f>
        <v>43465</v>
      </c>
      <c r="I6" s="231"/>
      <c r="J6" s="390"/>
      <c r="K6" s="231"/>
      <c r="L6" s="392"/>
      <c r="M6" s="392"/>
      <c r="N6" s="231"/>
      <c r="O6" s="390"/>
      <c r="P6" s="390"/>
      <c r="Q6" s="231"/>
      <c r="R6" s="390" t="s">
        <v>136</v>
      </c>
      <c r="S6" s="390"/>
      <c r="T6" s="231"/>
      <c r="U6" s="390"/>
      <c r="V6" s="390"/>
      <c r="W6" s="231"/>
      <c r="AE6" s="178"/>
      <c r="AJ6" s="179"/>
    </row>
    <row r="7" spans="1:61" ht="13.8" x14ac:dyDescent="0.25">
      <c r="A7" s="223" t="s">
        <v>215</v>
      </c>
      <c r="B7" s="224" t="s">
        <v>166</v>
      </c>
      <c r="C7" s="224">
        <v>21</v>
      </c>
      <c r="D7" s="224" t="s">
        <v>216</v>
      </c>
      <c r="E7" s="225" t="str">
        <f ca="1">IF( LEN( $G7 ) = 0, "", OFFSET( INDIRECT( E$3 &amp; E$4 ), $G7 - 1, 0 ) )</f>
        <v>MR</v>
      </c>
      <c r="F7" s="348"/>
      <c r="G7" s="349">
        <f t="shared" ref="G7:G62" ca="1" si="1">IF( LEN( $D7 ) = 0, "", MATCH( $D7, INDIRECT( G$3 &amp; G$4 ), 0 ) )</f>
        <v>56</v>
      </c>
      <c r="H7" s="350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8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217</v>
      </c>
      <c r="AR7" s="207" t="s">
        <v>140</v>
      </c>
      <c r="AS7" s="207">
        <v>19</v>
      </c>
      <c r="AT7" s="207" t="s">
        <v>218</v>
      </c>
      <c r="AV7" s="168">
        <f>IF( LEN( AS7 ) = 0, 99, RANK( AS7, $AS$7:$AS$63 ) )</f>
        <v>14</v>
      </c>
      <c r="AW7" s="168">
        <f>COUNTIF( AV7:AV$7, AV7 )</f>
        <v>1</v>
      </c>
      <c r="AX7" s="208">
        <f>AV7 + AW7 / 10</f>
        <v>14.1</v>
      </c>
      <c r="AY7" s="168">
        <f>RANK( AX7, $AX$7:$AX$63, 1 )</f>
        <v>14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7</v>
      </c>
      <c r="BF7" s="173" t="str">
        <f t="shared" ref="BF7:BI38" ca="1" si="7">OFFSET( AQ$6, $BD7, 0 )</f>
        <v>Berkshire Energy Holdings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**BRK</v>
      </c>
    </row>
    <row r="8" spans="1:61" ht="13.8" x14ac:dyDescent="0.25">
      <c r="A8" s="223" t="s">
        <v>219</v>
      </c>
      <c r="B8" s="224" t="s">
        <v>139</v>
      </c>
      <c r="C8" s="224">
        <v>20</v>
      </c>
      <c r="D8" s="224" t="s">
        <v>220</v>
      </c>
      <c r="E8" s="225" t="str">
        <f t="shared" ref="E8:E61" ca="1" si="8">IF( LEN( $G8 ) = 0, "", OFFSET( INDIRECT( E$3 &amp; E$4 ), $G8 - 1, 0 ) )</f>
        <v>R</v>
      </c>
      <c r="F8" s="348"/>
      <c r="G8" s="349">
        <f t="shared" ca="1" si="1"/>
        <v>8</v>
      </c>
      <c r="H8" s="350"/>
      <c r="I8" s="233"/>
      <c r="J8" s="213" t="s">
        <v>137</v>
      </c>
      <c r="K8" s="233"/>
      <c r="L8" s="213">
        <f t="shared" ref="L8:L13" si="9">COUNTIF($C$7:$C$67,$X8)</f>
        <v>2</v>
      </c>
      <c r="M8" s="214">
        <f t="shared" ref="M8:M13" si="10">IF( L8 = 0, "", L8/L$14 )</f>
        <v>4.4444444444444446E-2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2.8571428571428571E-2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0.1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7">SUM(O8, R8, U8)</f>
        <v>2</v>
      </c>
      <c r="AC8" s="351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9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4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ref="AV8:AV63" si="21">IF( LEN( AS8 ) = 0, 99, RANK( AS8, $AS$7:$AS$63 ) )</f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ref="AY8:AY63" si="23">RANK( AX8, $AX$7:$AX$63, 1 )</f>
        <v>2</v>
      </c>
      <c r="AZ8" s="169"/>
      <c r="BA8" s="169"/>
      <c r="BC8" s="168">
        <f ca="1">OFFSET( BC8, -1, 0 ) + 1</f>
        <v>2</v>
      </c>
      <c r="BD8" s="209">
        <f t="shared" ca="1" si="6"/>
        <v>2</v>
      </c>
      <c r="BF8" s="173" t="str">
        <f t="shared" ca="1" si="7"/>
        <v>Alliant Energy Corporation</v>
      </c>
      <c r="BG8" s="173" t="str">
        <f t="shared" ca="1" si="7"/>
        <v>A-</v>
      </c>
      <c r="BH8" s="173">
        <f t="shared" ca="1" si="7"/>
        <v>20</v>
      </c>
      <c r="BI8" s="173" t="str">
        <f t="shared" ca="1" si="7"/>
        <v>LNT</v>
      </c>
    </row>
    <row r="9" spans="1:61" ht="13.8" x14ac:dyDescent="0.25">
      <c r="A9" s="223" t="s">
        <v>222</v>
      </c>
      <c r="B9" s="224" t="s">
        <v>139</v>
      </c>
      <c r="C9" s="224">
        <v>20</v>
      </c>
      <c r="D9" s="224" t="s">
        <v>223</v>
      </c>
      <c r="E9" s="225" t="str">
        <f t="shared" ca="1" si="8"/>
        <v>R</v>
      </c>
      <c r="F9" s="348"/>
      <c r="G9" s="349">
        <f t="shared" ca="1" si="1"/>
        <v>10</v>
      </c>
      <c r="H9" s="350"/>
      <c r="I9" s="234"/>
      <c r="J9" s="215" t="s">
        <v>139</v>
      </c>
      <c r="K9" s="234"/>
      <c r="L9" s="215">
        <f t="shared" si="9"/>
        <v>12</v>
      </c>
      <c r="M9" s="216">
        <f t="shared" si="10"/>
        <v>0.26666666666666666</v>
      </c>
      <c r="N9" s="234"/>
      <c r="O9" s="215">
        <f t="shared" ca="1" si="11"/>
        <v>11</v>
      </c>
      <c r="P9" s="216">
        <f t="shared" ca="1" si="12"/>
        <v>0.31428571428571428</v>
      </c>
      <c r="Q9" s="234"/>
      <c r="R9" s="215">
        <f t="shared" ca="1" si="13"/>
        <v>1</v>
      </c>
      <c r="S9" s="216">
        <f t="shared" ca="1" si="14"/>
        <v>0.1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7"/>
        <v>12</v>
      </c>
      <c r="AC9" s="351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10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si="21"/>
        <v>14</v>
      </c>
      <c r="AW9" s="168">
        <f>COUNTIF( AV$7:AV9, AV9 )</f>
        <v>2</v>
      </c>
      <c r="AX9" s="208">
        <f t="shared" si="22"/>
        <v>14.2</v>
      </c>
      <c r="AY9" s="168">
        <f t="shared" si="23"/>
        <v>15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4</v>
      </c>
      <c r="BF9" s="173" t="str">
        <f t="shared" ca="1" si="7"/>
        <v>American Electric Power Company, Inc.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AEP</v>
      </c>
    </row>
    <row r="10" spans="1:61" ht="13.8" x14ac:dyDescent="0.25">
      <c r="A10" s="223" t="s">
        <v>227</v>
      </c>
      <c r="B10" s="224" t="s">
        <v>139</v>
      </c>
      <c r="C10" s="224">
        <v>20</v>
      </c>
      <c r="D10" s="224" t="s">
        <v>228</v>
      </c>
      <c r="E10" s="225" t="str">
        <f t="shared" ca="1" si="8"/>
        <v>R</v>
      </c>
      <c r="F10" s="348"/>
      <c r="G10" s="349">
        <f t="shared" ca="1" si="1"/>
        <v>16</v>
      </c>
      <c r="H10" s="350"/>
      <c r="I10" s="234"/>
      <c r="J10" s="215" t="s">
        <v>140</v>
      </c>
      <c r="K10" s="234"/>
      <c r="L10" s="215">
        <f t="shared" si="9"/>
        <v>18</v>
      </c>
      <c r="M10" s="216">
        <f t="shared" si="10"/>
        <v>0.4</v>
      </c>
      <c r="N10" s="234"/>
      <c r="O10" s="215">
        <f t="shared" ca="1" si="11"/>
        <v>11</v>
      </c>
      <c r="P10" s="216">
        <f t="shared" ca="1" si="12"/>
        <v>0.31428571428571428</v>
      </c>
      <c r="Q10" s="234"/>
      <c r="R10" s="215">
        <f t="shared" ca="1" si="13"/>
        <v>7</v>
      </c>
      <c r="S10" s="216">
        <f t="shared" ca="1" si="14"/>
        <v>0.7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229</v>
      </c>
      <c r="Y10" s="186">
        <v>19</v>
      </c>
      <c r="Z10" s="186">
        <v>1</v>
      </c>
      <c r="AA10" s="185">
        <f t="shared" ca="1" si="17"/>
        <v>18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11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222</v>
      </c>
      <c r="AR10" s="207" t="s">
        <v>139</v>
      </c>
      <c r="AS10" s="207">
        <v>20</v>
      </c>
      <c r="AT10" s="207" t="s">
        <v>223</v>
      </c>
      <c r="AV10" s="168">
        <f t="shared" si="21"/>
        <v>2</v>
      </c>
      <c r="AW10" s="168">
        <f>COUNTIF( AV$7:AV10, AV10 )</f>
        <v>2</v>
      </c>
      <c r="AX10" s="208">
        <f t="shared" si="22"/>
        <v>2.2000000000000002</v>
      </c>
      <c r="AY10" s="168">
        <f t="shared" si="23"/>
        <v>3</v>
      </c>
      <c r="AZ10" s="169"/>
      <c r="BA10" s="169"/>
      <c r="BC10" s="168">
        <f t="shared" ca="1" si="24"/>
        <v>4</v>
      </c>
      <c r="BD10" s="209">
        <f t="shared" ca="1" si="6"/>
        <v>12</v>
      </c>
      <c r="BF10" s="173" t="str">
        <f t="shared" ca="1" si="7"/>
        <v>Consolidated Edison,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ED</v>
      </c>
    </row>
    <row r="11" spans="1:61" ht="13.8" x14ac:dyDescent="0.25">
      <c r="A11" s="223" t="s">
        <v>263</v>
      </c>
      <c r="B11" s="224" t="s">
        <v>139</v>
      </c>
      <c r="C11" s="224">
        <v>20</v>
      </c>
      <c r="D11" s="224" t="s">
        <v>264</v>
      </c>
      <c r="E11" s="225" t="str">
        <f t="shared" ca="1" si="8"/>
        <v>R</v>
      </c>
      <c r="F11" s="348"/>
      <c r="G11" s="349">
        <f t="shared" ca="1" si="1"/>
        <v>19</v>
      </c>
      <c r="H11" s="350"/>
      <c r="I11" s="234"/>
      <c r="J11" s="215" t="s">
        <v>141</v>
      </c>
      <c r="K11" s="234"/>
      <c r="L11" s="215">
        <f t="shared" si="9"/>
        <v>8</v>
      </c>
      <c r="M11" s="216">
        <f t="shared" si="10"/>
        <v>0.17777777777777778</v>
      </c>
      <c r="N11" s="234"/>
      <c r="O11" s="215">
        <f t="shared" ca="1" si="11"/>
        <v>8</v>
      </c>
      <c r="P11" s="216">
        <f t="shared" ca="1" si="12"/>
        <v>0.22857142857142856</v>
      </c>
      <c r="Q11" s="234"/>
      <c r="R11" s="215">
        <f t="shared" ca="1" si="13"/>
        <v>0</v>
      </c>
      <c r="S11" s="216" t="str">
        <f t="shared" ca="1" si="14"/>
        <v/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7"/>
        <v>8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12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233</v>
      </c>
      <c r="AR11" s="207" t="s">
        <v>140</v>
      </c>
      <c r="AS11" s="207">
        <v>19</v>
      </c>
      <c r="AT11" s="207" t="s">
        <v>234</v>
      </c>
      <c r="AV11" s="168">
        <f t="shared" si="21"/>
        <v>14</v>
      </c>
      <c r="AW11" s="168">
        <f>COUNTIF( AV$7:AV11, AV11 )</f>
        <v>3</v>
      </c>
      <c r="AX11" s="208">
        <f t="shared" si="22"/>
        <v>14.3</v>
      </c>
      <c r="AY11" s="168">
        <f t="shared" si="23"/>
        <v>16</v>
      </c>
      <c r="AZ11" s="169"/>
      <c r="BA11" s="169"/>
      <c r="BC11" s="168">
        <f t="shared" ca="1" si="24"/>
        <v>5</v>
      </c>
      <c r="BD11" s="209">
        <f t="shared" ca="1" si="6"/>
        <v>16</v>
      </c>
      <c r="BF11" s="173" t="str">
        <f t="shared" ca="1" si="7"/>
        <v>Duke Energy Corporation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DUK</v>
      </c>
    </row>
    <row r="12" spans="1:61" ht="13.8" x14ac:dyDescent="0.25">
      <c r="A12" s="223" t="s">
        <v>230</v>
      </c>
      <c r="B12" s="224" t="s">
        <v>139</v>
      </c>
      <c r="C12" s="224">
        <v>20</v>
      </c>
      <c r="D12" s="224" t="s">
        <v>231</v>
      </c>
      <c r="E12" s="225" t="str">
        <f t="shared" ca="1" si="8"/>
        <v>R</v>
      </c>
      <c r="F12" s="348"/>
      <c r="G12" s="349">
        <f t="shared" ca="1" si="1"/>
        <v>23</v>
      </c>
      <c r="H12" s="350"/>
      <c r="I12" s="234"/>
      <c r="J12" s="215" t="s">
        <v>142</v>
      </c>
      <c r="K12" s="234"/>
      <c r="L12" s="215">
        <f t="shared" si="9"/>
        <v>4</v>
      </c>
      <c r="M12" s="216">
        <f t="shared" si="10"/>
        <v>8.8888888888888892E-2</v>
      </c>
      <c r="N12" s="234"/>
      <c r="O12" s="215">
        <f t="shared" ca="1" si="11"/>
        <v>3</v>
      </c>
      <c r="P12" s="216">
        <f t="shared" ca="1" si="12"/>
        <v>8.5714285714285715E-2</v>
      </c>
      <c r="Q12" s="234"/>
      <c r="R12" s="215">
        <f t="shared" ca="1" si="13"/>
        <v>1</v>
      </c>
      <c r="S12" s="216">
        <f t="shared" ca="1" si="14"/>
        <v>0.1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237</v>
      </c>
      <c r="Y12" s="186">
        <v>17</v>
      </c>
      <c r="Z12" s="186">
        <v>1</v>
      </c>
      <c r="AA12" s="185">
        <f t="shared" ca="1" si="17"/>
        <v>4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13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238</v>
      </c>
      <c r="AR12" s="207" t="s">
        <v>141</v>
      </c>
      <c r="AS12" s="207">
        <v>18</v>
      </c>
      <c r="AT12" s="207" t="s">
        <v>239</v>
      </c>
      <c r="AV12" s="168">
        <f t="shared" si="21"/>
        <v>32</v>
      </c>
      <c r="AW12" s="168">
        <f>COUNTIF( AV$7:AV12, AV12 )</f>
        <v>1</v>
      </c>
      <c r="AX12" s="208">
        <f t="shared" si="22"/>
        <v>32.1</v>
      </c>
      <c r="AY12" s="168">
        <f t="shared" si="23"/>
        <v>32</v>
      </c>
      <c r="AZ12" s="169"/>
      <c r="BA12" s="169"/>
      <c r="BC12" s="168">
        <f t="shared" ca="1" si="24"/>
        <v>6</v>
      </c>
      <c r="BD12" s="209">
        <f t="shared" ca="1" si="6"/>
        <v>20</v>
      </c>
      <c r="BF12" s="173" t="str">
        <f t="shared" ca="1" si="7"/>
        <v>Evergy,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EVRG</v>
      </c>
    </row>
    <row r="13" spans="1:61" ht="13.8" x14ac:dyDescent="0.25">
      <c r="A13" s="223" t="s">
        <v>235</v>
      </c>
      <c r="B13" s="224" t="s">
        <v>139</v>
      </c>
      <c r="C13" s="224">
        <v>20</v>
      </c>
      <c r="D13" s="224" t="s">
        <v>236</v>
      </c>
      <c r="E13" s="225" t="str">
        <f t="shared" ca="1" si="8"/>
        <v>R</v>
      </c>
      <c r="F13" s="348"/>
      <c r="G13" s="349">
        <f t="shared" ca="1" si="1"/>
        <v>24</v>
      </c>
      <c r="H13" s="350"/>
      <c r="I13" s="235"/>
      <c r="J13" s="217" t="s">
        <v>143</v>
      </c>
      <c r="K13" s="235"/>
      <c r="L13" s="217">
        <f t="shared" si="9"/>
        <v>1</v>
      </c>
      <c r="M13" s="218">
        <f t="shared" si="10"/>
        <v>2.2222222222222223E-2</v>
      </c>
      <c r="N13" s="235"/>
      <c r="O13" s="217">
        <f t="shared" ca="1" si="11"/>
        <v>1</v>
      </c>
      <c r="P13" s="218">
        <f t="shared" ca="1" si="12"/>
        <v>2.8571428571428571E-2</v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242</v>
      </c>
      <c r="Y13" s="186">
        <v>16</v>
      </c>
      <c r="Z13" s="186">
        <v>1</v>
      </c>
      <c r="AA13" s="188">
        <f t="shared" ca="1" si="17"/>
        <v>1</v>
      </c>
      <c r="AE13" s="184"/>
      <c r="AF13" s="169">
        <f t="shared" si="2"/>
        <v>0</v>
      </c>
      <c r="AG13" s="169" t="str">
        <f t="shared" ca="1" si="3"/>
        <v/>
      </c>
      <c r="AH13" s="169">
        <f t="shared" ca="1" si="18"/>
        <v>1</v>
      </c>
      <c r="AJ13" s="169">
        <f t="shared" ca="1" si="19"/>
        <v>7</v>
      </c>
      <c r="AK13" s="169" t="str">
        <f t="shared" ca="1" si="20"/>
        <v>A+</v>
      </c>
      <c r="AL13" s="169">
        <f t="shared" ca="1" si="20"/>
        <v>22</v>
      </c>
      <c r="AM13" s="169" t="str">
        <f t="shared" ca="1" si="4"/>
        <v>Change</v>
      </c>
      <c r="AQ13" s="207" t="s">
        <v>215</v>
      </c>
      <c r="AR13" s="207" t="s">
        <v>166</v>
      </c>
      <c r="AS13" s="207">
        <v>21</v>
      </c>
      <c r="AT13" s="207" t="s">
        <v>216</v>
      </c>
      <c r="AV13" s="168">
        <f t="shared" si="21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23"/>
        <v>1</v>
      </c>
      <c r="AZ13" s="169"/>
      <c r="BA13" s="169"/>
      <c r="BC13" s="168">
        <f t="shared" ca="1" si="24"/>
        <v>7</v>
      </c>
      <c r="BD13" s="209">
        <f t="shared" ca="1" si="6"/>
        <v>21</v>
      </c>
      <c r="BF13" s="173" t="str">
        <f t="shared" ca="1" si="7"/>
        <v>Eversource Energy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ES</v>
      </c>
    </row>
    <row r="14" spans="1:61" ht="13.8" x14ac:dyDescent="0.25">
      <c r="A14" s="223" t="s">
        <v>240</v>
      </c>
      <c r="B14" s="224" t="s">
        <v>139</v>
      </c>
      <c r="C14" s="224">
        <v>20</v>
      </c>
      <c r="D14" s="224" t="s">
        <v>241</v>
      </c>
      <c r="E14" s="225" t="str">
        <f t="shared" ca="1" si="8"/>
        <v>MR</v>
      </c>
      <c r="F14" s="348"/>
      <c r="G14" s="349">
        <f t="shared" ca="1" si="1"/>
        <v>31</v>
      </c>
      <c r="H14" s="350"/>
      <c r="I14" s="236"/>
      <c r="J14" s="211" t="s">
        <v>144</v>
      </c>
      <c r="K14" s="236"/>
      <c r="L14" s="211">
        <f>SUM(L8:L13)</f>
        <v>45</v>
      </c>
      <c r="M14" s="212">
        <f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10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18.933333333333334</v>
      </c>
      <c r="Z14" s="190"/>
      <c r="AA14" s="189">
        <f ca="1">SUM(AA8:AA13)</f>
        <v>45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245</v>
      </c>
      <c r="AR14" s="207" t="s">
        <v>140</v>
      </c>
      <c r="AS14" s="207">
        <v>19</v>
      </c>
      <c r="AT14" s="207" t="s">
        <v>246</v>
      </c>
      <c r="AV14" s="168">
        <f>IF( LEN( AS14 ) = 0, 99, RANK( AS14, $AS$7:$AS$63 ) )</f>
        <v>14</v>
      </c>
      <c r="AW14" s="168">
        <f>COUNTIF( AV$7:AV14, AV14 )</f>
        <v>4</v>
      </c>
      <c r="AX14" s="208">
        <f t="shared" si="22"/>
        <v>14.4</v>
      </c>
      <c r="AY14" s="168">
        <f t="shared" si="23"/>
        <v>17</v>
      </c>
      <c r="AZ14" s="169"/>
      <c r="BA14" s="169"/>
      <c r="BC14" s="168">
        <f t="shared" ca="1" si="24"/>
        <v>8</v>
      </c>
      <c r="BD14" s="209">
        <f t="shared" ca="1" si="6"/>
        <v>28</v>
      </c>
      <c r="BF14" s="173" t="str">
        <f t="shared" ca="1" si="7"/>
        <v>NextEra Energy,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NEE</v>
      </c>
    </row>
    <row r="15" spans="1:61" ht="13.8" x14ac:dyDescent="0.25">
      <c r="A15" s="223" t="s">
        <v>281</v>
      </c>
      <c r="B15" s="224" t="s">
        <v>139</v>
      </c>
      <c r="C15" s="224">
        <v>20</v>
      </c>
      <c r="D15" s="224" t="s">
        <v>282</v>
      </c>
      <c r="E15" s="225" t="str">
        <f t="shared" ca="1" si="8"/>
        <v>R</v>
      </c>
      <c r="F15" s="348"/>
      <c r="G15" s="349">
        <f t="shared" ca="1" si="1"/>
        <v>37</v>
      </c>
      <c r="H15" s="350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249</v>
      </c>
      <c r="AR15" s="207" t="s">
        <v>140</v>
      </c>
      <c r="AS15" s="207">
        <v>19</v>
      </c>
      <c r="AT15" s="207" t="s">
        <v>250</v>
      </c>
      <c r="AV15" s="168">
        <f t="shared" si="21"/>
        <v>14</v>
      </c>
      <c r="AW15" s="168">
        <f>COUNTIF( AV$7:AV15, AV15 )</f>
        <v>5</v>
      </c>
      <c r="AX15" s="208">
        <f t="shared" si="22"/>
        <v>14.5</v>
      </c>
      <c r="AY15" s="168">
        <f t="shared" si="23"/>
        <v>18</v>
      </c>
      <c r="AZ15" s="169"/>
      <c r="BA15" s="169"/>
      <c r="BC15" s="168">
        <f t="shared" ca="1" si="24"/>
        <v>9</v>
      </c>
      <c r="BD15" s="209">
        <f t="shared" ca="1" si="6"/>
        <v>34</v>
      </c>
      <c r="BF15" s="173" t="str">
        <f t="shared" ca="1" si="7"/>
        <v>Pinnacle West Capital Corporation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PNW</v>
      </c>
    </row>
    <row r="16" spans="1:61" ht="13.8" x14ac:dyDescent="0.25">
      <c r="A16" s="223" t="s">
        <v>243</v>
      </c>
      <c r="B16" s="224" t="s">
        <v>139</v>
      </c>
      <c r="C16" s="224">
        <v>20</v>
      </c>
      <c r="D16" s="224" t="s">
        <v>244</v>
      </c>
      <c r="E16" s="225" t="str">
        <f t="shared" ca="1" si="8"/>
        <v>R</v>
      </c>
      <c r="F16" s="348"/>
      <c r="G16" s="349">
        <f t="shared" ca="1" si="1"/>
        <v>40</v>
      </c>
      <c r="H16" s="350"/>
      <c r="I16" s="232"/>
      <c r="J16" s="210" t="s">
        <v>253</v>
      </c>
      <c r="K16" s="232"/>
      <c r="L16" s="386">
        <f t="array" ref="L16">SUM( IF( LEN( $C$7:$C$65 ) = 0, 0, $C$7:$C$65 ) ) / SUM( IF( LEN( $C$7:$C$65 ) = 0, 0, 1  ) )</f>
        <v>18.68888888888889</v>
      </c>
      <c r="M16" s="387"/>
      <c r="N16" s="232"/>
      <c r="O16" s="386">
        <f t="array" aca="1" ref="O16" ca="1">SUM( IF( LEN( $C$7:$C$65 ) = 0, 0, IF( $E$7:$E$65 = O3, $C$7:$C$65, 0 ) ) ) / SUM( IF( LEN( $C$7:$C$65 ) = 0, 0, IF( $E$7:$E$65 = O3, 1, 0 ) ) )</f>
        <v>18.571428571428573</v>
      </c>
      <c r="P16" s="387"/>
      <c r="Q16" s="232"/>
      <c r="R16" s="386">
        <f t="array" aca="1" ref="R16" ca="1">SUM( IF( LEN( $C$7:$C$65 ) = 0, 0, IF( $E$7:$E$65 = R3, $C$7:$C$65, 0 ) ) ) / SUM( IF( LEN( $C$7:$C$65 ) = 0, 0, IF( $E$7:$E$65 = R3, 1, 0 ) ) )</f>
        <v>19.100000000000001</v>
      </c>
      <c r="S16" s="387"/>
      <c r="T16" s="232"/>
      <c r="U16" s="386" t="e">
        <f t="array" aca="1" ref="U16" ca="1">SUM( IF( LEN( $C$7:$C$65 ) = 0, 0, IF( $E$7:$E$65 = U3, $C$7:$C$65, 0 ) ) ) / SUM( IF( LEN( $C$7:$C$65 ) = 0, 0, IF( $E$7:$E$65 = U3, 1, 0 ) ) )</f>
        <v>#DIV/0!</v>
      </c>
      <c r="V16" s="388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254</v>
      </c>
      <c r="AR16" s="207" t="s">
        <v>142</v>
      </c>
      <c r="AS16" s="207">
        <v>17</v>
      </c>
      <c r="AT16" s="207" t="s">
        <v>255</v>
      </c>
      <c r="AV16" s="168">
        <f t="shared" si="21"/>
        <v>40</v>
      </c>
      <c r="AW16" s="168">
        <f>COUNTIF( AV$7:AV16, AV16 )</f>
        <v>1</v>
      </c>
      <c r="AX16" s="208">
        <f t="shared" si="22"/>
        <v>40.1</v>
      </c>
      <c r="AY16" s="168">
        <f t="shared" si="23"/>
        <v>40</v>
      </c>
      <c r="AZ16" s="169"/>
      <c r="BA16" s="169"/>
      <c r="BC16" s="168">
        <f t="shared" ca="1" si="24"/>
        <v>10</v>
      </c>
      <c r="BD16" s="209">
        <f t="shared" ca="1" si="6"/>
        <v>37</v>
      </c>
      <c r="BF16" s="173" t="str">
        <f t="shared" ca="1" si="7"/>
        <v>PPL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PPL</v>
      </c>
    </row>
    <row r="17" spans="1:61" ht="13.8" x14ac:dyDescent="0.25">
      <c r="A17" s="223" t="s">
        <v>293</v>
      </c>
      <c r="B17" s="224" t="s">
        <v>139</v>
      </c>
      <c r="C17" s="224">
        <v>20</v>
      </c>
      <c r="D17" s="224" t="s">
        <v>294</v>
      </c>
      <c r="E17" s="225" t="str">
        <f t="shared" ca="1" si="8"/>
        <v>R</v>
      </c>
      <c r="F17" s="348"/>
      <c r="G17" s="349">
        <f t="shared" ca="1" si="1"/>
        <v>43</v>
      </c>
      <c r="H17" s="350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256</v>
      </c>
      <c r="AR17" s="207" t="s">
        <v>140</v>
      </c>
      <c r="AS17" s="207">
        <v>19</v>
      </c>
      <c r="AT17" s="207" t="s">
        <v>257</v>
      </c>
      <c r="AV17" s="168">
        <f t="shared" si="21"/>
        <v>14</v>
      </c>
      <c r="AW17" s="168">
        <f>COUNTIF( AV$7:AV17, AV17 )</f>
        <v>6</v>
      </c>
      <c r="AX17" s="208">
        <f t="shared" si="22"/>
        <v>14.6</v>
      </c>
      <c r="AY17" s="168">
        <f t="shared" si="23"/>
        <v>19</v>
      </c>
      <c r="AZ17" s="169"/>
      <c r="BA17" s="169"/>
      <c r="BC17" s="168">
        <f t="shared" ca="1" si="24"/>
        <v>11</v>
      </c>
      <c r="BD17" s="209">
        <f t="shared" ca="1" si="6"/>
        <v>41</v>
      </c>
      <c r="BF17" s="173" t="str">
        <f t="shared" ca="1" si="7"/>
        <v>Southern Company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SO</v>
      </c>
    </row>
    <row r="18" spans="1:61" ht="13.8" x14ac:dyDescent="0.25">
      <c r="A18" s="223" t="s">
        <v>247</v>
      </c>
      <c r="B18" s="224" t="s">
        <v>139</v>
      </c>
      <c r="C18" s="224">
        <v>20</v>
      </c>
      <c r="D18" s="224" t="s">
        <v>248</v>
      </c>
      <c r="E18" s="225" t="str">
        <f t="shared" ca="1" si="8"/>
        <v>R</v>
      </c>
      <c r="F18" s="348"/>
      <c r="G18" s="349">
        <f t="shared" ca="1" si="1"/>
        <v>45</v>
      </c>
      <c r="H18" s="350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227</v>
      </c>
      <c r="AR18" s="207" t="s">
        <v>139</v>
      </c>
      <c r="AS18" s="207">
        <v>20</v>
      </c>
      <c r="AT18" s="207" t="s">
        <v>228</v>
      </c>
      <c r="AV18" s="168">
        <f t="shared" si="21"/>
        <v>2</v>
      </c>
      <c r="AW18" s="168">
        <f>COUNTIF( AV$7:AV18, AV18 )</f>
        <v>3</v>
      </c>
      <c r="AX18" s="208">
        <f t="shared" si="22"/>
        <v>2.2999999999999998</v>
      </c>
      <c r="AY18" s="168">
        <f t="shared" si="23"/>
        <v>4</v>
      </c>
      <c r="AZ18" s="169"/>
      <c r="BA18" s="169"/>
      <c r="BC18" s="168">
        <f t="shared" ca="1" si="24"/>
        <v>12</v>
      </c>
      <c r="BD18" s="209">
        <f t="shared" ca="1" si="6"/>
        <v>43</v>
      </c>
      <c r="BF18" s="173" t="str">
        <f t="shared" ca="1" si="7"/>
        <v>Wisconsin Energy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WEC</v>
      </c>
    </row>
    <row r="19" spans="1:61" ht="13.8" x14ac:dyDescent="0.25">
      <c r="A19" s="223" t="s">
        <v>251</v>
      </c>
      <c r="B19" s="224" t="s">
        <v>139</v>
      </c>
      <c r="C19" s="224">
        <v>20</v>
      </c>
      <c r="D19" s="224" t="s">
        <v>252</v>
      </c>
      <c r="E19" s="225" t="str">
        <f t="shared" ca="1" si="8"/>
        <v>R</v>
      </c>
      <c r="F19" s="348"/>
      <c r="G19" s="349">
        <f t="shared" ca="1" si="1"/>
        <v>46</v>
      </c>
      <c r="H19" s="350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258</v>
      </c>
      <c r="AR19" s="207" t="s">
        <v>140</v>
      </c>
      <c r="AS19" s="207">
        <v>19</v>
      </c>
      <c r="AT19" s="207" t="s">
        <v>194</v>
      </c>
      <c r="AV19" s="168">
        <f t="shared" si="21"/>
        <v>14</v>
      </c>
      <c r="AW19" s="168">
        <f>COUNTIF( AV$7:AV19, AV19 )</f>
        <v>7</v>
      </c>
      <c r="AX19" s="208">
        <f t="shared" si="22"/>
        <v>14.7</v>
      </c>
      <c r="AY19" s="168">
        <f t="shared" si="23"/>
        <v>20</v>
      </c>
      <c r="AZ19" s="169"/>
      <c r="BA19" s="169"/>
      <c r="BC19" s="168">
        <f t="shared" ca="1" si="24"/>
        <v>13</v>
      </c>
      <c r="BD19" s="209">
        <f t="shared" ca="1" si="6"/>
        <v>44</v>
      </c>
      <c r="BF19" s="173" t="str">
        <f t="shared" ca="1" si="7"/>
        <v>Xcel Energy Inc.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XEL</v>
      </c>
    </row>
    <row r="20" spans="1:61" ht="13.8" x14ac:dyDescent="0.25">
      <c r="A20" s="223" t="s">
        <v>217</v>
      </c>
      <c r="B20" s="224" t="s">
        <v>140</v>
      </c>
      <c r="C20" s="224">
        <v>19</v>
      </c>
      <c r="D20" s="224" t="s">
        <v>218</v>
      </c>
      <c r="E20" s="225" t="str">
        <f t="shared" ca="1" si="8"/>
        <v>MR</v>
      </c>
      <c r="F20" s="348"/>
      <c r="G20" s="349">
        <f t="shared" ca="1" si="1"/>
        <v>7</v>
      </c>
      <c r="H20" s="350"/>
      <c r="I20" s="352"/>
      <c r="K20" s="352"/>
      <c r="N20" s="352"/>
      <c r="O20" s="173"/>
      <c r="Q20" s="352"/>
      <c r="T20" s="352"/>
      <c r="W20" s="352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4"/>
        <v/>
      </c>
      <c r="AQ20" s="207" t="s">
        <v>259</v>
      </c>
      <c r="AR20" s="207" t="s">
        <v>142</v>
      </c>
      <c r="AS20" s="207">
        <v>17</v>
      </c>
      <c r="AT20" s="207" t="s">
        <v>260</v>
      </c>
      <c r="AV20" s="168">
        <f t="shared" si="21"/>
        <v>40</v>
      </c>
      <c r="AW20" s="168">
        <f>COUNTIF( AV$7:AV20, AV20 )</f>
        <v>2</v>
      </c>
      <c r="AX20" s="208">
        <f t="shared" si="22"/>
        <v>40.200000000000003</v>
      </c>
      <c r="AY20" s="168">
        <f t="shared" si="23"/>
        <v>41</v>
      </c>
      <c r="AZ20" s="169"/>
      <c r="BA20" s="169"/>
      <c r="BC20" s="168">
        <f t="shared" ca="1" si="24"/>
        <v>14</v>
      </c>
      <c r="BD20" s="209">
        <f t="shared" ca="1" si="6"/>
        <v>1</v>
      </c>
      <c r="BF20" s="173" t="str">
        <f t="shared" ca="1" si="7"/>
        <v>ALLETE, Inc.</v>
      </c>
      <c r="BG20" s="173" t="str">
        <f t="shared" ca="1" si="7"/>
        <v>BBB+</v>
      </c>
      <c r="BH20" s="173">
        <f t="shared" ca="1" si="7"/>
        <v>19</v>
      </c>
      <c r="BI20" s="173" t="str">
        <f t="shared" ca="1" si="7"/>
        <v>ALE</v>
      </c>
    </row>
    <row r="21" spans="1:61" ht="13.8" x14ac:dyDescent="0.25">
      <c r="A21" s="223" t="s">
        <v>225</v>
      </c>
      <c r="B21" s="224" t="s">
        <v>140</v>
      </c>
      <c r="C21" s="224">
        <v>19</v>
      </c>
      <c r="D21" s="224" t="s">
        <v>226</v>
      </c>
      <c r="E21" s="225" t="str">
        <f t="shared" ca="1" si="8"/>
        <v>R</v>
      </c>
      <c r="F21" s="348"/>
      <c r="G21" s="349">
        <f t="shared" ca="1" si="1"/>
        <v>9</v>
      </c>
      <c r="H21" s="350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261</v>
      </c>
      <c r="AR21" s="207" t="s">
        <v>140</v>
      </c>
      <c r="AS21" s="207">
        <v>19</v>
      </c>
      <c r="AT21" s="207" t="s">
        <v>262</v>
      </c>
      <c r="AV21" s="168">
        <f t="shared" si="21"/>
        <v>14</v>
      </c>
      <c r="AW21" s="168">
        <f>COUNTIF( AV$7:AV21, AV21 )</f>
        <v>8</v>
      </c>
      <c r="AX21" s="208">
        <f t="shared" si="22"/>
        <v>14.8</v>
      </c>
      <c r="AY21" s="168">
        <f t="shared" si="23"/>
        <v>21</v>
      </c>
      <c r="AZ21" s="169"/>
      <c r="BA21" s="169"/>
      <c r="BC21" s="168">
        <f t="shared" ca="1" si="24"/>
        <v>15</v>
      </c>
      <c r="BD21" s="209">
        <f t="shared" ca="1" si="6"/>
        <v>3</v>
      </c>
      <c r="BF21" s="173" t="str">
        <f t="shared" ca="1" si="7"/>
        <v>Ameren Corporation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AEE</v>
      </c>
    </row>
    <row r="22" spans="1:61" ht="13.8" x14ac:dyDescent="0.25">
      <c r="A22" s="223" t="s">
        <v>233</v>
      </c>
      <c r="B22" s="224" t="s">
        <v>140</v>
      </c>
      <c r="C22" s="224">
        <v>19</v>
      </c>
      <c r="D22" s="224" t="s">
        <v>234</v>
      </c>
      <c r="E22" s="225" t="str">
        <f t="shared" ca="1" si="8"/>
        <v>MR</v>
      </c>
      <c r="F22" s="348"/>
      <c r="G22" s="349">
        <f t="shared" ca="1" si="1"/>
        <v>11</v>
      </c>
      <c r="H22" s="350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263</v>
      </c>
      <c r="AR22" s="207" t="s">
        <v>139</v>
      </c>
      <c r="AS22" s="207">
        <v>20</v>
      </c>
      <c r="AT22" s="207" t="s">
        <v>264</v>
      </c>
      <c r="AV22" s="168">
        <f t="shared" si="21"/>
        <v>2</v>
      </c>
      <c r="AW22" s="168">
        <f>COUNTIF( AV$7:AV22, AV22 )</f>
        <v>4</v>
      </c>
      <c r="AX22" s="208">
        <f t="shared" si="22"/>
        <v>2.4</v>
      </c>
      <c r="AY22" s="168">
        <f t="shared" si="23"/>
        <v>5</v>
      </c>
      <c r="AZ22" s="169"/>
      <c r="BA22" s="169"/>
      <c r="BC22" s="168">
        <f t="shared" ca="1" si="24"/>
        <v>16</v>
      </c>
      <c r="BD22" s="209">
        <f t="shared" ca="1" si="6"/>
        <v>5</v>
      </c>
      <c r="BF22" s="173" t="str">
        <f t="shared" ca="1" si="7"/>
        <v>AVANGRID, Inc.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AGR</v>
      </c>
    </row>
    <row r="23" spans="1:61" ht="13.8" x14ac:dyDescent="0.25">
      <c r="A23" s="223" t="s">
        <v>245</v>
      </c>
      <c r="B23" s="224" t="s">
        <v>140</v>
      </c>
      <c r="C23" s="224">
        <v>19</v>
      </c>
      <c r="D23" s="224" t="s">
        <v>246</v>
      </c>
      <c r="E23" s="225" t="str">
        <f t="shared" ca="1" si="8"/>
        <v>R</v>
      </c>
      <c r="F23" s="348"/>
      <c r="G23" s="349">
        <f t="shared" ca="1" si="1"/>
        <v>13</v>
      </c>
      <c r="H23" s="350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265</v>
      </c>
      <c r="AR23" s="207" t="s">
        <v>141</v>
      </c>
      <c r="AS23" s="207">
        <v>18</v>
      </c>
      <c r="AT23" s="207" t="s">
        <v>266</v>
      </c>
      <c r="AV23" s="168">
        <f t="shared" si="21"/>
        <v>32</v>
      </c>
      <c r="AW23" s="168">
        <f>COUNTIF( AV$7:AV23, AV23 )</f>
        <v>2</v>
      </c>
      <c r="AX23" s="208">
        <f t="shared" si="22"/>
        <v>32.200000000000003</v>
      </c>
      <c r="AY23" s="168">
        <f t="shared" si="23"/>
        <v>33</v>
      </c>
      <c r="AZ23" s="169"/>
      <c r="BA23" s="169"/>
      <c r="BC23" s="168">
        <f t="shared" ca="1" si="24"/>
        <v>17</v>
      </c>
      <c r="BD23" s="209">
        <f t="shared" ca="1" si="6"/>
        <v>8</v>
      </c>
      <c r="BF23" s="173" t="str">
        <f t="shared" ca="1" si="7"/>
        <v>Black Hills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BKH</v>
      </c>
    </row>
    <row r="24" spans="1:61" ht="13.8" x14ac:dyDescent="0.25">
      <c r="A24" s="223" t="s">
        <v>249</v>
      </c>
      <c r="B24" s="224" t="s">
        <v>140</v>
      </c>
      <c r="C24" s="224">
        <v>19</v>
      </c>
      <c r="D24" s="224" t="s">
        <v>250</v>
      </c>
      <c r="E24" s="225" t="str">
        <f t="shared" ca="1" si="8"/>
        <v>MR</v>
      </c>
      <c r="F24" s="348"/>
      <c r="G24" s="349">
        <f t="shared" ca="1" si="1"/>
        <v>14</v>
      </c>
      <c r="H24" s="350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328</v>
      </c>
      <c r="AR24" s="207" t="s">
        <v>141</v>
      </c>
      <c r="AS24" s="207">
        <v>18</v>
      </c>
      <c r="AT24" s="207" t="s">
        <v>331</v>
      </c>
      <c r="AV24" s="168">
        <f t="shared" si="21"/>
        <v>32</v>
      </c>
      <c r="AW24" s="168">
        <f>COUNTIF( AV$7:AV24, AV24 )</f>
        <v>3</v>
      </c>
      <c r="AX24" s="208">
        <f t="shared" si="22"/>
        <v>32.299999999999997</v>
      </c>
      <c r="AY24" s="168">
        <f t="shared" si="23"/>
        <v>34</v>
      </c>
      <c r="AZ24" s="169"/>
      <c r="BA24" s="169"/>
      <c r="BC24" s="168">
        <f t="shared" ca="1" si="24"/>
        <v>18</v>
      </c>
      <c r="BD24" s="209">
        <f t="shared" ca="1" si="6"/>
        <v>9</v>
      </c>
      <c r="BF24" s="173" t="str">
        <f t="shared" ca="1" si="7"/>
        <v>CenterPoint Energy, Inc.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CNP</v>
      </c>
    </row>
    <row r="25" spans="1:61" ht="13.8" x14ac:dyDescent="0.25">
      <c r="A25" s="223" t="s">
        <v>256</v>
      </c>
      <c r="B25" s="224" t="s">
        <v>140</v>
      </c>
      <c r="C25" s="224">
        <v>19</v>
      </c>
      <c r="D25" s="224" t="s">
        <v>257</v>
      </c>
      <c r="E25" s="225" t="str">
        <f t="shared" ca="1" si="8"/>
        <v>R</v>
      </c>
      <c r="F25" s="348"/>
      <c r="G25" s="349">
        <f t="shared" ca="1" si="1"/>
        <v>15</v>
      </c>
      <c r="H25" s="350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267</v>
      </c>
      <c r="AR25" s="207" t="s">
        <v>140</v>
      </c>
      <c r="AS25" s="207">
        <v>19</v>
      </c>
      <c r="AT25" s="207" t="s">
        <v>268</v>
      </c>
      <c r="AV25" s="168">
        <f t="shared" si="21"/>
        <v>14</v>
      </c>
      <c r="AW25" s="168">
        <f>COUNTIF( AV$7:AV25, AV25 )</f>
        <v>9</v>
      </c>
      <c r="AX25" s="208">
        <f t="shared" si="22"/>
        <v>14.9</v>
      </c>
      <c r="AY25" s="168">
        <f t="shared" si="23"/>
        <v>22</v>
      </c>
      <c r="AZ25" s="169"/>
      <c r="BA25" s="169"/>
      <c r="BC25" s="168">
        <f t="shared" ca="1" si="24"/>
        <v>19</v>
      </c>
      <c r="BD25" s="209">
        <f t="shared" ca="1" si="6"/>
        <v>11</v>
      </c>
      <c r="BF25" s="173" t="str">
        <f t="shared" ca="1" si="7"/>
        <v>CMS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CMS</v>
      </c>
    </row>
    <row r="26" spans="1:61" ht="13.8" x14ac:dyDescent="0.25">
      <c r="A26" s="223" t="s">
        <v>258</v>
      </c>
      <c r="B26" s="224" t="s">
        <v>140</v>
      </c>
      <c r="C26" s="224">
        <v>19</v>
      </c>
      <c r="D26" s="224" t="s">
        <v>194</v>
      </c>
      <c r="E26" s="225" t="str">
        <f t="shared" ca="1" si="8"/>
        <v>R</v>
      </c>
      <c r="F26" s="348"/>
      <c r="G26" s="349">
        <f t="shared" ca="1" si="1"/>
        <v>17</v>
      </c>
      <c r="H26" s="350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230</v>
      </c>
      <c r="AR26" s="207" t="s">
        <v>139</v>
      </c>
      <c r="AS26" s="207">
        <v>20</v>
      </c>
      <c r="AT26" s="207" t="s">
        <v>231</v>
      </c>
      <c r="AV26" s="168">
        <f t="shared" si="21"/>
        <v>2</v>
      </c>
      <c r="AW26" s="168">
        <f>COUNTIF( AV$7:AV26, AV26 )</f>
        <v>5</v>
      </c>
      <c r="AX26" s="208">
        <f t="shared" si="22"/>
        <v>2.5</v>
      </c>
      <c r="AY26" s="168">
        <f t="shared" si="23"/>
        <v>6</v>
      </c>
      <c r="AZ26" s="169"/>
      <c r="BA26" s="169"/>
      <c r="BC26" s="168">
        <f t="shared" ca="1" si="24"/>
        <v>20</v>
      </c>
      <c r="BD26" s="209">
        <f t="shared" ca="1" si="6"/>
        <v>13</v>
      </c>
      <c r="BF26" s="173" t="str">
        <f t="shared" ca="1" si="7"/>
        <v>Dominion Energy, Inc.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</v>
      </c>
    </row>
    <row r="27" spans="1:61" ht="13.8" x14ac:dyDescent="0.25">
      <c r="A27" s="223" t="s">
        <v>261</v>
      </c>
      <c r="B27" s="224" t="s">
        <v>140</v>
      </c>
      <c r="C27" s="224">
        <v>19</v>
      </c>
      <c r="D27" s="224" t="s">
        <v>262</v>
      </c>
      <c r="E27" s="225" t="str">
        <f t="shared" ca="1" si="8"/>
        <v>MR</v>
      </c>
      <c r="F27" s="348"/>
      <c r="G27" s="349">
        <f t="shared" ca="1" si="1"/>
        <v>18</v>
      </c>
      <c r="H27" s="350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235</v>
      </c>
      <c r="AR27" s="207" t="s">
        <v>139</v>
      </c>
      <c r="AS27" s="207">
        <v>20</v>
      </c>
      <c r="AT27" s="207" t="s">
        <v>236</v>
      </c>
      <c r="AV27" s="168">
        <f t="shared" si="21"/>
        <v>2</v>
      </c>
      <c r="AW27" s="168">
        <f>COUNTIF( AV$7:AV27, AV27 )</f>
        <v>6</v>
      </c>
      <c r="AX27" s="208">
        <f t="shared" si="22"/>
        <v>2.6</v>
      </c>
      <c r="AY27" s="168">
        <f t="shared" si="23"/>
        <v>7</v>
      </c>
      <c r="AZ27" s="169"/>
      <c r="BA27" s="169"/>
      <c r="BC27" s="168">
        <f t="shared" ca="1" si="24"/>
        <v>21</v>
      </c>
      <c r="BD27" s="209">
        <f t="shared" ca="1" si="6"/>
        <v>15</v>
      </c>
      <c r="BF27" s="173" t="str">
        <f t="shared" ca="1" si="7"/>
        <v>DTE Energy Company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DTE</v>
      </c>
    </row>
    <row r="28" spans="1:61" ht="13.8" x14ac:dyDescent="0.25">
      <c r="A28" s="223" t="s">
        <v>267</v>
      </c>
      <c r="B28" s="224" t="s">
        <v>140</v>
      </c>
      <c r="C28" s="224">
        <v>19</v>
      </c>
      <c r="D28" s="224" t="s">
        <v>268</v>
      </c>
      <c r="E28" s="225" t="str">
        <f t="shared" ca="1" si="8"/>
        <v>R</v>
      </c>
      <c r="F28" s="348"/>
      <c r="G28" s="349">
        <f t="shared" ca="1" si="1"/>
        <v>22</v>
      </c>
      <c r="H28" s="350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269</v>
      </c>
      <c r="AR28" s="207" t="s">
        <v>140</v>
      </c>
      <c r="AS28" s="207">
        <v>19</v>
      </c>
      <c r="AT28" s="207" t="s">
        <v>270</v>
      </c>
      <c r="AV28" s="168">
        <f t="shared" si="21"/>
        <v>14</v>
      </c>
      <c r="AW28" s="168">
        <f>COUNTIF( AV$7:AV28, AV28 )</f>
        <v>10</v>
      </c>
      <c r="AX28" s="208">
        <f t="shared" si="22"/>
        <v>15</v>
      </c>
      <c r="AY28" s="168">
        <f t="shared" si="23"/>
        <v>23</v>
      </c>
      <c r="AZ28" s="169"/>
      <c r="BA28" s="169"/>
      <c r="BC28" s="168">
        <f t="shared" ca="1" si="24"/>
        <v>22</v>
      </c>
      <c r="BD28" s="209">
        <f t="shared" ca="1" si="6"/>
        <v>19</v>
      </c>
      <c r="BF28" s="173" t="str">
        <f t="shared" ca="1" si="7"/>
        <v>Entergy Corporation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ETR</v>
      </c>
    </row>
    <row r="29" spans="1:61" ht="13.8" x14ac:dyDescent="0.25">
      <c r="A29" s="223" t="s">
        <v>269</v>
      </c>
      <c r="B29" s="224" t="s">
        <v>140</v>
      </c>
      <c r="C29" s="224">
        <v>19</v>
      </c>
      <c r="D29" s="224" t="s">
        <v>270</v>
      </c>
      <c r="E29" s="225" t="str">
        <f t="shared" ca="1" si="8"/>
        <v>MR</v>
      </c>
      <c r="F29" s="348"/>
      <c r="G29" s="349">
        <f t="shared" ca="1" si="1"/>
        <v>25</v>
      </c>
      <c r="H29" s="350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275</v>
      </c>
      <c r="AR29" s="207" t="s">
        <v>141</v>
      </c>
      <c r="AS29" s="207">
        <v>18</v>
      </c>
      <c r="AT29" s="207" t="s">
        <v>276</v>
      </c>
      <c r="AV29" s="168">
        <f t="shared" si="21"/>
        <v>32</v>
      </c>
      <c r="AW29" s="168">
        <f>COUNTIF( AV$7:AV29, AV29 )</f>
        <v>4</v>
      </c>
      <c r="AX29" s="208">
        <f t="shared" si="22"/>
        <v>32.4</v>
      </c>
      <c r="AY29" s="168">
        <f t="shared" si="23"/>
        <v>35</v>
      </c>
      <c r="AZ29" s="169"/>
      <c r="BA29" s="169"/>
      <c r="BC29" s="168">
        <f t="shared" ca="1" si="24"/>
        <v>23</v>
      </c>
      <c r="BD29" s="209">
        <f t="shared" ca="1" si="6"/>
        <v>22</v>
      </c>
      <c r="BF29" s="173" t="str">
        <f t="shared" ca="1" si="7"/>
        <v>Exelon Corporation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EXC</v>
      </c>
    </row>
    <row r="30" spans="1:61" ht="13.8" x14ac:dyDescent="0.25">
      <c r="A30" s="223" t="s">
        <v>271</v>
      </c>
      <c r="B30" s="224" t="s">
        <v>140</v>
      </c>
      <c r="C30" s="224">
        <v>19</v>
      </c>
      <c r="D30" s="224" t="s">
        <v>272</v>
      </c>
      <c r="E30" s="225" t="str">
        <f t="shared" ca="1" si="8"/>
        <v>MR</v>
      </c>
      <c r="F30" s="348"/>
      <c r="G30" s="349">
        <f t="shared" ca="1" si="1"/>
        <v>29</v>
      </c>
      <c r="H30" s="350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279</v>
      </c>
      <c r="AR30" s="207" t="s">
        <v>142</v>
      </c>
      <c r="AS30" s="207">
        <v>17</v>
      </c>
      <c r="AT30" s="207" t="s">
        <v>280</v>
      </c>
      <c r="AV30" s="168">
        <f t="shared" si="21"/>
        <v>40</v>
      </c>
      <c r="AW30" s="168">
        <f>COUNTIF( AV$7:AV30, AV30 )</f>
        <v>3</v>
      </c>
      <c r="AX30" s="208">
        <f t="shared" si="22"/>
        <v>40.299999999999997</v>
      </c>
      <c r="AY30" s="168">
        <f t="shared" si="23"/>
        <v>42</v>
      </c>
      <c r="AZ30" s="169"/>
      <c r="BA30" s="169"/>
      <c r="BC30" s="168">
        <f t="shared" ca="1" si="24"/>
        <v>24</v>
      </c>
      <c r="BD30" s="209">
        <f t="shared" ca="1" si="6"/>
        <v>27</v>
      </c>
      <c r="BF30" s="173" t="str">
        <f t="shared" ca="1" si="7"/>
        <v>MDU Resources Group,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MDU</v>
      </c>
    </row>
    <row r="31" spans="1:61" ht="13.8" x14ac:dyDescent="0.25">
      <c r="A31" s="223" t="s">
        <v>273</v>
      </c>
      <c r="B31" s="224" t="s">
        <v>140</v>
      </c>
      <c r="C31" s="224">
        <v>19</v>
      </c>
      <c r="D31" s="224" t="s">
        <v>274</v>
      </c>
      <c r="E31" s="225" t="str">
        <f t="shared" ca="1" si="8"/>
        <v>R</v>
      </c>
      <c r="F31" s="348"/>
      <c r="G31" s="349">
        <f t="shared" ca="1" si="1"/>
        <v>32</v>
      </c>
      <c r="H31" s="350"/>
      <c r="I31" s="237"/>
      <c r="J31" s="191"/>
      <c r="K31" s="237"/>
      <c r="N31" s="237"/>
      <c r="O31" s="351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283</v>
      </c>
      <c r="AR31" s="207" t="s">
        <v>141</v>
      </c>
      <c r="AS31" s="207">
        <v>18</v>
      </c>
      <c r="AT31" s="207" t="s">
        <v>284</v>
      </c>
      <c r="AV31" s="168">
        <f t="shared" si="21"/>
        <v>32</v>
      </c>
      <c r="AW31" s="168">
        <f>COUNTIF( AV$7:AV31, AV31 )</f>
        <v>5</v>
      </c>
      <c r="AX31" s="208">
        <f t="shared" si="22"/>
        <v>32.5</v>
      </c>
      <c r="AY31" s="168">
        <f t="shared" si="23"/>
        <v>36</v>
      </c>
      <c r="AZ31" s="169"/>
      <c r="BA31" s="169"/>
      <c r="BC31" s="168">
        <f t="shared" ca="1" si="24"/>
        <v>25</v>
      </c>
      <c r="BD31" s="209">
        <f t="shared" ca="1" si="6"/>
        <v>29</v>
      </c>
      <c r="BF31" s="173" t="str">
        <f t="shared" ca="1" si="7"/>
        <v>NiSource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NI</v>
      </c>
    </row>
    <row r="32" spans="1:61" ht="13.8" x14ac:dyDescent="0.25">
      <c r="A32" s="223" t="s">
        <v>277</v>
      </c>
      <c r="B32" s="224" t="s">
        <v>140</v>
      </c>
      <c r="C32" s="224">
        <v>19</v>
      </c>
      <c r="D32" s="224" t="s">
        <v>278</v>
      </c>
      <c r="E32" s="225" t="str">
        <f t="shared" ca="1" si="8"/>
        <v>R</v>
      </c>
      <c r="F32" s="348"/>
      <c r="G32" s="349">
        <f t="shared" ca="1" si="1"/>
        <v>34</v>
      </c>
      <c r="H32" s="350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32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287</v>
      </c>
      <c r="AR32" s="207" t="s">
        <v>141</v>
      </c>
      <c r="AS32" s="207">
        <v>18</v>
      </c>
      <c r="AT32" s="207" t="s">
        <v>288</v>
      </c>
      <c r="AV32" s="168">
        <f t="shared" si="21"/>
        <v>32</v>
      </c>
      <c r="AW32" s="168">
        <f>COUNTIF( AV$7:AV32, AV32 )</f>
        <v>6</v>
      </c>
      <c r="AX32" s="208">
        <f t="shared" si="22"/>
        <v>32.6</v>
      </c>
      <c r="AY32" s="168">
        <f t="shared" si="23"/>
        <v>37</v>
      </c>
      <c r="AZ32" s="169"/>
      <c r="BA32" s="169"/>
      <c r="BC32" s="168">
        <f t="shared" ca="1" si="24"/>
        <v>26</v>
      </c>
      <c r="BD32" s="209">
        <f t="shared" ca="1" si="6"/>
        <v>31</v>
      </c>
      <c r="BF32" s="173" t="str">
        <f t="shared" ca="1" si="7"/>
        <v>OGE Energy Corp.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OGE</v>
      </c>
    </row>
    <row r="33" spans="1:61" ht="13.8" x14ac:dyDescent="0.25">
      <c r="A33" s="223" t="s">
        <v>303</v>
      </c>
      <c r="B33" s="224" t="s">
        <v>140</v>
      </c>
      <c r="C33" s="224">
        <v>19</v>
      </c>
      <c r="D33" s="224" t="s">
        <v>304</v>
      </c>
      <c r="E33" s="225" t="str">
        <f t="shared" ca="1" si="8"/>
        <v>R</v>
      </c>
      <c r="F33" s="348"/>
      <c r="G33" s="349">
        <f t="shared" ca="1" si="1"/>
        <v>38</v>
      </c>
      <c r="H33" s="350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33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271</v>
      </c>
      <c r="AR33" s="207" t="s">
        <v>140</v>
      </c>
      <c r="AS33" s="207">
        <v>19</v>
      </c>
      <c r="AT33" s="207" t="s">
        <v>272</v>
      </c>
      <c r="AV33" s="168">
        <f t="shared" si="21"/>
        <v>14</v>
      </c>
      <c r="AW33" s="168">
        <f>COUNTIF( AV$7:AV33, AV33 )</f>
        <v>11</v>
      </c>
      <c r="AX33" s="208">
        <f t="shared" si="22"/>
        <v>15.1</v>
      </c>
      <c r="AY33" s="168">
        <f t="shared" si="23"/>
        <v>24</v>
      </c>
      <c r="AZ33" s="169"/>
      <c r="BA33" s="169"/>
      <c r="BC33" s="168">
        <f t="shared" ca="1" si="24"/>
        <v>27</v>
      </c>
      <c r="BD33" s="209">
        <f t="shared" ca="1" si="6"/>
        <v>35</v>
      </c>
      <c r="BF33" s="173" t="str">
        <f t="shared" ca="1" si="7"/>
        <v>PNM Resources, Inc.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PNM</v>
      </c>
    </row>
    <row r="34" spans="1:61" ht="13.8" x14ac:dyDescent="0.25">
      <c r="A34" s="223" t="s">
        <v>285</v>
      </c>
      <c r="B34" s="224" t="s">
        <v>140</v>
      </c>
      <c r="C34" s="224">
        <v>19</v>
      </c>
      <c r="D34" s="224" t="s">
        <v>286</v>
      </c>
      <c r="E34" s="225" t="str">
        <f t="shared" ca="1" si="8"/>
        <v>R</v>
      </c>
      <c r="F34" s="348"/>
      <c r="G34" s="349">
        <f t="shared" ca="1" si="1"/>
        <v>39</v>
      </c>
      <c r="H34" s="350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34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240</v>
      </c>
      <c r="AR34" s="207" t="s">
        <v>139</v>
      </c>
      <c r="AS34" s="207">
        <v>20</v>
      </c>
      <c r="AT34" s="207" t="s">
        <v>241</v>
      </c>
      <c r="AV34" s="168">
        <f t="shared" si="21"/>
        <v>2</v>
      </c>
      <c r="AW34" s="168">
        <f>COUNTIF( AV$7:AV34, AV34 )</f>
        <v>7</v>
      </c>
      <c r="AX34" s="208">
        <f t="shared" si="22"/>
        <v>2.7</v>
      </c>
      <c r="AY34" s="168">
        <f t="shared" si="23"/>
        <v>8</v>
      </c>
      <c r="AZ34" s="169"/>
      <c r="BA34" s="169"/>
      <c r="BC34" s="168">
        <f t="shared" ca="1" si="24"/>
        <v>28</v>
      </c>
      <c r="BD34" s="209">
        <f t="shared" ca="1" si="6"/>
        <v>36</v>
      </c>
      <c r="BF34" s="173" t="str">
        <f t="shared" ca="1" si="7"/>
        <v>Portland General Electric Company</v>
      </c>
      <c r="BG34" s="173" t="str">
        <f t="shared" ca="1" si="7"/>
        <v>BBB+</v>
      </c>
      <c r="BH34" s="173">
        <f t="shared" ca="1" si="7"/>
        <v>19</v>
      </c>
      <c r="BI34" s="173" t="str">
        <f ca="1">OFFSET( AT$6, $BD34, 0 )</f>
        <v>POR</v>
      </c>
    </row>
    <row r="35" spans="1:61" ht="13.8" x14ac:dyDescent="0.25">
      <c r="A35" s="223" t="s">
        <v>289</v>
      </c>
      <c r="B35" s="224" t="s">
        <v>140</v>
      </c>
      <c r="C35" s="224">
        <v>19</v>
      </c>
      <c r="D35" s="224" t="s">
        <v>290</v>
      </c>
      <c r="E35" s="225" t="str">
        <f t="shared" ca="1" si="8"/>
        <v>MR</v>
      </c>
      <c r="F35" s="348"/>
      <c r="G35" s="349">
        <f t="shared" ca="1" si="1"/>
        <v>41</v>
      </c>
      <c r="H35" s="350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35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273</v>
      </c>
      <c r="AR35" s="207" t="s">
        <v>140</v>
      </c>
      <c r="AS35" s="207">
        <v>19</v>
      </c>
      <c r="AT35" s="207" t="s">
        <v>274</v>
      </c>
      <c r="AV35" s="168">
        <f t="shared" si="21"/>
        <v>14</v>
      </c>
      <c r="AW35" s="168">
        <f>COUNTIF( AV$7:AV35, AV35 )</f>
        <v>12</v>
      </c>
      <c r="AX35" s="208">
        <f t="shared" si="22"/>
        <v>15.2</v>
      </c>
      <c r="AY35" s="168">
        <f t="shared" si="23"/>
        <v>25</v>
      </c>
      <c r="AZ35" s="169"/>
      <c r="BA35" s="169"/>
      <c r="BC35" s="168">
        <f t="shared" ca="1" si="24"/>
        <v>29</v>
      </c>
      <c r="BD35" s="209">
        <f t="shared" ca="1" si="6"/>
        <v>38</v>
      </c>
      <c r="BF35" s="173" t="str">
        <f t="shared" ca="1" si="7"/>
        <v>Public Service Enterprise Group Incorporated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PEG</v>
      </c>
    </row>
    <row r="36" spans="1:61" ht="13.8" x14ac:dyDescent="0.25">
      <c r="A36" s="223" t="s">
        <v>291</v>
      </c>
      <c r="B36" s="224" t="s">
        <v>140</v>
      </c>
      <c r="C36" s="224">
        <v>19</v>
      </c>
      <c r="D36" s="224" t="s">
        <v>292</v>
      </c>
      <c r="E36" s="225" t="str">
        <f t="shared" ca="1" si="8"/>
        <v>R</v>
      </c>
      <c r="F36" s="348"/>
      <c r="G36" s="349">
        <f t="shared" ca="1" si="1"/>
        <v>42</v>
      </c>
      <c r="H36" s="350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36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297</v>
      </c>
      <c r="AR36" s="207" t="s">
        <v>141</v>
      </c>
      <c r="AS36" s="207">
        <v>18</v>
      </c>
      <c r="AT36" s="207" t="s">
        <v>298</v>
      </c>
      <c r="AV36" s="168">
        <f t="shared" si="21"/>
        <v>32</v>
      </c>
      <c r="AW36" s="168">
        <f>COUNTIF( AV$7:AV36, AV36 )</f>
        <v>7</v>
      </c>
      <c r="AX36" s="208">
        <f t="shared" si="22"/>
        <v>32.700000000000003</v>
      </c>
      <c r="AY36" s="168">
        <f t="shared" si="23"/>
        <v>38</v>
      </c>
      <c r="AZ36" s="169"/>
      <c r="BA36" s="169"/>
      <c r="BC36" s="168">
        <f t="shared" ca="1" si="24"/>
        <v>30</v>
      </c>
      <c r="BD36" s="209">
        <f t="shared" ca="1" si="6"/>
        <v>40</v>
      </c>
      <c r="BF36" s="173" t="str">
        <f t="shared" ca="1" si="7"/>
        <v>Sempra Energy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SRE</v>
      </c>
    </row>
    <row r="37" spans="1:61" ht="13.8" x14ac:dyDescent="0.25">
      <c r="A37" s="223" t="s">
        <v>295</v>
      </c>
      <c r="B37" s="224" t="s">
        <v>140</v>
      </c>
      <c r="C37" s="224">
        <v>19</v>
      </c>
      <c r="D37" s="224" t="s">
        <v>296</v>
      </c>
      <c r="E37" s="225" t="str">
        <f t="shared" ca="1" si="8"/>
        <v>R</v>
      </c>
      <c r="F37" s="348"/>
      <c r="G37" s="349">
        <f t="shared" ca="1" si="1"/>
        <v>44</v>
      </c>
      <c r="H37" s="350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37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277</v>
      </c>
      <c r="AR37" s="207" t="s">
        <v>140</v>
      </c>
      <c r="AS37" s="207">
        <v>19</v>
      </c>
      <c r="AT37" s="207" t="s">
        <v>278</v>
      </c>
      <c r="AV37" s="168">
        <f t="shared" si="21"/>
        <v>14</v>
      </c>
      <c r="AW37" s="168">
        <f>COUNTIF( AV$7:AV37, AV37 )</f>
        <v>13</v>
      </c>
      <c r="AX37" s="208">
        <f t="shared" si="22"/>
        <v>15.3</v>
      </c>
      <c r="AY37" s="168">
        <f t="shared" si="23"/>
        <v>26</v>
      </c>
      <c r="AZ37" s="169"/>
      <c r="BA37" s="169"/>
      <c r="BC37" s="168">
        <f t="shared" ca="1" si="24"/>
        <v>31</v>
      </c>
      <c r="BD37" s="209">
        <f t="shared" ca="1" si="6"/>
        <v>42</v>
      </c>
      <c r="BF37" s="173" t="str">
        <f t="shared" ca="1" si="7"/>
        <v>Unitil Corporation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UTL</v>
      </c>
    </row>
    <row r="38" spans="1:61" ht="13.8" x14ac:dyDescent="0.25">
      <c r="A38" s="223" t="s">
        <v>238</v>
      </c>
      <c r="B38" s="224" t="s">
        <v>141</v>
      </c>
      <c r="C38" s="224">
        <v>18</v>
      </c>
      <c r="D38" s="224" t="s">
        <v>239</v>
      </c>
      <c r="E38" s="225" t="str">
        <f t="shared" ca="1" si="8"/>
        <v>R</v>
      </c>
      <c r="F38" s="348"/>
      <c r="G38" s="349">
        <f t="shared" ca="1" si="1"/>
        <v>12</v>
      </c>
      <c r="H38" s="350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38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299</v>
      </c>
      <c r="AR38" s="207" t="s">
        <v>141</v>
      </c>
      <c r="AS38" s="207">
        <v>18</v>
      </c>
      <c r="AT38" s="207" t="s">
        <v>300</v>
      </c>
      <c r="AV38" s="168">
        <f t="shared" si="21"/>
        <v>32</v>
      </c>
      <c r="AW38" s="168">
        <f>COUNTIF( AV$7:AV38, AV38 )</f>
        <v>8</v>
      </c>
      <c r="AX38" s="208">
        <f t="shared" si="22"/>
        <v>32.799999999999997</v>
      </c>
      <c r="AY38" s="168">
        <f t="shared" si="23"/>
        <v>39</v>
      </c>
      <c r="AZ38" s="169"/>
      <c r="BA38" s="169"/>
      <c r="BC38" s="168">
        <f t="shared" ca="1" si="24"/>
        <v>32</v>
      </c>
      <c r="BD38" s="209">
        <f t="shared" ca="1" si="6"/>
        <v>6</v>
      </c>
      <c r="BF38" s="173" t="str">
        <f t="shared" ca="1" si="7"/>
        <v>Avista Corporation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AVA</v>
      </c>
    </row>
    <row r="39" spans="1:61" ht="13.8" x14ac:dyDescent="0.25">
      <c r="A39" s="223" t="s">
        <v>265</v>
      </c>
      <c r="B39" s="224" t="s">
        <v>141</v>
      </c>
      <c r="C39" s="224">
        <v>18</v>
      </c>
      <c r="D39" s="224" t="s">
        <v>266</v>
      </c>
      <c r="E39" s="225" t="str">
        <f t="shared" ca="1" si="8"/>
        <v>R</v>
      </c>
      <c r="F39" s="348"/>
      <c r="G39" s="349">
        <f t="shared" ca="1" si="1"/>
        <v>20</v>
      </c>
      <c r="H39" s="350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39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301</v>
      </c>
      <c r="AR39" s="207" t="s">
        <v>194</v>
      </c>
      <c r="AS39" s="207">
        <v>3</v>
      </c>
      <c r="AT39" s="207" t="s">
        <v>302</v>
      </c>
      <c r="AV39" s="168">
        <f t="shared" si="21"/>
        <v>44</v>
      </c>
      <c r="AW39" s="168">
        <f>COUNTIF( AV$7:AV39, AV39 )</f>
        <v>1</v>
      </c>
      <c r="AX39" s="208">
        <f t="shared" si="22"/>
        <v>44.1</v>
      </c>
      <c r="AY39" s="168">
        <f t="shared" si="23"/>
        <v>44</v>
      </c>
      <c r="AZ39" s="169"/>
      <c r="BA39" s="169"/>
      <c r="BC39" s="168">
        <f t="shared" ca="1" si="24"/>
        <v>33</v>
      </c>
      <c r="BD39" s="209">
        <f t="shared" ca="1" si="6"/>
        <v>17</v>
      </c>
      <c r="BF39" s="173" t="str">
        <f t="shared" ref="BF39:BI63" ca="1" si="25">OFFSET( AQ$6, $BD39, 0 )</f>
        <v>Edison International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EIX</v>
      </c>
    </row>
    <row r="40" spans="1:61" ht="13.8" x14ac:dyDescent="0.25">
      <c r="A40" s="223" t="s">
        <v>328</v>
      </c>
      <c r="B40" s="224" t="s">
        <v>141</v>
      </c>
      <c r="C40" s="224">
        <v>18</v>
      </c>
      <c r="D40" s="224" t="s">
        <v>331</v>
      </c>
      <c r="E40" s="225" t="str">
        <f t="shared" ca="1" si="8"/>
        <v>R</v>
      </c>
      <c r="F40" s="348"/>
      <c r="G40" s="349">
        <f t="shared" ca="1" si="1"/>
        <v>21</v>
      </c>
      <c r="H40" s="350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40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281</v>
      </c>
      <c r="AR40" s="207" t="s">
        <v>139</v>
      </c>
      <c r="AS40" s="207">
        <v>20</v>
      </c>
      <c r="AT40" s="207" t="s">
        <v>282</v>
      </c>
      <c r="AV40" s="168">
        <f t="shared" si="21"/>
        <v>2</v>
      </c>
      <c r="AW40" s="168">
        <f>COUNTIF( AV$7:AV40, AV40 )</f>
        <v>8</v>
      </c>
      <c r="AX40" s="208">
        <f t="shared" si="22"/>
        <v>2.8</v>
      </c>
      <c r="AY40" s="168">
        <f t="shared" si="23"/>
        <v>9</v>
      </c>
      <c r="AZ40" s="169"/>
      <c r="BA40" s="169"/>
      <c r="BC40" s="168">
        <f t="shared" ca="1" si="24"/>
        <v>34</v>
      </c>
      <c r="BD40" s="209">
        <f t="shared" ca="1" si="6"/>
        <v>18</v>
      </c>
      <c r="BF40" s="173" t="str">
        <f t="shared" ca="1" si="25"/>
        <v>El Paso Electric Company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EE</v>
      </c>
    </row>
    <row r="41" spans="1:61" ht="13.8" x14ac:dyDescent="0.25">
      <c r="A41" s="223" t="s">
        <v>275</v>
      </c>
      <c r="B41" s="224" t="s">
        <v>141</v>
      </c>
      <c r="C41" s="224">
        <v>18</v>
      </c>
      <c r="D41" s="224" t="s">
        <v>276</v>
      </c>
      <c r="E41" s="225" t="str">
        <f t="shared" ca="1" si="8"/>
        <v>R</v>
      </c>
      <c r="F41" s="348"/>
      <c r="G41" s="349">
        <f t="shared" ca="1" si="1"/>
        <v>26</v>
      </c>
      <c r="H41" s="350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303</v>
      </c>
      <c r="AR41" s="207" t="s">
        <v>140</v>
      </c>
      <c r="AS41" s="207">
        <v>19</v>
      </c>
      <c r="AT41" s="207" t="s">
        <v>304</v>
      </c>
      <c r="AV41" s="168">
        <f t="shared" si="21"/>
        <v>14</v>
      </c>
      <c r="AW41" s="168">
        <f>COUNTIF( AV$7:AV41, AV41 )</f>
        <v>14</v>
      </c>
      <c r="AX41" s="208">
        <f t="shared" si="22"/>
        <v>15.4</v>
      </c>
      <c r="AY41" s="168">
        <f t="shared" si="23"/>
        <v>27</v>
      </c>
      <c r="AZ41" s="169"/>
      <c r="BA41" s="169"/>
      <c r="BC41" s="168">
        <f t="shared" ca="1" si="24"/>
        <v>35</v>
      </c>
      <c r="BD41" s="209">
        <f t="shared" ca="1" si="6"/>
        <v>23</v>
      </c>
      <c r="BF41" s="173" t="str">
        <f t="shared" ca="1" si="25"/>
        <v>FirstEnergy Corp.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FE</v>
      </c>
    </row>
    <row r="42" spans="1:61" ht="13.8" x14ac:dyDescent="0.25">
      <c r="A42" s="223" t="s">
        <v>283</v>
      </c>
      <c r="B42" s="224" t="s">
        <v>141</v>
      </c>
      <c r="C42" s="224">
        <v>18</v>
      </c>
      <c r="D42" s="224" t="s">
        <v>284</v>
      </c>
      <c r="E42" s="225" t="str">
        <f t="shared" ca="1" si="8"/>
        <v>R</v>
      </c>
      <c r="F42" s="348"/>
      <c r="G42" s="349">
        <f t="shared" ca="1" si="1"/>
        <v>28</v>
      </c>
      <c r="H42" s="350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285</v>
      </c>
      <c r="AR42" s="207" t="s">
        <v>140</v>
      </c>
      <c r="AS42" s="207">
        <v>19</v>
      </c>
      <c r="AT42" s="207" t="s">
        <v>286</v>
      </c>
      <c r="AV42" s="168">
        <f t="shared" si="21"/>
        <v>14</v>
      </c>
      <c r="AW42" s="168">
        <f>COUNTIF( AV$7:AV42, AV42 )</f>
        <v>15</v>
      </c>
      <c r="AX42" s="208">
        <f t="shared" si="22"/>
        <v>15.5</v>
      </c>
      <c r="AY42" s="168">
        <f t="shared" si="23"/>
        <v>28</v>
      </c>
      <c r="AZ42" s="169"/>
      <c r="BA42" s="169"/>
      <c r="BC42" s="168">
        <f t="shared" ca="1" si="24"/>
        <v>36</v>
      </c>
      <c r="BD42" s="209">
        <f t="shared" ca="1" si="6"/>
        <v>25</v>
      </c>
      <c r="BF42" s="173" t="str">
        <f t="shared" ca="1" si="25"/>
        <v>IDACORP, Inc.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IDA</v>
      </c>
    </row>
    <row r="43" spans="1:61" ht="13.8" x14ac:dyDescent="0.25">
      <c r="A43" s="223" t="s">
        <v>287</v>
      </c>
      <c r="B43" s="224" t="s">
        <v>141</v>
      </c>
      <c r="C43" s="224">
        <v>18</v>
      </c>
      <c r="D43" s="224" t="s">
        <v>288</v>
      </c>
      <c r="E43" s="225" t="str">
        <f t="shared" ca="1" si="8"/>
        <v>R</v>
      </c>
      <c r="F43" s="348"/>
      <c r="G43" s="349">
        <f t="shared" ca="1" si="1"/>
        <v>55</v>
      </c>
      <c r="H43" s="350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243</v>
      </c>
      <c r="AR43" s="207" t="s">
        <v>139</v>
      </c>
      <c r="AS43" s="207">
        <v>20</v>
      </c>
      <c r="AT43" s="207" t="s">
        <v>244</v>
      </c>
      <c r="AV43" s="168">
        <f t="shared" si="21"/>
        <v>2</v>
      </c>
      <c r="AW43" s="168">
        <f>COUNTIF( AV$7:AV43, AV43 )</f>
        <v>9</v>
      </c>
      <c r="AX43" s="208">
        <f t="shared" si="22"/>
        <v>2.9</v>
      </c>
      <c r="AY43" s="168">
        <f t="shared" si="23"/>
        <v>10</v>
      </c>
      <c r="AZ43" s="169"/>
      <c r="BA43" s="169"/>
      <c r="BC43" s="168">
        <f t="shared" ca="1" si="24"/>
        <v>37</v>
      </c>
      <c r="BD43" s="209">
        <f t="shared" ca="1" si="6"/>
        <v>26</v>
      </c>
      <c r="BF43" s="173" t="str">
        <f t="shared" ca="1" si="25"/>
        <v>IPALCO Enterprises, Inc.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**IPALCO</v>
      </c>
    </row>
    <row r="44" spans="1:61" ht="13.8" x14ac:dyDescent="0.25">
      <c r="A44" s="223" t="s">
        <v>297</v>
      </c>
      <c r="B44" s="224" t="s">
        <v>141</v>
      </c>
      <c r="C44" s="224">
        <v>18</v>
      </c>
      <c r="D44" s="224" t="s">
        <v>298</v>
      </c>
      <c r="E44" s="225" t="str">
        <f t="shared" ca="1" si="8"/>
        <v>R</v>
      </c>
      <c r="F44" s="348"/>
      <c r="G44" s="349">
        <f t="shared" ca="1" si="1"/>
        <v>33</v>
      </c>
      <c r="H44" s="350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289</v>
      </c>
      <c r="AR44" s="207" t="s">
        <v>140</v>
      </c>
      <c r="AS44" s="207">
        <v>19</v>
      </c>
      <c r="AT44" s="207" t="s">
        <v>290</v>
      </c>
      <c r="AV44" s="168">
        <f t="shared" si="21"/>
        <v>14</v>
      </c>
      <c r="AW44" s="168">
        <f>COUNTIF( AV$7:AV44, AV44 )</f>
        <v>16</v>
      </c>
      <c r="AX44" s="208">
        <f t="shared" si="22"/>
        <v>15.6</v>
      </c>
      <c r="AY44" s="168">
        <f t="shared" si="23"/>
        <v>29</v>
      </c>
      <c r="AZ44" s="169"/>
      <c r="BA44" s="169"/>
      <c r="BC44" s="168">
        <f t="shared" ca="1" si="24"/>
        <v>38</v>
      </c>
      <c r="BD44" s="209">
        <f t="shared" ca="1" si="6"/>
        <v>30</v>
      </c>
      <c r="BF44" s="173" t="str">
        <f t="shared" ca="1" si="25"/>
        <v>NorthWestern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NWE</v>
      </c>
    </row>
    <row r="45" spans="1:61" ht="13.8" x14ac:dyDescent="0.25">
      <c r="A45" s="223" t="s">
        <v>299</v>
      </c>
      <c r="B45" s="224" t="s">
        <v>141</v>
      </c>
      <c r="C45" s="224">
        <v>18</v>
      </c>
      <c r="D45" s="224" t="s">
        <v>300</v>
      </c>
      <c r="E45" s="225" t="str">
        <f t="shared" ca="1" si="8"/>
        <v>R</v>
      </c>
      <c r="F45" s="348"/>
      <c r="G45" s="349">
        <f t="shared" ca="1" si="1"/>
        <v>35</v>
      </c>
      <c r="H45" s="350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305</v>
      </c>
      <c r="AR45" s="207" t="s">
        <v>142</v>
      </c>
      <c r="AS45" s="207">
        <v>17</v>
      </c>
      <c r="AT45" s="207" t="s">
        <v>306</v>
      </c>
      <c r="AV45" s="168">
        <f t="shared" si="21"/>
        <v>40</v>
      </c>
      <c r="AW45" s="168">
        <f>COUNTIF( AV$7:AV45, AV45 )</f>
        <v>4</v>
      </c>
      <c r="AX45" s="208">
        <f t="shared" si="22"/>
        <v>40.4</v>
      </c>
      <c r="AY45" s="168">
        <f t="shared" si="23"/>
        <v>43</v>
      </c>
      <c r="AZ45" s="169"/>
      <c r="BA45" s="169"/>
      <c r="BC45" s="168">
        <f t="shared" ca="1" si="24"/>
        <v>39</v>
      </c>
      <c r="BD45" s="209">
        <f t="shared" ca="1" si="6"/>
        <v>32</v>
      </c>
      <c r="BF45" s="173" t="str">
        <f t="shared" ca="1" si="25"/>
        <v>Otter Tail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OTTR</v>
      </c>
    </row>
    <row r="46" spans="1:61" ht="13.8" x14ac:dyDescent="0.25">
      <c r="A46" s="223" t="s">
        <v>254</v>
      </c>
      <c r="B46" s="224" t="s">
        <v>142</v>
      </c>
      <c r="C46" s="224">
        <v>17</v>
      </c>
      <c r="D46" s="224" t="s">
        <v>255</v>
      </c>
      <c r="E46" s="225" t="str">
        <f t="shared" ca="1" si="8"/>
        <v>R</v>
      </c>
      <c r="F46" s="348"/>
      <c r="G46" s="349">
        <f t="shared" ca="1" si="1"/>
        <v>53</v>
      </c>
      <c r="H46" s="350"/>
      <c r="I46" s="191"/>
      <c r="K46" s="191"/>
      <c r="N46" s="351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46</v>
      </c>
      <c r="AK46" s="169" t="str">
        <f t="shared" ca="1" si="20"/>
        <v>BBB-</v>
      </c>
      <c r="AL46" s="169">
        <f t="shared" ca="1" si="20"/>
        <v>17</v>
      </c>
      <c r="AM46" s="169" t="str">
        <f t="shared" ca="1" si="4"/>
        <v/>
      </c>
      <c r="AQ46" s="207" t="s">
        <v>291</v>
      </c>
      <c r="AR46" s="207" t="s">
        <v>140</v>
      </c>
      <c r="AS46" s="207">
        <v>19</v>
      </c>
      <c r="AT46" s="207" t="s">
        <v>292</v>
      </c>
      <c r="AV46" s="168">
        <f t="shared" si="21"/>
        <v>14</v>
      </c>
      <c r="AW46" s="168">
        <f>COUNTIF( AV$7:AV46, AV46 )</f>
        <v>17</v>
      </c>
      <c r="AX46" s="208">
        <f t="shared" si="22"/>
        <v>15.7</v>
      </c>
      <c r="AY46" s="168">
        <f t="shared" si="23"/>
        <v>30</v>
      </c>
      <c r="AZ46" s="169"/>
      <c r="BA46" s="169"/>
      <c r="BC46" s="168">
        <f t="shared" ca="1" si="24"/>
        <v>40</v>
      </c>
      <c r="BD46" s="209">
        <f t="shared" ca="1" si="6"/>
        <v>10</v>
      </c>
      <c r="BF46" s="173" t="str">
        <f t="shared" ca="1" si="25"/>
        <v>Cleco Corporation</v>
      </c>
      <c r="BG46" s="173" t="str">
        <f t="shared" ca="1" si="25"/>
        <v>BBB-</v>
      </c>
      <c r="BH46" s="173">
        <f t="shared" ca="1" si="25"/>
        <v>17</v>
      </c>
      <c r="BI46" s="173" t="str">
        <f t="shared" ca="1" si="25"/>
        <v>**CNL</v>
      </c>
    </row>
    <row r="47" spans="1:61" ht="13.8" x14ac:dyDescent="0.25">
      <c r="A47" s="223" t="s">
        <v>259</v>
      </c>
      <c r="B47" s="224" t="s">
        <v>142</v>
      </c>
      <c r="C47" s="224">
        <v>17</v>
      </c>
      <c r="D47" s="224" t="s">
        <v>260</v>
      </c>
      <c r="E47" s="225" t="str">
        <f t="shared" ca="1" si="8"/>
        <v>R</v>
      </c>
      <c r="F47" s="348"/>
      <c r="G47" s="349">
        <f t="shared" ca="1" si="1"/>
        <v>54</v>
      </c>
      <c r="H47" s="350"/>
      <c r="I47" s="350"/>
      <c r="J47" s="187" t="s">
        <v>307</v>
      </c>
      <c r="K47" s="191"/>
      <c r="M47" s="351"/>
      <c r="N47" s="351"/>
      <c r="AF47" s="169">
        <f t="shared" si="2"/>
        <v>1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47</v>
      </c>
      <c r="AK47" s="169" t="str">
        <f t="shared" ca="1" si="20"/>
        <v>BBB-</v>
      </c>
      <c r="AL47" s="169">
        <f t="shared" ca="1" si="20"/>
        <v>17</v>
      </c>
      <c r="AM47" s="169" t="str">
        <f t="shared" ca="1" si="4"/>
        <v/>
      </c>
      <c r="AQ47" s="207" t="s">
        <v>293</v>
      </c>
      <c r="AR47" s="207" t="s">
        <v>139</v>
      </c>
      <c r="AS47" s="207">
        <v>20</v>
      </c>
      <c r="AT47" s="207" t="s">
        <v>294</v>
      </c>
      <c r="AV47" s="168">
        <f t="shared" si="21"/>
        <v>2</v>
      </c>
      <c r="AW47" s="168">
        <f>COUNTIF( AV$7:AV47, AV47 )</f>
        <v>10</v>
      </c>
      <c r="AX47" s="208">
        <f t="shared" si="22"/>
        <v>3</v>
      </c>
      <c r="AY47" s="168">
        <f t="shared" si="23"/>
        <v>11</v>
      </c>
      <c r="AZ47" s="169"/>
      <c r="BA47" s="169"/>
      <c r="BC47" s="168">
        <f t="shared" ca="1" si="24"/>
        <v>41</v>
      </c>
      <c r="BD47" s="209">
        <f t="shared" ca="1" si="6"/>
        <v>14</v>
      </c>
      <c r="BF47" s="173" t="str">
        <f t="shared" ca="1" si="25"/>
        <v>DPL Inc.</v>
      </c>
      <c r="BG47" s="173" t="str">
        <f t="shared" ca="1" si="25"/>
        <v>BBB-</v>
      </c>
      <c r="BH47" s="173">
        <f t="shared" ca="1" si="25"/>
        <v>17</v>
      </c>
      <c r="BI47" s="173" t="str">
        <f t="shared" ca="1" si="25"/>
        <v>**DPL</v>
      </c>
    </row>
    <row r="48" spans="1:61" ht="13.8" x14ac:dyDescent="0.25">
      <c r="A48" s="223" t="s">
        <v>279</v>
      </c>
      <c r="B48" s="224" t="s">
        <v>142</v>
      </c>
      <c r="C48" s="224">
        <v>17</v>
      </c>
      <c r="D48" s="224" t="s">
        <v>280</v>
      </c>
      <c r="E48" s="225" t="str">
        <f t="shared" ca="1" si="8"/>
        <v>MR</v>
      </c>
      <c r="F48" s="348"/>
      <c r="G48" s="349">
        <f t="shared" ca="1" si="1"/>
        <v>27</v>
      </c>
      <c r="H48" s="350"/>
      <c r="I48" s="350"/>
      <c r="K48" s="191"/>
      <c r="M48" s="351"/>
      <c r="N48" s="351"/>
      <c r="AF48" s="169">
        <f t="shared" si="2"/>
        <v>1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48</v>
      </c>
      <c r="AK48" s="169" t="str">
        <f t="shared" ca="1" si="20"/>
        <v>BBB-</v>
      </c>
      <c r="AL48" s="169">
        <f t="shared" ca="1" si="20"/>
        <v>17</v>
      </c>
      <c r="AM48" s="169" t="str">
        <f t="shared" ca="1" si="4"/>
        <v/>
      </c>
      <c r="AQ48" s="207" t="s">
        <v>295</v>
      </c>
      <c r="AR48" s="207" t="s">
        <v>140</v>
      </c>
      <c r="AS48" s="207">
        <v>19</v>
      </c>
      <c r="AT48" s="207" t="s">
        <v>296</v>
      </c>
      <c r="AV48" s="168">
        <f t="shared" si="21"/>
        <v>14</v>
      </c>
      <c r="AW48" s="168">
        <f>COUNTIF( AV$7:AV48, AV48 )</f>
        <v>18</v>
      </c>
      <c r="AX48" s="208">
        <f t="shared" si="22"/>
        <v>15.8</v>
      </c>
      <c r="AY48" s="168">
        <f t="shared" si="23"/>
        <v>31</v>
      </c>
      <c r="AZ48" s="169"/>
      <c r="BA48" s="169"/>
      <c r="BC48" s="168">
        <f t="shared" ca="1" si="24"/>
        <v>42</v>
      </c>
      <c r="BD48" s="209">
        <f t="shared" ca="1" si="6"/>
        <v>24</v>
      </c>
      <c r="BF48" s="173" t="str">
        <f t="shared" ca="1" si="25"/>
        <v>Hawaiian Electric Industries, Inc.</v>
      </c>
      <c r="BG48" s="173" t="str">
        <f t="shared" ca="1" si="25"/>
        <v>BBB-</v>
      </c>
      <c r="BH48" s="173">
        <f t="shared" ca="1" si="25"/>
        <v>17</v>
      </c>
      <c r="BI48" s="173" t="str">
        <f t="shared" ca="1" si="25"/>
        <v>HE</v>
      </c>
    </row>
    <row r="49" spans="1:61" ht="13.8" x14ac:dyDescent="0.25">
      <c r="A49" s="223" t="s">
        <v>305</v>
      </c>
      <c r="B49" s="224" t="s">
        <v>142</v>
      </c>
      <c r="C49" s="224">
        <v>17</v>
      </c>
      <c r="D49" s="224" t="s">
        <v>306</v>
      </c>
      <c r="E49" s="225" t="str">
        <f t="shared" ca="1" si="8"/>
        <v>R</v>
      </c>
      <c r="F49" s="348"/>
      <c r="G49" s="349">
        <f t="shared" ca="1" si="1"/>
        <v>57</v>
      </c>
      <c r="H49" s="350"/>
      <c r="I49" s="350"/>
      <c r="J49" s="191"/>
      <c r="K49" s="191"/>
      <c r="M49" s="351"/>
      <c r="N49" s="351"/>
      <c r="AF49" s="169">
        <f t="shared" si="2"/>
        <v>1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4"/>
        <v/>
      </c>
      <c r="AQ49" s="207" t="s">
        <v>247</v>
      </c>
      <c r="AR49" s="207" t="s">
        <v>139</v>
      </c>
      <c r="AS49" s="207">
        <v>20</v>
      </c>
      <c r="AT49" s="207" t="s">
        <v>248</v>
      </c>
      <c r="AV49" s="168">
        <f t="shared" si="21"/>
        <v>2</v>
      </c>
      <c r="AW49" s="168">
        <f>COUNTIF( AV$7:AV49, AV49 )</f>
        <v>11</v>
      </c>
      <c r="AX49" s="208">
        <f t="shared" si="22"/>
        <v>3.1</v>
      </c>
      <c r="AY49" s="168">
        <f t="shared" si="23"/>
        <v>12</v>
      </c>
      <c r="AZ49" s="169"/>
      <c r="BA49" s="169"/>
      <c r="BC49" s="168">
        <f t="shared" ca="1" si="24"/>
        <v>43</v>
      </c>
      <c r="BD49" s="209">
        <f t="shared" ca="1" si="6"/>
        <v>39</v>
      </c>
      <c r="BF49" s="173" t="str">
        <f t="shared" ca="1" si="25"/>
        <v>Puget Energy, Inc.</v>
      </c>
      <c r="BG49" s="173" t="str">
        <f t="shared" ca="1" si="25"/>
        <v>BBB-</v>
      </c>
      <c r="BH49" s="173">
        <f t="shared" ca="1" si="25"/>
        <v>17</v>
      </c>
      <c r="BI49" s="173" t="str">
        <f t="shared" ca="1" si="25"/>
        <v>**PSD</v>
      </c>
    </row>
    <row r="50" spans="1:61" ht="13.8" x14ac:dyDescent="0.25">
      <c r="A50" s="223" t="s">
        <v>301</v>
      </c>
      <c r="B50" s="224" t="s">
        <v>194</v>
      </c>
      <c r="C50" s="224">
        <v>3</v>
      </c>
      <c r="D50" s="224" t="s">
        <v>302</v>
      </c>
      <c r="E50" s="225" t="str">
        <f t="shared" ca="1" si="8"/>
        <v>R</v>
      </c>
      <c r="F50" s="348"/>
      <c r="G50" s="349">
        <f t="shared" ca="1" si="1"/>
        <v>36</v>
      </c>
      <c r="H50" s="350"/>
      <c r="I50" s="350"/>
      <c r="J50" s="191"/>
      <c r="K50" s="191"/>
      <c r="M50" s="351"/>
      <c r="N50" s="351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50</v>
      </c>
      <c r="AK50" s="169" t="str">
        <f t="shared" ca="1" si="20"/>
        <v>D</v>
      </c>
      <c r="AL50" s="169">
        <f t="shared" ca="1" si="20"/>
        <v>3</v>
      </c>
      <c r="AM50" s="169" t="str">
        <f t="shared" ca="1" si="4"/>
        <v/>
      </c>
      <c r="AQ50" s="207" t="s">
        <v>251</v>
      </c>
      <c r="AR50" s="207" t="s">
        <v>139</v>
      </c>
      <c r="AS50" s="207">
        <v>20</v>
      </c>
      <c r="AT50" s="207" t="s">
        <v>252</v>
      </c>
      <c r="AV50" s="168">
        <f t="shared" si="21"/>
        <v>2</v>
      </c>
      <c r="AW50" s="168">
        <f>COUNTIF( AV$7:AV50, AV50 )</f>
        <v>12</v>
      </c>
      <c r="AX50" s="208">
        <f t="shared" si="22"/>
        <v>3.2</v>
      </c>
      <c r="AY50" s="168">
        <f t="shared" si="23"/>
        <v>13</v>
      </c>
      <c r="AZ50" s="169"/>
      <c r="BA50" s="169"/>
      <c r="BC50" s="168">
        <f t="shared" ca="1" si="24"/>
        <v>44</v>
      </c>
      <c r="BD50" s="209">
        <f t="shared" ca="1" si="6"/>
        <v>33</v>
      </c>
      <c r="BF50" s="173" t="str">
        <f t="shared" ca="1" si="25"/>
        <v>PG&amp;E Corporation</v>
      </c>
      <c r="BG50" s="173" t="str">
        <f t="shared" ca="1" si="25"/>
        <v>D</v>
      </c>
      <c r="BH50" s="173">
        <f t="shared" ca="1" si="25"/>
        <v>3</v>
      </c>
      <c r="BI50" s="173" t="str">
        <f t="shared" ca="1" si="25"/>
        <v>PCG</v>
      </c>
    </row>
    <row r="51" spans="1:61" ht="13.8" x14ac:dyDescent="0.25">
      <c r="A51" s="223"/>
      <c r="B51" s="224"/>
      <c r="C51" s="224"/>
      <c r="D51" s="224"/>
      <c r="E51" s="225"/>
      <c r="F51" s="348"/>
      <c r="G51" s="349"/>
      <c r="H51" s="350"/>
      <c r="I51" s="350"/>
      <c r="J51" s="191"/>
      <c r="K51" s="191"/>
      <c r="M51" s="351"/>
      <c r="N51" s="351"/>
      <c r="AF51" s="169">
        <f t="shared" si="2"/>
        <v>0</v>
      </c>
      <c r="AG51" s="169" t="str">
        <f t="shared" si="3"/>
        <v/>
      </c>
      <c r="AH51" s="169" t="str">
        <f t="shared" si="18"/>
        <v/>
      </c>
      <c r="AJ51" s="169" t="e">
        <f t="shared" ca="1" si="19"/>
        <v>#N/A</v>
      </c>
      <c r="AK51" s="169" t="str">
        <f t="shared" ca="1" si="20"/>
        <v/>
      </c>
      <c r="AL51" s="169" t="str">
        <f t="shared" ca="1" si="20"/>
        <v/>
      </c>
      <c r="AM51" s="169" t="str">
        <f t="shared" ca="1" si="4"/>
        <v/>
      </c>
      <c r="AQ51" s="207"/>
      <c r="AR51" s="207"/>
      <c r="AS51" s="207"/>
      <c r="AT51" s="207"/>
      <c r="AV51" s="168">
        <f t="shared" si="21"/>
        <v>99</v>
      </c>
      <c r="AW51" s="168">
        <f>COUNTIF( AV$7:AV51, AV51 )</f>
        <v>1</v>
      </c>
      <c r="AX51" s="208">
        <f t="shared" si="22"/>
        <v>99.1</v>
      </c>
      <c r="AY51" s="168">
        <f t="shared" si="23"/>
        <v>45</v>
      </c>
      <c r="AZ51" s="169"/>
      <c r="BA51" s="169"/>
      <c r="BC51" s="168">
        <f t="shared" ca="1" si="24"/>
        <v>45</v>
      </c>
      <c r="BD51" s="209">
        <f t="shared" ca="1" si="6"/>
        <v>45</v>
      </c>
      <c r="BF51" s="173">
        <f t="shared" ca="1" si="25"/>
        <v>0</v>
      </c>
      <c r="BG51" s="173">
        <f t="shared" ca="1" si="25"/>
        <v>0</v>
      </c>
      <c r="BH51" s="173">
        <f t="shared" ca="1" si="25"/>
        <v>0</v>
      </c>
      <c r="BI51" s="173">
        <f t="shared" ca="1" si="25"/>
        <v>0</v>
      </c>
    </row>
    <row r="52" spans="1:61" ht="13.8" x14ac:dyDescent="0.25">
      <c r="A52" s="223"/>
      <c r="B52" s="224"/>
      <c r="C52" s="224"/>
      <c r="D52" s="224"/>
      <c r="E52" s="225"/>
      <c r="F52" s="348"/>
      <c r="G52" s="349"/>
      <c r="H52" s="350"/>
      <c r="I52" s="350"/>
      <c r="J52" s="191"/>
      <c r="K52" s="191"/>
      <c r="AF52" s="169">
        <f t="shared" si="2"/>
        <v>0</v>
      </c>
      <c r="AG52" s="169" t="str">
        <f t="shared" si="3"/>
        <v/>
      </c>
      <c r="AH52" s="169" t="str">
        <f t="shared" si="18"/>
        <v/>
      </c>
      <c r="AJ52" s="169" t="e">
        <f t="shared" ca="1" si="19"/>
        <v>#N/A</v>
      </c>
      <c r="AK52" s="169" t="str">
        <f t="shared" ca="1" si="20"/>
        <v/>
      </c>
      <c r="AL52" s="169" t="str">
        <f t="shared" ca="1" si="20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si="21"/>
        <v>99</v>
      </c>
      <c r="AW52" s="168">
        <f>COUNTIF( AV$7:AV52, AV52 )</f>
        <v>2</v>
      </c>
      <c r="AX52" s="208">
        <f t="shared" si="22"/>
        <v>99.2</v>
      </c>
      <c r="AY52" s="168">
        <f t="shared" si="23"/>
        <v>46</v>
      </c>
      <c r="AZ52" s="169"/>
      <c r="BA52" s="169"/>
      <c r="BC52" s="168">
        <f t="shared" ca="1" si="24"/>
        <v>46</v>
      </c>
      <c r="BD52" s="209">
        <f t="shared" ca="1" si="6"/>
        <v>46</v>
      </c>
      <c r="BF52" s="173">
        <f t="shared" ca="1" si="25"/>
        <v>0</v>
      </c>
      <c r="BG52" s="173">
        <f t="shared" ca="1" si="25"/>
        <v>0</v>
      </c>
      <c r="BH52" s="173">
        <f t="shared" ca="1" si="25"/>
        <v>0</v>
      </c>
      <c r="BI52" s="173">
        <f t="shared" ca="1" si="25"/>
        <v>0</v>
      </c>
    </row>
    <row r="53" spans="1:61" ht="13.8" x14ac:dyDescent="0.25">
      <c r="A53" s="223"/>
      <c r="B53" s="224"/>
      <c r="C53" s="224"/>
      <c r="D53" s="224"/>
      <c r="E53" s="225"/>
      <c r="F53" s="348"/>
      <c r="G53" s="349" t="str">
        <f t="shared" ca="1" si="1"/>
        <v/>
      </c>
      <c r="H53" s="350"/>
      <c r="I53" s="350"/>
      <c r="J53" s="191"/>
      <c r="K53" s="191"/>
      <c r="AF53" s="169">
        <f t="shared" si="2"/>
        <v>0</v>
      </c>
      <c r="AG53" s="169" t="str">
        <f t="shared" si="3"/>
        <v/>
      </c>
      <c r="AH53" s="169" t="str">
        <f t="shared" si="18"/>
        <v/>
      </c>
      <c r="AJ53" s="169" t="e">
        <f t="shared" ca="1" si="19"/>
        <v>#N/A</v>
      </c>
      <c r="AK53" s="169" t="str">
        <f t="shared" ca="1" si="20"/>
        <v/>
      </c>
      <c r="AL53" s="169" t="str">
        <f t="shared" ca="1" si="20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si="21"/>
        <v>99</v>
      </c>
      <c r="AW53" s="168">
        <f>COUNTIF( AV$7:AV53, AV53 )</f>
        <v>3</v>
      </c>
      <c r="AX53" s="208">
        <f t="shared" si="22"/>
        <v>99.3</v>
      </c>
      <c r="AY53" s="168">
        <f t="shared" si="23"/>
        <v>47</v>
      </c>
      <c r="AZ53" s="169"/>
      <c r="BA53" s="169"/>
      <c r="BC53" s="168">
        <f t="shared" ca="1" si="24"/>
        <v>47</v>
      </c>
      <c r="BD53" s="209">
        <f t="shared" ca="1" si="6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ht="13.8" x14ac:dyDescent="0.25">
      <c r="A54" s="223"/>
      <c r="B54" s="224"/>
      <c r="C54" s="224"/>
      <c r="D54" s="224"/>
      <c r="E54" s="225"/>
      <c r="F54" s="348"/>
      <c r="G54" s="349" t="str">
        <f t="shared" ca="1" si="1"/>
        <v/>
      </c>
      <c r="H54" s="350"/>
      <c r="I54" s="350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8"/>
        <v/>
      </c>
      <c r="AJ54" s="169" t="e">
        <f t="shared" ca="1" si="19"/>
        <v>#N/A</v>
      </c>
      <c r="AK54" s="169" t="str">
        <f t="shared" ca="1" si="20"/>
        <v/>
      </c>
      <c r="AL54" s="169" t="str">
        <f t="shared" ca="1" si="20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21"/>
        <v>99</v>
      </c>
      <c r="AW54" s="168">
        <f>COUNTIF( AV$7:AV54, AV54 )</f>
        <v>4</v>
      </c>
      <c r="AX54" s="208">
        <f t="shared" si="22"/>
        <v>99.4</v>
      </c>
      <c r="AY54" s="168">
        <f t="shared" si="23"/>
        <v>48</v>
      </c>
      <c r="AZ54" s="169"/>
      <c r="BA54" s="169"/>
      <c r="BC54" s="168">
        <f t="shared" ca="1" si="24"/>
        <v>48</v>
      </c>
      <c r="BD54" s="209">
        <f t="shared" ca="1" si="6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3.8" x14ac:dyDescent="0.25">
      <c r="A55" s="223"/>
      <c r="B55" s="224"/>
      <c r="C55" s="224"/>
      <c r="D55" s="224"/>
      <c r="E55" s="225"/>
      <c r="F55" s="348"/>
      <c r="G55" s="349" t="str">
        <f t="shared" ca="1" si="1"/>
        <v/>
      </c>
      <c r="H55" s="350"/>
      <c r="I55" s="350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8"/>
        <v/>
      </c>
      <c r="AJ55" s="169" t="e">
        <f t="shared" ca="1" si="19"/>
        <v>#N/A</v>
      </c>
      <c r="AK55" s="169" t="str">
        <f t="shared" ca="1" si="20"/>
        <v/>
      </c>
      <c r="AL55" s="169" t="str">
        <f t="shared" ca="1" si="20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1"/>
        <v>99</v>
      </c>
      <c r="AW55" s="168">
        <f>COUNTIF( AV$7:AV55, AV55 )</f>
        <v>5</v>
      </c>
      <c r="AX55" s="208">
        <f t="shared" si="22"/>
        <v>99.5</v>
      </c>
      <c r="AY55" s="168">
        <f t="shared" si="23"/>
        <v>49</v>
      </c>
      <c r="AZ55" s="169"/>
      <c r="BA55" s="169"/>
      <c r="BC55" s="168">
        <f t="shared" ca="1" si="24"/>
        <v>49</v>
      </c>
      <c r="BD55" s="209">
        <f t="shared" ca="1" si="6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3.8" x14ac:dyDescent="0.25">
      <c r="A56" s="223"/>
      <c r="B56" s="224"/>
      <c r="C56" s="224"/>
      <c r="D56" s="224"/>
      <c r="E56" s="225"/>
      <c r="F56" s="348"/>
      <c r="G56" s="349" t="str">
        <f t="shared" ca="1" si="1"/>
        <v/>
      </c>
      <c r="H56" s="350"/>
      <c r="I56" s="350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6</v>
      </c>
      <c r="AX56" s="208">
        <f t="shared" si="22"/>
        <v>99.6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8" x14ac:dyDescent="0.25">
      <c r="A57" s="223"/>
      <c r="B57" s="224"/>
      <c r="C57" s="224"/>
      <c r="D57" s="224"/>
      <c r="E57" s="225"/>
      <c r="F57" s="348"/>
      <c r="G57" s="349" t="str">
        <f t="shared" ca="1" si="1"/>
        <v/>
      </c>
      <c r="H57" s="350"/>
      <c r="I57" s="350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7</v>
      </c>
      <c r="AX57" s="208">
        <f t="shared" si="22"/>
        <v>99.7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8" x14ac:dyDescent="0.25">
      <c r="A58" s="223"/>
      <c r="B58" s="224"/>
      <c r="C58" s="224"/>
      <c r="D58" s="224"/>
      <c r="E58" s="225"/>
      <c r="F58" s="348"/>
      <c r="G58" s="349" t="str">
        <f t="shared" ca="1" si="1"/>
        <v/>
      </c>
      <c r="H58" s="350"/>
      <c r="I58" s="350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8</v>
      </c>
      <c r="AX58" s="208">
        <f t="shared" si="22"/>
        <v>99.8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8" x14ac:dyDescent="0.25">
      <c r="A59" s="223"/>
      <c r="B59" s="224"/>
      <c r="C59" s="224"/>
      <c r="D59" s="224"/>
      <c r="E59" s="225" t="str">
        <f t="shared" ca="1" si="8"/>
        <v/>
      </c>
      <c r="F59" s="348"/>
      <c r="G59" s="349" t="str">
        <f t="shared" ca="1" si="1"/>
        <v/>
      </c>
      <c r="H59" s="350"/>
      <c r="I59" s="350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9</v>
      </c>
      <c r="AX59" s="208">
        <f t="shared" si="22"/>
        <v>99.9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" thickBot="1" x14ac:dyDescent="0.3">
      <c r="A60" s="192"/>
      <c r="B60" s="193"/>
      <c r="C60" s="193"/>
      <c r="D60" s="193"/>
      <c r="E60" s="194" t="str">
        <f t="shared" ca="1" si="8"/>
        <v/>
      </c>
      <c r="F60" s="350"/>
      <c r="G60" s="353" t="str">
        <f t="shared" ca="1" si="1"/>
        <v/>
      </c>
      <c r="H60" s="350"/>
      <c r="I60" s="350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10</v>
      </c>
      <c r="AX60" s="208">
        <f t="shared" si="22"/>
        <v>100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8" x14ac:dyDescent="0.25">
      <c r="A61" s="226" t="s">
        <v>308</v>
      </c>
      <c r="B61" s="227" t="s">
        <v>162</v>
      </c>
      <c r="C61" s="227">
        <v>23</v>
      </c>
      <c r="D61" s="227" t="s">
        <v>309</v>
      </c>
      <c r="E61" s="228" t="str">
        <f t="shared" ca="1" si="8"/>
        <v>R</v>
      </c>
      <c r="F61" s="354"/>
      <c r="G61" s="355">
        <f t="shared" ca="1" si="1"/>
        <v>30</v>
      </c>
      <c r="H61" s="350"/>
      <c r="I61" s="350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11</v>
      </c>
      <c r="AX61" s="208">
        <f t="shared" si="22"/>
        <v>100.1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8" x14ac:dyDescent="0.25">
      <c r="A62" s="223"/>
      <c r="B62" s="224"/>
      <c r="C62" s="224"/>
      <c r="D62" s="224"/>
      <c r="E62" s="225"/>
      <c r="F62" s="348"/>
      <c r="G62" s="349" t="str">
        <f t="shared" ca="1" si="1"/>
        <v/>
      </c>
      <c r="H62" s="350"/>
      <c r="I62" s="350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 t="e">
        <f t="shared" ca="1" si="19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12</v>
      </c>
      <c r="AX62" s="208">
        <f t="shared" si="22"/>
        <v>100.2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/>
      <c r="B63" s="229"/>
      <c r="C63" s="224"/>
      <c r="D63" s="224"/>
      <c r="E63" s="225"/>
      <c r="F63" s="348"/>
      <c r="G63" s="349"/>
      <c r="H63" s="350"/>
      <c r="I63" s="350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13</v>
      </c>
      <c r="AX63" s="208">
        <f t="shared" si="22"/>
        <v>100.3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/>
      <c r="B64" s="229"/>
      <c r="C64" s="224"/>
      <c r="D64" s="224"/>
      <c r="E64" s="225"/>
      <c r="F64" s="348"/>
      <c r="G64" s="349"/>
      <c r="H64" s="350"/>
      <c r="I64" s="350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308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58" ht="13.8" x14ac:dyDescent="0.25">
      <c r="A65" s="223"/>
      <c r="B65" s="229"/>
      <c r="C65" s="224"/>
      <c r="D65" s="224"/>
      <c r="E65" s="225"/>
      <c r="F65" s="348"/>
      <c r="G65" s="349"/>
      <c r="H65" s="350"/>
      <c r="I65" s="350"/>
      <c r="N65" s="168" t="s">
        <v>310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3.8" x14ac:dyDescent="0.25">
      <c r="A66" s="195"/>
      <c r="B66" s="196"/>
      <c r="C66" s="185"/>
      <c r="D66" s="185"/>
      <c r="E66" s="182"/>
      <c r="F66" s="350"/>
      <c r="H66" s="350"/>
      <c r="I66" s="350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50"/>
      <c r="H67" s="350"/>
      <c r="I67" s="350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8" x14ac:dyDescent="0.25">
      <c r="A68" s="200" t="s">
        <v>311</v>
      </c>
      <c r="B68" s="189" t="str">
        <f ca="1">OFFSET( Scale!$H$5, ROUND( C68, 0 ) - 1, 1 )</f>
        <v>BBB+</v>
      </c>
      <c r="C68" s="201">
        <f>AVERAGE(C7:C65)</f>
        <v>18.68888888888889</v>
      </c>
      <c r="D68" s="201"/>
      <c r="E68" s="201"/>
      <c r="F68" s="350"/>
      <c r="H68" s="350"/>
      <c r="I68" s="350"/>
      <c r="J68" s="351"/>
      <c r="K68" s="351"/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50"/>
      <c r="H69" s="350"/>
      <c r="I69" s="350"/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1"/>
      <c r="K70" s="351"/>
    </row>
    <row r="71" spans="1:58" x14ac:dyDescent="0.25">
      <c r="A71" s="203" t="s">
        <v>312</v>
      </c>
      <c r="F71" s="173"/>
      <c r="H71" s="173"/>
      <c r="I71" s="173"/>
    </row>
    <row r="72" spans="1:58" x14ac:dyDescent="0.25">
      <c r="A72" s="203" t="s">
        <v>313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314</v>
      </c>
      <c r="B73" s="173"/>
      <c r="D73" s="173"/>
      <c r="E73" s="173"/>
      <c r="F73" s="204"/>
      <c r="H73" s="204"/>
      <c r="I73" s="204"/>
    </row>
    <row r="74" spans="1:58" x14ac:dyDescent="0.25">
      <c r="A74" s="203" t="s">
        <v>315</v>
      </c>
      <c r="D74" s="204"/>
      <c r="F74" s="206"/>
      <c r="H74" s="206"/>
      <c r="I74" s="206"/>
      <c r="AQ74" s="207"/>
      <c r="AR74" s="207"/>
      <c r="AS74" s="207"/>
    </row>
    <row r="75" spans="1:58" x14ac:dyDescent="0.25">
      <c r="A75" s="203" t="s">
        <v>316</v>
      </c>
      <c r="D75" s="204"/>
      <c r="F75" s="206"/>
      <c r="H75" s="206"/>
      <c r="I75" s="206"/>
      <c r="AQ75" s="207"/>
      <c r="AR75" s="207"/>
      <c r="AS75" s="207"/>
    </row>
    <row r="76" spans="1:58" x14ac:dyDescent="0.25">
      <c r="A76" s="203"/>
      <c r="AQ76" s="207"/>
      <c r="AR76" s="207"/>
      <c r="AS76" s="207"/>
    </row>
    <row r="77" spans="1:58" x14ac:dyDescent="0.25">
      <c r="C77" s="190">
        <f>SUMPRODUCT( L8:L13, Y8:Y13 ) / L14</f>
        <v>18.933333333333334</v>
      </c>
      <c r="E77" s="191"/>
      <c r="G77" s="353"/>
      <c r="J77" s="173"/>
      <c r="K77" s="173"/>
      <c r="AQ77" s="207"/>
      <c r="AR77" s="207"/>
      <c r="AS77" s="207"/>
    </row>
    <row r="78" spans="1:58" s="173" customFormat="1" ht="13.8" x14ac:dyDescent="0.2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ref="AQ7:AT53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199" priority="31" stopIfTrue="1">
      <formula>IF( $AH7 = 1, TRUE, FALSE )</formula>
    </cfRule>
    <cfRule type="expression" dxfId="1198" priority="32" stopIfTrue="1">
      <formula>IF( $AG7 = 1, TRUE, FALSE )</formula>
    </cfRule>
    <cfRule type="expression" dxfId="1197" priority="33" stopIfTrue="1">
      <formula>IF( $AF7 = 1, TRUE, FALSE )</formula>
    </cfRule>
  </conditionalFormatting>
  <conditionalFormatting sqref="A67:E67">
    <cfRule type="expression" dxfId="1196" priority="34" stopIfTrue="1">
      <formula>IF( $AH67 = 1, TRUE, FALSE )</formula>
    </cfRule>
    <cfRule type="expression" dxfId="1195" priority="35" stopIfTrue="1">
      <formula>IF( $AG67 = 1, TRUE, FALSE )</formula>
    </cfRule>
    <cfRule type="expression" dxfId="1194" priority="36" stopIfTrue="1">
      <formula>IF( $AF67 = 1, TRUE, FALSE )</formula>
    </cfRule>
  </conditionalFormatting>
  <conditionalFormatting sqref="A66:E66">
    <cfRule type="expression" dxfId="1193" priority="28" stopIfTrue="1">
      <formula>IF( $AH66 = 1, TRUE, FALSE )</formula>
    </cfRule>
    <cfRule type="expression" dxfId="1192" priority="29" stopIfTrue="1">
      <formula>IF( $AG66 = 1, TRUE, FALSE )</formula>
    </cfRule>
    <cfRule type="expression" dxfId="1191" priority="30" stopIfTrue="1">
      <formula>IF( $AF66 = 1, TRUE, FALSE )</formula>
    </cfRule>
  </conditionalFormatting>
  <conditionalFormatting sqref="A8:D33 B7:D7 A35:D58">
    <cfRule type="expression" dxfId="1190" priority="25" stopIfTrue="1">
      <formula>IF( $AH7 = 1, TRUE, FALSE )</formula>
    </cfRule>
    <cfRule type="expression" dxfId="1189" priority="26" stopIfTrue="1">
      <formula>IF( $AG7 = 1, TRUE, FALSE )</formula>
    </cfRule>
    <cfRule type="expression" dxfId="1188" priority="27" stopIfTrue="1">
      <formula>IF( $AF7 = 1, TRUE, FALSE )</formula>
    </cfRule>
  </conditionalFormatting>
  <conditionalFormatting sqref="A59:D59">
    <cfRule type="expression" dxfId="1187" priority="22" stopIfTrue="1">
      <formula>IF( $AH59 = 1, TRUE, FALSE )</formula>
    </cfRule>
    <cfRule type="expression" dxfId="1186" priority="23" stopIfTrue="1">
      <formula>IF( $AG59 = 1, TRUE, FALSE )</formula>
    </cfRule>
    <cfRule type="expression" dxfId="1185" priority="24" stopIfTrue="1">
      <formula>IF( $AF59 = 1, TRUE, FALSE )</formula>
    </cfRule>
  </conditionalFormatting>
  <conditionalFormatting sqref="A61:D65">
    <cfRule type="expression" dxfId="1184" priority="19" stopIfTrue="1">
      <formula>IF( $AH61 = 1, TRUE, FALSE )</formula>
    </cfRule>
    <cfRule type="expression" dxfId="1183" priority="20" stopIfTrue="1">
      <formula>IF( $AG61 = 1, TRUE, FALSE )</formula>
    </cfRule>
    <cfRule type="expression" dxfId="1182" priority="21" stopIfTrue="1">
      <formula>IF( $AF61 = 1, TRUE, FALSE )</formula>
    </cfRule>
  </conditionalFormatting>
  <conditionalFormatting sqref="U8:U12">
    <cfRule type="cellIs" dxfId="1181" priority="18" operator="equal">
      <formula>0</formula>
    </cfRule>
  </conditionalFormatting>
  <conditionalFormatting sqref="O8:O12 Q8:Q12">
    <cfRule type="cellIs" dxfId="1180" priority="17" operator="equal">
      <formula>0</formula>
    </cfRule>
  </conditionalFormatting>
  <conditionalFormatting sqref="V8:V12">
    <cfRule type="cellIs" dxfId="1179" priority="16" operator="equal">
      <formula>0</formula>
    </cfRule>
  </conditionalFormatting>
  <conditionalFormatting sqref="S8:S12">
    <cfRule type="cellIs" dxfId="1178" priority="14" operator="equal">
      <formula>0</formula>
    </cfRule>
  </conditionalFormatting>
  <conditionalFormatting sqref="R8:R12">
    <cfRule type="cellIs" dxfId="1177" priority="15" operator="equal">
      <formula>0</formula>
    </cfRule>
  </conditionalFormatting>
  <conditionalFormatting sqref="P8:P12">
    <cfRule type="cellIs" dxfId="1176" priority="13" operator="equal">
      <formula>0</formula>
    </cfRule>
  </conditionalFormatting>
  <conditionalFormatting sqref="M8:M12">
    <cfRule type="cellIs" dxfId="1175" priority="12" operator="equal">
      <formula>0</formula>
    </cfRule>
  </conditionalFormatting>
  <conditionalFormatting sqref="T8:T12">
    <cfRule type="cellIs" dxfId="1174" priority="11" operator="equal">
      <formula>0</formula>
    </cfRule>
  </conditionalFormatting>
  <conditionalFormatting sqref="N8:N12">
    <cfRule type="cellIs" dxfId="1173" priority="10" operator="equal">
      <formula>0</formula>
    </cfRule>
  </conditionalFormatting>
  <conditionalFormatting sqref="K8:K12">
    <cfRule type="cellIs" dxfId="1172" priority="9" operator="equal">
      <formula>0</formula>
    </cfRule>
  </conditionalFormatting>
  <conditionalFormatting sqref="I8:I12">
    <cfRule type="cellIs" dxfId="1171" priority="8" operator="equal">
      <formula>0</formula>
    </cfRule>
  </conditionalFormatting>
  <conditionalFormatting sqref="W8:W12">
    <cfRule type="cellIs" dxfId="1170" priority="7" operator="equal">
      <formula>0</formula>
    </cfRule>
  </conditionalFormatting>
  <conditionalFormatting sqref="A7">
    <cfRule type="expression" dxfId="1169" priority="4" stopIfTrue="1">
      <formula>IF( $AH7 = 1, TRUE, FALSE )</formula>
    </cfRule>
    <cfRule type="expression" dxfId="1168" priority="5" stopIfTrue="1">
      <formula>IF( $AG7 = 1, TRUE, FALSE )</formula>
    </cfRule>
    <cfRule type="expression" dxfId="1167" priority="6" stopIfTrue="1">
      <formula>IF( $AF7 = 1, TRUE, FALSE )</formula>
    </cfRule>
  </conditionalFormatting>
  <conditionalFormatting sqref="A34:D34">
    <cfRule type="expression" dxfId="1166" priority="1" stopIfTrue="1">
      <formula>IF( $AH34 = 1, TRUE, FALSE )</formula>
    </cfRule>
    <cfRule type="expression" dxfId="1165" priority="2" stopIfTrue="1">
      <formula>IF( $AG34 = 1, TRUE, FALSE )</formula>
    </cfRule>
    <cfRule type="expression" dxfId="1164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hidden="1" customWidth="1" outlineLevel="1"/>
    <col min="23" max="23" width="2" style="168" hidden="1" customWidth="1" outlineLevel="1"/>
    <col min="24" max="24" width="4.109375" style="168" customWidth="1" collapsed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15.88671875" style="169" hidden="1" customWidth="1" outlineLevel="1" collapsed="1"/>
    <col min="37" max="38" width="15.88671875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-- 2019 Q2</v>
      </c>
      <c r="G1" s="175" t="s">
        <v>195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 x14ac:dyDescent="0.25">
      <c r="A2" s="167"/>
      <c r="E2" s="171" t="str">
        <f>G2</f>
        <v>Reg_Percent_2018</v>
      </c>
      <c r="G2" s="172" t="s">
        <v>334</v>
      </c>
      <c r="AJ2" s="173" t="str">
        <f>AJ4 &amp; AJ3</f>
        <v>'Credit_2019Q1'!d:d</v>
      </c>
      <c r="AK2" s="173" t="str">
        <f>AK4 &amp; AK3</f>
        <v>'Credit_2019Q1'!b1</v>
      </c>
      <c r="AL2" s="173" t="str">
        <f>AL4 &amp; AL3</f>
        <v>'Credit_2019Q1'!c1</v>
      </c>
      <c r="AQ2" s="169"/>
    </row>
    <row r="3" spans="1:61" ht="18" hidden="1" outlineLevel="1" x14ac:dyDescent="0.25">
      <c r="A3" s="167"/>
      <c r="E3" s="174" t="str">
        <f>"'" &amp; E2 &amp; "'!"</f>
        <v>'Reg_Percent_2018'!</v>
      </c>
      <c r="G3" s="168" t="str">
        <f>"'" &amp; G2 &amp; "'!"</f>
        <v>'Reg_Percent_2018'!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205</v>
      </c>
      <c r="AK3" s="149" t="s">
        <v>206</v>
      </c>
      <c r="AL3" s="149" t="s">
        <v>207</v>
      </c>
      <c r="AQ3" s="169"/>
    </row>
    <row r="4" spans="1:61" ht="18" hidden="1" outlineLevel="1" x14ac:dyDescent="0.25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>$AQ$5</f>
        <v>'Credit_2019Q1'!</v>
      </c>
      <c r="AK4" s="169" t="str">
        <f t="shared" ref="AK4:AL4" si="0">$AQ$5</f>
        <v>'Credit_2019Q1'!</v>
      </c>
      <c r="AL4" s="169" t="str">
        <f t="shared" si="0"/>
        <v>'Credit_2019Q1'!</v>
      </c>
      <c r="AQ4" s="169"/>
    </row>
    <row r="5" spans="1:61" ht="13.8" collapsed="1" x14ac:dyDescent="0.25">
      <c r="E5" s="176" t="s">
        <v>209</v>
      </c>
      <c r="G5" s="170" t="s">
        <v>199</v>
      </c>
      <c r="I5" s="230"/>
      <c r="J5" s="389" t="s">
        <v>210</v>
      </c>
      <c r="K5" s="230"/>
      <c r="L5" s="391" t="str">
        <f>"All Companies" &amp; CHAR( 10 ) &amp; "("&amp; L14 &amp; ")"</f>
        <v>All Companies
(45)</v>
      </c>
      <c r="M5" s="391"/>
      <c r="N5" s="230"/>
      <c r="O5" s="389" t="str">
        <f ca="1">"Regulated" &amp; CHAR( 10 ) &amp; "(" &amp; O14 &amp; ")"</f>
        <v>Regulated
(35)</v>
      </c>
      <c r="P5" s="393"/>
      <c r="Q5" s="230"/>
      <c r="R5" s="389" t="str">
        <f ca="1">"Mostly Regulated" &amp; CHAR( 10 ) &amp; "(" &amp; R14 &amp; ")"</f>
        <v>Mostly Regulated
(10)</v>
      </c>
      <c r="S5" s="393"/>
      <c r="T5" s="230"/>
      <c r="U5" s="389" t="str">
        <f ca="1">"Diversified" &amp; CHAR( 10 ) &amp; "(" &amp; U14 &amp; ")"</f>
        <v>Diversified
(0)</v>
      </c>
      <c r="V5" s="393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339</v>
      </c>
    </row>
    <row r="6" spans="1:61" ht="28.5" customHeight="1" x14ac:dyDescent="0.25">
      <c r="A6" s="219" t="s">
        <v>212</v>
      </c>
      <c r="B6" s="220" t="s">
        <v>340</v>
      </c>
      <c r="C6" s="249" t="s">
        <v>214</v>
      </c>
      <c r="D6" s="221"/>
      <c r="E6" s="222">
        <f ca="1">INDIRECT( E3 &amp; G1 )</f>
        <v>43465</v>
      </c>
      <c r="I6" s="231"/>
      <c r="J6" s="390"/>
      <c r="K6" s="231"/>
      <c r="L6" s="392"/>
      <c r="M6" s="392"/>
      <c r="N6" s="231"/>
      <c r="O6" s="390"/>
      <c r="P6" s="390"/>
      <c r="Q6" s="231"/>
      <c r="R6" s="390" t="s">
        <v>136</v>
      </c>
      <c r="S6" s="390"/>
      <c r="T6" s="231"/>
      <c r="U6" s="390"/>
      <c r="V6" s="390"/>
      <c r="W6" s="231"/>
      <c r="AE6" s="178"/>
      <c r="AJ6" s="179"/>
    </row>
    <row r="7" spans="1:61" ht="13.8" x14ac:dyDescent="0.25">
      <c r="A7" s="223" t="s">
        <v>235</v>
      </c>
      <c r="B7" s="224" t="s">
        <v>164</v>
      </c>
      <c r="C7" s="224">
        <v>22</v>
      </c>
      <c r="D7" s="224" t="s">
        <v>236</v>
      </c>
      <c r="E7" s="225" t="str">
        <f ca="1">IF( LEN( $G7 ) = 0, "", OFFSET( INDIRECT( E$3 &amp; E$4 ), $G7 - 1, 0 ) )</f>
        <v>R</v>
      </c>
      <c r="F7" s="348"/>
      <c r="G7" s="349">
        <f t="shared" ref="G7:G62" ca="1" si="1">IF( LEN( $D7 ) = 0, "", MATCH( $D7, INDIRECT( G$3 &amp; G$4 ), 0 ) )</f>
        <v>24</v>
      </c>
      <c r="H7" s="350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A+</v>
      </c>
      <c r="AL7" s="169">
        <f ca="1">IF( ISNA( $AJ7 ), "", OFFSET( INDIRECT( AL$2 ), $AJ7-1, 0 ) )</f>
        <v>22</v>
      </c>
      <c r="AM7" s="169" t="str">
        <f t="shared" ref="AM7:AM67" ca="1" si="4">IF( B7 = AK7, "", "Change" )</f>
        <v/>
      </c>
      <c r="AQ7" s="207" t="s">
        <v>217</v>
      </c>
      <c r="AR7" s="207" t="s">
        <v>140</v>
      </c>
      <c r="AS7" s="207">
        <v>19</v>
      </c>
      <c r="AT7" s="207" t="s">
        <v>218</v>
      </c>
      <c r="AV7" s="168">
        <f>IF( LEN( AS7 ) = 0, 99, RANK( AS7, $AS$7:$AS$63 ) )</f>
        <v>14</v>
      </c>
      <c r="AW7" s="168">
        <f>COUNTIF( AV7:AV$7, AV7 )</f>
        <v>1</v>
      </c>
      <c r="AX7" s="208">
        <f>AV7 + AW7 / 10</f>
        <v>14.1</v>
      </c>
      <c r="AY7" s="168">
        <f>RANK( AX7, $AX$7:$AX$63, 1 )</f>
        <v>14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21</v>
      </c>
      <c r="BF7" s="173" t="str">
        <f t="shared" ref="BF7:BI38" ca="1" si="7">OFFSET( AQ$6, $BD7, 0 )</f>
        <v>Eversource Energy</v>
      </c>
      <c r="BG7" s="173" t="str">
        <f t="shared" ca="1" si="7"/>
        <v>A+</v>
      </c>
      <c r="BH7" s="173">
        <f t="shared" ca="1" si="7"/>
        <v>22</v>
      </c>
      <c r="BI7" s="173" t="str">
        <f t="shared" ca="1" si="7"/>
        <v>ES</v>
      </c>
    </row>
    <row r="8" spans="1:61" ht="13.8" x14ac:dyDescent="0.25">
      <c r="A8" s="223" t="s">
        <v>215</v>
      </c>
      <c r="B8" s="224" t="s">
        <v>166</v>
      </c>
      <c r="C8" s="224">
        <v>21</v>
      </c>
      <c r="D8" s="224" t="s">
        <v>216</v>
      </c>
      <c r="E8" s="225" t="str">
        <f t="shared" ref="E8:E61" ca="1" si="8">IF( LEN( $G8 ) = 0, "", OFFSET( INDIRECT( E$3 &amp; E$4 ), $G8 - 1, 0 ) )</f>
        <v>MR</v>
      </c>
      <c r="F8" s="348"/>
      <c r="G8" s="349">
        <f t="shared" ca="1" si="1"/>
        <v>56</v>
      </c>
      <c r="H8" s="350"/>
      <c r="I8" s="233"/>
      <c r="J8" s="213" t="s">
        <v>137</v>
      </c>
      <c r="K8" s="233"/>
      <c r="L8" s="213">
        <f t="shared" ref="L8:L13" si="9">COUNTIF($C$7:$C$67,$X8)</f>
        <v>3</v>
      </c>
      <c r="M8" s="214">
        <f t="shared" ref="M8:M13" si="10">IF( L8 = 0, "", L8/L$14 )</f>
        <v>6.6666666666666666E-2</v>
      </c>
      <c r="N8" s="233"/>
      <c r="O8" s="213">
        <f t="shared" ref="O8:O13" ca="1" si="11">COUNTIFS( $E$7:$E$66, O$3, $C$7:$C$66, $X8 )</f>
        <v>2</v>
      </c>
      <c r="P8" s="214">
        <f t="shared" ref="P8:P13" ca="1" si="12">IF( O8 = 0, "", O8/O$14 )</f>
        <v>5.7142857142857141E-2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0.1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7">SUM(O8, R8, U8)</f>
        <v>3</v>
      </c>
      <c r="AC8" s="351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7</v>
      </c>
      <c r="BF8" s="173" t="str">
        <f t="shared" ca="1" si="7"/>
        <v>Berkshire Energy Holdings Company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**BRK</v>
      </c>
    </row>
    <row r="9" spans="1:61" ht="13.8" x14ac:dyDescent="0.25">
      <c r="A9" s="223" t="s">
        <v>219</v>
      </c>
      <c r="B9" s="224" t="s">
        <v>139</v>
      </c>
      <c r="C9" s="224">
        <v>20</v>
      </c>
      <c r="D9" s="224" t="s">
        <v>220</v>
      </c>
      <c r="E9" s="225" t="str">
        <f t="shared" ca="1" si="8"/>
        <v>R</v>
      </c>
      <c r="F9" s="348"/>
      <c r="G9" s="349">
        <f t="shared" ca="1" si="1"/>
        <v>8</v>
      </c>
      <c r="H9" s="350"/>
      <c r="I9" s="234"/>
      <c r="J9" s="215" t="s">
        <v>139</v>
      </c>
      <c r="K9" s="234"/>
      <c r="L9" s="215">
        <f t="shared" si="9"/>
        <v>11</v>
      </c>
      <c r="M9" s="216">
        <f t="shared" si="10"/>
        <v>0.24444444444444444</v>
      </c>
      <c r="N9" s="234"/>
      <c r="O9" s="215">
        <f t="shared" ca="1" si="11"/>
        <v>10</v>
      </c>
      <c r="P9" s="216">
        <f t="shared" ca="1" si="12"/>
        <v>0.2857142857142857</v>
      </c>
      <c r="Q9" s="234"/>
      <c r="R9" s="215">
        <f t="shared" ca="1" si="13"/>
        <v>1</v>
      </c>
      <c r="S9" s="216">
        <f t="shared" ca="1" si="14"/>
        <v>0.1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7"/>
        <v>11</v>
      </c>
      <c r="AC9" s="351"/>
      <c r="AE9" s="184"/>
      <c r="AF9" s="169">
        <f t="shared" si="2"/>
        <v>1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si="21"/>
        <v>14</v>
      </c>
      <c r="AW9" s="168">
        <f>COUNTIF( AV$7:AV9, AV9 )</f>
        <v>2</v>
      </c>
      <c r="AX9" s="208">
        <f t="shared" si="22"/>
        <v>14.2</v>
      </c>
      <c r="AY9" s="168">
        <f t="shared" si="23"/>
        <v>15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ht="13.8" x14ac:dyDescent="0.25">
      <c r="A10" s="223" t="s">
        <v>222</v>
      </c>
      <c r="B10" s="224" t="s">
        <v>139</v>
      </c>
      <c r="C10" s="224">
        <v>20</v>
      </c>
      <c r="D10" s="224" t="s">
        <v>223</v>
      </c>
      <c r="E10" s="225" t="str">
        <f t="shared" ca="1" si="8"/>
        <v>R</v>
      </c>
      <c r="F10" s="348"/>
      <c r="G10" s="349">
        <f t="shared" ca="1" si="1"/>
        <v>10</v>
      </c>
      <c r="H10" s="350"/>
      <c r="I10" s="234"/>
      <c r="J10" s="215" t="s">
        <v>140</v>
      </c>
      <c r="K10" s="234"/>
      <c r="L10" s="215">
        <f t="shared" si="9"/>
        <v>18</v>
      </c>
      <c r="M10" s="216">
        <f t="shared" si="10"/>
        <v>0.4</v>
      </c>
      <c r="N10" s="234"/>
      <c r="O10" s="215">
        <f t="shared" ca="1" si="11"/>
        <v>11</v>
      </c>
      <c r="P10" s="216">
        <f t="shared" ca="1" si="12"/>
        <v>0.31428571428571428</v>
      </c>
      <c r="Q10" s="234"/>
      <c r="R10" s="215">
        <f t="shared" ca="1" si="13"/>
        <v>7</v>
      </c>
      <c r="S10" s="216">
        <f t="shared" ca="1" si="14"/>
        <v>0.7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229</v>
      </c>
      <c r="Y10" s="186">
        <v>19</v>
      </c>
      <c r="Z10" s="186">
        <v>1</v>
      </c>
      <c r="AA10" s="185">
        <f t="shared" ca="1" si="17"/>
        <v>18</v>
      </c>
      <c r="AE10" s="184"/>
      <c r="AF10" s="169">
        <f t="shared" si="2"/>
        <v>1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222</v>
      </c>
      <c r="AR10" s="207" t="s">
        <v>139</v>
      </c>
      <c r="AS10" s="207">
        <v>20</v>
      </c>
      <c r="AT10" s="207" t="s">
        <v>223</v>
      </c>
      <c r="AV10" s="168">
        <f t="shared" si="21"/>
        <v>3</v>
      </c>
      <c r="AW10" s="168">
        <f>COUNTIF( AV$7:AV10, AV10 )</f>
        <v>2</v>
      </c>
      <c r="AX10" s="208">
        <f t="shared" si="22"/>
        <v>3.2</v>
      </c>
      <c r="AY10" s="168">
        <f t="shared" si="23"/>
        <v>4</v>
      </c>
      <c r="AZ10" s="169"/>
      <c r="BA10" s="169"/>
      <c r="BC10" s="168">
        <f t="shared" ca="1" si="24"/>
        <v>4</v>
      </c>
      <c r="BD10" s="209">
        <f t="shared" ca="1" si="6"/>
        <v>4</v>
      </c>
      <c r="BF10" s="173" t="str">
        <f t="shared" ca="1" si="7"/>
        <v>American Electric Power Company,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AEP</v>
      </c>
    </row>
    <row r="11" spans="1:61" ht="13.8" x14ac:dyDescent="0.25">
      <c r="A11" s="223" t="s">
        <v>227</v>
      </c>
      <c r="B11" s="224" t="s">
        <v>139</v>
      </c>
      <c r="C11" s="224">
        <v>20</v>
      </c>
      <c r="D11" s="224" t="s">
        <v>228</v>
      </c>
      <c r="E11" s="225" t="str">
        <f t="shared" ca="1" si="8"/>
        <v>R</v>
      </c>
      <c r="F11" s="348"/>
      <c r="G11" s="349">
        <f t="shared" ca="1" si="1"/>
        <v>16</v>
      </c>
      <c r="H11" s="350"/>
      <c r="I11" s="234"/>
      <c r="J11" s="215" t="s">
        <v>141</v>
      </c>
      <c r="K11" s="234"/>
      <c r="L11" s="215">
        <f t="shared" si="9"/>
        <v>8</v>
      </c>
      <c r="M11" s="216">
        <f t="shared" si="10"/>
        <v>0.17777777777777778</v>
      </c>
      <c r="N11" s="234"/>
      <c r="O11" s="215">
        <f t="shared" ca="1" si="11"/>
        <v>8</v>
      </c>
      <c r="P11" s="216">
        <f t="shared" ca="1" si="12"/>
        <v>0.22857142857142856</v>
      </c>
      <c r="Q11" s="234"/>
      <c r="R11" s="215">
        <f t="shared" ca="1" si="13"/>
        <v>0</v>
      </c>
      <c r="S11" s="216" t="str">
        <f t="shared" ca="1" si="14"/>
        <v/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7"/>
        <v>8</v>
      </c>
      <c r="AE11" s="184"/>
      <c r="AF11" s="169">
        <f t="shared" si="2"/>
        <v>1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233</v>
      </c>
      <c r="AR11" s="207" t="s">
        <v>140</v>
      </c>
      <c r="AS11" s="207">
        <v>19</v>
      </c>
      <c r="AT11" s="207" t="s">
        <v>234</v>
      </c>
      <c r="AV11" s="168">
        <f t="shared" si="21"/>
        <v>14</v>
      </c>
      <c r="AW11" s="168">
        <f>COUNTIF( AV$7:AV11, AV11 )</f>
        <v>3</v>
      </c>
      <c r="AX11" s="208">
        <f t="shared" si="22"/>
        <v>14.3</v>
      </c>
      <c r="AY11" s="168">
        <f t="shared" si="23"/>
        <v>16</v>
      </c>
      <c r="AZ11" s="169"/>
      <c r="BA11" s="169"/>
      <c r="BC11" s="168">
        <f t="shared" ca="1" si="24"/>
        <v>5</v>
      </c>
      <c r="BD11" s="209">
        <f t="shared" ca="1" si="6"/>
        <v>12</v>
      </c>
      <c r="BF11" s="173" t="str">
        <f t="shared" ca="1" si="7"/>
        <v>Consolidated Edison,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ED</v>
      </c>
    </row>
    <row r="12" spans="1:61" ht="13.8" x14ac:dyDescent="0.25">
      <c r="A12" s="223" t="s">
        <v>263</v>
      </c>
      <c r="B12" s="224" t="s">
        <v>139</v>
      </c>
      <c r="C12" s="224">
        <v>20</v>
      </c>
      <c r="D12" s="224" t="s">
        <v>264</v>
      </c>
      <c r="E12" s="225" t="str">
        <f t="shared" ca="1" si="8"/>
        <v>R</v>
      </c>
      <c r="F12" s="348"/>
      <c r="G12" s="349">
        <f t="shared" ca="1" si="1"/>
        <v>19</v>
      </c>
      <c r="H12" s="350"/>
      <c r="I12" s="234"/>
      <c r="J12" s="215" t="s">
        <v>142</v>
      </c>
      <c r="K12" s="234"/>
      <c r="L12" s="215">
        <f t="shared" si="9"/>
        <v>4</v>
      </c>
      <c r="M12" s="216">
        <f t="shared" si="10"/>
        <v>8.8888888888888892E-2</v>
      </c>
      <c r="N12" s="234"/>
      <c r="O12" s="215">
        <f t="shared" ca="1" si="11"/>
        <v>3</v>
      </c>
      <c r="P12" s="216">
        <f t="shared" ca="1" si="12"/>
        <v>8.5714285714285715E-2</v>
      </c>
      <c r="Q12" s="234"/>
      <c r="R12" s="215">
        <f t="shared" ca="1" si="13"/>
        <v>1</v>
      </c>
      <c r="S12" s="216">
        <f t="shared" ca="1" si="14"/>
        <v>0.1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237</v>
      </c>
      <c r="Y12" s="186">
        <v>17</v>
      </c>
      <c r="Z12" s="186">
        <v>1</v>
      </c>
      <c r="AA12" s="185">
        <f t="shared" ca="1" si="17"/>
        <v>4</v>
      </c>
      <c r="AE12" s="184"/>
      <c r="AF12" s="169">
        <f t="shared" si="2"/>
        <v>1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238</v>
      </c>
      <c r="AR12" s="207" t="s">
        <v>141</v>
      </c>
      <c r="AS12" s="207">
        <v>18</v>
      </c>
      <c r="AT12" s="207" t="s">
        <v>239</v>
      </c>
      <c r="AV12" s="168">
        <f t="shared" si="21"/>
        <v>32</v>
      </c>
      <c r="AW12" s="168">
        <f>COUNTIF( AV$7:AV12, AV12 )</f>
        <v>1</v>
      </c>
      <c r="AX12" s="208">
        <f t="shared" si="22"/>
        <v>32.1</v>
      </c>
      <c r="AY12" s="168">
        <f t="shared" si="23"/>
        <v>32</v>
      </c>
      <c r="AZ12" s="169"/>
      <c r="BA12" s="169"/>
      <c r="BC12" s="168">
        <f t="shared" ca="1" si="24"/>
        <v>6</v>
      </c>
      <c r="BD12" s="209">
        <f t="shared" ca="1" si="6"/>
        <v>16</v>
      </c>
      <c r="BF12" s="173" t="str">
        <f t="shared" ca="1" si="7"/>
        <v>Duke Energy Corporation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DUK</v>
      </c>
    </row>
    <row r="13" spans="1:61" ht="13.8" x14ac:dyDescent="0.25">
      <c r="A13" s="223" t="s">
        <v>230</v>
      </c>
      <c r="B13" s="224" t="s">
        <v>139</v>
      </c>
      <c r="C13" s="224">
        <v>20</v>
      </c>
      <c r="D13" s="224" t="s">
        <v>231</v>
      </c>
      <c r="E13" s="225" t="str">
        <f t="shared" ca="1" si="8"/>
        <v>R</v>
      </c>
      <c r="F13" s="348"/>
      <c r="G13" s="349">
        <f t="shared" ca="1" si="1"/>
        <v>23</v>
      </c>
      <c r="H13" s="350"/>
      <c r="I13" s="235"/>
      <c r="J13" s="217" t="s">
        <v>143</v>
      </c>
      <c r="K13" s="235"/>
      <c r="L13" s="217">
        <f t="shared" si="9"/>
        <v>1</v>
      </c>
      <c r="M13" s="218">
        <f t="shared" si="10"/>
        <v>2.2222222222222223E-2</v>
      </c>
      <c r="N13" s="235"/>
      <c r="O13" s="217">
        <f t="shared" ca="1" si="11"/>
        <v>1</v>
      </c>
      <c r="P13" s="218">
        <f t="shared" ca="1" si="12"/>
        <v>2.8571428571428571E-2</v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242</v>
      </c>
      <c r="Y13" s="186">
        <v>16</v>
      </c>
      <c r="Z13" s="186">
        <v>1</v>
      </c>
      <c r="AA13" s="188">
        <f t="shared" ca="1" si="17"/>
        <v>1</v>
      </c>
      <c r="AE13" s="184"/>
      <c r="AF13" s="169">
        <f t="shared" si="2"/>
        <v>1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215</v>
      </c>
      <c r="AR13" s="207" t="s">
        <v>166</v>
      </c>
      <c r="AS13" s="207">
        <v>21</v>
      </c>
      <c r="AT13" s="207" t="s">
        <v>216</v>
      </c>
      <c r="AV13" s="168">
        <f t="shared" si="21"/>
        <v>2</v>
      </c>
      <c r="AW13" s="168">
        <f>COUNTIF( AV$7:AV13, AV13 )</f>
        <v>1</v>
      </c>
      <c r="AX13" s="208">
        <f t="shared" si="22"/>
        <v>2.1</v>
      </c>
      <c r="AY13" s="168">
        <f t="shared" si="23"/>
        <v>2</v>
      </c>
      <c r="AZ13" s="169"/>
      <c r="BA13" s="169"/>
      <c r="BC13" s="168">
        <f t="shared" ca="1" si="24"/>
        <v>7</v>
      </c>
      <c r="BD13" s="209">
        <f t="shared" ca="1" si="6"/>
        <v>20</v>
      </c>
      <c r="BF13" s="173" t="str">
        <f t="shared" ca="1" si="7"/>
        <v>Evergy, Inc.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EVRG</v>
      </c>
    </row>
    <row r="14" spans="1:61" ht="13.8" x14ac:dyDescent="0.25">
      <c r="A14" s="223" t="s">
        <v>240</v>
      </c>
      <c r="B14" s="224" t="s">
        <v>139</v>
      </c>
      <c r="C14" s="224">
        <v>20</v>
      </c>
      <c r="D14" s="224" t="s">
        <v>241</v>
      </c>
      <c r="E14" s="225" t="str">
        <f t="shared" ca="1" si="8"/>
        <v>MR</v>
      </c>
      <c r="F14" s="348"/>
      <c r="G14" s="349">
        <f t="shared" ca="1" si="1"/>
        <v>31</v>
      </c>
      <c r="H14" s="350"/>
      <c r="I14" s="236"/>
      <c r="J14" s="211" t="s">
        <v>144</v>
      </c>
      <c r="K14" s="236"/>
      <c r="L14" s="211">
        <f>SUM(L8:L13)</f>
        <v>45</v>
      </c>
      <c r="M14" s="212">
        <f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10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18.955555555555556</v>
      </c>
      <c r="Z14" s="190"/>
      <c r="AA14" s="189">
        <f ca="1">SUM(AA8:AA13)</f>
        <v>45</v>
      </c>
      <c r="AE14" s="184"/>
      <c r="AF14" s="169">
        <f t="shared" si="2"/>
        <v>1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245</v>
      </c>
      <c r="AR14" s="207" t="s">
        <v>140</v>
      </c>
      <c r="AS14" s="207">
        <v>19</v>
      </c>
      <c r="AT14" s="207" t="s">
        <v>246</v>
      </c>
      <c r="AV14" s="168">
        <f>IF( LEN( AS14 ) = 0, 99, RANK( AS14, $AS$7:$AS$63 ) )</f>
        <v>14</v>
      </c>
      <c r="AW14" s="168">
        <f>COUNTIF( AV$7:AV14, AV14 )</f>
        <v>4</v>
      </c>
      <c r="AX14" s="208">
        <f t="shared" si="22"/>
        <v>14.4</v>
      </c>
      <c r="AY14" s="168">
        <f t="shared" si="23"/>
        <v>17</v>
      </c>
      <c r="AZ14" s="169"/>
      <c r="BA14" s="169"/>
      <c r="BC14" s="168">
        <f t="shared" ca="1" si="24"/>
        <v>8</v>
      </c>
      <c r="BD14" s="209">
        <f t="shared" ca="1" si="6"/>
        <v>28</v>
      </c>
      <c r="BF14" s="173" t="str">
        <f t="shared" ca="1" si="7"/>
        <v>NextEra Energy,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NEE</v>
      </c>
    </row>
    <row r="15" spans="1:61" ht="13.8" x14ac:dyDescent="0.25">
      <c r="A15" s="223" t="s">
        <v>281</v>
      </c>
      <c r="B15" s="224" t="s">
        <v>139</v>
      </c>
      <c r="C15" s="224">
        <v>20</v>
      </c>
      <c r="D15" s="224" t="s">
        <v>282</v>
      </c>
      <c r="E15" s="225" t="str">
        <f t="shared" ca="1" si="8"/>
        <v>R</v>
      </c>
      <c r="F15" s="348"/>
      <c r="G15" s="349">
        <f t="shared" ca="1" si="1"/>
        <v>37</v>
      </c>
      <c r="H15" s="350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1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249</v>
      </c>
      <c r="AR15" s="207" t="s">
        <v>140</v>
      </c>
      <c r="AS15" s="207">
        <v>19</v>
      </c>
      <c r="AT15" s="207" t="s">
        <v>250</v>
      </c>
      <c r="AV15" s="168">
        <f t="shared" si="21"/>
        <v>14</v>
      </c>
      <c r="AW15" s="168">
        <f>COUNTIF( AV$7:AV15, AV15 )</f>
        <v>5</v>
      </c>
      <c r="AX15" s="208">
        <f t="shared" si="22"/>
        <v>14.5</v>
      </c>
      <c r="AY15" s="168">
        <f t="shared" si="23"/>
        <v>18</v>
      </c>
      <c r="AZ15" s="169"/>
      <c r="BA15" s="169"/>
      <c r="BC15" s="168">
        <f t="shared" ca="1" si="24"/>
        <v>9</v>
      </c>
      <c r="BD15" s="209">
        <f t="shared" ca="1" si="6"/>
        <v>34</v>
      </c>
      <c r="BF15" s="173" t="str">
        <f t="shared" ca="1" si="7"/>
        <v>Pinnacle West Capital Corporation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PNW</v>
      </c>
    </row>
    <row r="16" spans="1:61" ht="13.8" x14ac:dyDescent="0.25">
      <c r="A16" s="223" t="s">
        <v>243</v>
      </c>
      <c r="B16" s="224" t="s">
        <v>139</v>
      </c>
      <c r="C16" s="224">
        <v>20</v>
      </c>
      <c r="D16" s="224" t="s">
        <v>244</v>
      </c>
      <c r="E16" s="225" t="str">
        <f t="shared" ca="1" si="8"/>
        <v>R</v>
      </c>
      <c r="F16" s="348"/>
      <c r="G16" s="349">
        <f t="shared" ca="1" si="1"/>
        <v>40</v>
      </c>
      <c r="H16" s="350"/>
      <c r="I16" s="232"/>
      <c r="J16" s="210" t="s">
        <v>253</v>
      </c>
      <c r="K16" s="232"/>
      <c r="L16" s="386">
        <f t="array" ref="L16">SUM( IF( LEN( $C$7:$C$65 ) = 0, 0, $C$7:$C$65 ) ) / SUM( IF( LEN( $C$7:$C$65 ) = 0, 0, 1  ) )</f>
        <v>18.733333333333334</v>
      </c>
      <c r="M16" s="387"/>
      <c r="N16" s="232"/>
      <c r="O16" s="386">
        <f t="array" aca="1" ref="O16" ca="1">SUM( IF( LEN( $C$7:$C$65 ) = 0, 0, IF( $E$7:$E$65 = O3, $C$7:$C$65, 0 ) ) ) / SUM( IF( LEN( $C$7:$C$65 ) = 0, 0, IF( $E$7:$E$65 = O3, 1, 0 ) ) )</f>
        <v>18.62857142857143</v>
      </c>
      <c r="P16" s="387"/>
      <c r="Q16" s="232"/>
      <c r="R16" s="386">
        <f t="array" aca="1" ref="R16" ca="1">SUM( IF( LEN( $C$7:$C$65 ) = 0, 0, IF( $E$7:$E$65 = R3, $C$7:$C$65, 0 ) ) ) / SUM( IF( LEN( $C$7:$C$65 ) = 0, 0, IF( $E$7:$E$65 = R3, 1, 0 ) ) )</f>
        <v>19.100000000000001</v>
      </c>
      <c r="S16" s="387"/>
      <c r="T16" s="232"/>
      <c r="U16" s="386" t="e">
        <f t="array" aca="1" ref="U16" ca="1">SUM( IF( LEN( $C$7:$C$65 ) = 0, 0, IF( $E$7:$E$65 = U3, $C$7:$C$65, 0 ) ) ) / SUM( IF( LEN( $C$7:$C$65 ) = 0, 0, IF( $E$7:$E$65 = U3, 1, 0 ) ) )</f>
        <v>#DIV/0!</v>
      </c>
      <c r="V16" s="388"/>
      <c r="W16" s="232"/>
      <c r="AE16" s="184"/>
      <c r="AF16" s="169">
        <f t="shared" si="2"/>
        <v>1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254</v>
      </c>
      <c r="AR16" s="207" t="s">
        <v>142</v>
      </c>
      <c r="AS16" s="207">
        <v>17</v>
      </c>
      <c r="AT16" s="207" t="s">
        <v>255</v>
      </c>
      <c r="AV16" s="168">
        <f t="shared" si="21"/>
        <v>40</v>
      </c>
      <c r="AW16" s="168">
        <f>COUNTIF( AV$7:AV16, AV16 )</f>
        <v>1</v>
      </c>
      <c r="AX16" s="208">
        <f t="shared" si="22"/>
        <v>40.1</v>
      </c>
      <c r="AY16" s="168">
        <f t="shared" si="23"/>
        <v>40</v>
      </c>
      <c r="AZ16" s="169"/>
      <c r="BA16" s="169"/>
      <c r="BC16" s="168">
        <f t="shared" ca="1" si="24"/>
        <v>10</v>
      </c>
      <c r="BD16" s="209">
        <f t="shared" ca="1" si="6"/>
        <v>37</v>
      </c>
      <c r="BF16" s="173" t="str">
        <f t="shared" ca="1" si="7"/>
        <v>PPL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PPL</v>
      </c>
    </row>
    <row r="17" spans="1:61" ht="13.8" x14ac:dyDescent="0.25">
      <c r="A17" s="223" t="s">
        <v>293</v>
      </c>
      <c r="B17" s="224" t="s">
        <v>139</v>
      </c>
      <c r="C17" s="224">
        <v>20</v>
      </c>
      <c r="D17" s="224" t="s">
        <v>294</v>
      </c>
      <c r="E17" s="225" t="str">
        <f t="shared" ca="1" si="8"/>
        <v>R</v>
      </c>
      <c r="F17" s="348"/>
      <c r="G17" s="349">
        <f t="shared" ca="1" si="1"/>
        <v>43</v>
      </c>
      <c r="H17" s="350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1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256</v>
      </c>
      <c r="AR17" s="207" t="s">
        <v>140</v>
      </c>
      <c r="AS17" s="207">
        <v>19</v>
      </c>
      <c r="AT17" s="207" t="s">
        <v>257</v>
      </c>
      <c r="AV17" s="168">
        <f t="shared" si="21"/>
        <v>14</v>
      </c>
      <c r="AW17" s="168">
        <f>COUNTIF( AV$7:AV17, AV17 )</f>
        <v>6</v>
      </c>
      <c r="AX17" s="208">
        <f t="shared" si="22"/>
        <v>14.6</v>
      </c>
      <c r="AY17" s="168">
        <f t="shared" si="23"/>
        <v>19</v>
      </c>
      <c r="AZ17" s="169"/>
      <c r="BA17" s="169"/>
      <c r="BC17" s="168">
        <f t="shared" ca="1" si="24"/>
        <v>11</v>
      </c>
      <c r="BD17" s="209">
        <f t="shared" ca="1" si="6"/>
        <v>41</v>
      </c>
      <c r="BF17" s="173" t="str">
        <f t="shared" ca="1" si="7"/>
        <v>Southern Company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SO</v>
      </c>
    </row>
    <row r="18" spans="1:61" ht="13.8" x14ac:dyDescent="0.25">
      <c r="A18" s="223" t="s">
        <v>247</v>
      </c>
      <c r="B18" s="224" t="s">
        <v>139</v>
      </c>
      <c r="C18" s="224">
        <v>20</v>
      </c>
      <c r="D18" s="224" t="s">
        <v>248</v>
      </c>
      <c r="E18" s="225" t="str">
        <f t="shared" ca="1" si="8"/>
        <v>R</v>
      </c>
      <c r="F18" s="348"/>
      <c r="G18" s="349">
        <f t="shared" ca="1" si="1"/>
        <v>45</v>
      </c>
      <c r="H18" s="350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1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227</v>
      </c>
      <c r="AR18" s="207" t="s">
        <v>139</v>
      </c>
      <c r="AS18" s="207">
        <v>20</v>
      </c>
      <c r="AT18" s="207" t="s">
        <v>228</v>
      </c>
      <c r="AV18" s="168">
        <f t="shared" si="21"/>
        <v>3</v>
      </c>
      <c r="AW18" s="168">
        <f>COUNTIF( AV$7:AV18, AV18 )</f>
        <v>3</v>
      </c>
      <c r="AX18" s="208">
        <f t="shared" si="22"/>
        <v>3.3</v>
      </c>
      <c r="AY18" s="168">
        <f t="shared" si="23"/>
        <v>5</v>
      </c>
      <c r="AZ18" s="169"/>
      <c r="BA18" s="169"/>
      <c r="BC18" s="168">
        <f t="shared" ca="1" si="24"/>
        <v>12</v>
      </c>
      <c r="BD18" s="209">
        <f t="shared" ca="1" si="6"/>
        <v>43</v>
      </c>
      <c r="BF18" s="173" t="str">
        <f t="shared" ca="1" si="7"/>
        <v>Wisconsin Energy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WEC</v>
      </c>
    </row>
    <row r="19" spans="1:61" ht="13.8" x14ac:dyDescent="0.25">
      <c r="A19" s="223" t="s">
        <v>251</v>
      </c>
      <c r="B19" s="224" t="s">
        <v>139</v>
      </c>
      <c r="C19" s="224">
        <v>20</v>
      </c>
      <c r="D19" s="224" t="s">
        <v>252</v>
      </c>
      <c r="E19" s="225" t="str">
        <f t="shared" ca="1" si="8"/>
        <v>R</v>
      </c>
      <c r="F19" s="348"/>
      <c r="G19" s="349">
        <f t="shared" ca="1" si="1"/>
        <v>46</v>
      </c>
      <c r="H19" s="350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258</v>
      </c>
      <c r="AR19" s="207" t="s">
        <v>140</v>
      </c>
      <c r="AS19" s="207">
        <v>19</v>
      </c>
      <c r="AT19" s="207" t="s">
        <v>194</v>
      </c>
      <c r="AV19" s="168">
        <f t="shared" si="21"/>
        <v>14</v>
      </c>
      <c r="AW19" s="168">
        <f>COUNTIF( AV$7:AV19, AV19 )</f>
        <v>7</v>
      </c>
      <c r="AX19" s="208">
        <f t="shared" si="22"/>
        <v>14.7</v>
      </c>
      <c r="AY19" s="168">
        <f t="shared" si="23"/>
        <v>20</v>
      </c>
      <c r="AZ19" s="169"/>
      <c r="BA19" s="169"/>
      <c r="BC19" s="168">
        <f t="shared" ca="1" si="24"/>
        <v>13</v>
      </c>
      <c r="BD19" s="209">
        <f t="shared" ca="1" si="6"/>
        <v>44</v>
      </c>
      <c r="BF19" s="173" t="str">
        <f t="shared" ca="1" si="7"/>
        <v>Xcel Energy Inc.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XEL</v>
      </c>
    </row>
    <row r="20" spans="1:61" ht="13.8" x14ac:dyDescent="0.25">
      <c r="A20" s="223" t="s">
        <v>217</v>
      </c>
      <c r="B20" s="224" t="s">
        <v>140</v>
      </c>
      <c r="C20" s="224">
        <v>19</v>
      </c>
      <c r="D20" s="224" t="s">
        <v>218</v>
      </c>
      <c r="E20" s="225" t="str">
        <f t="shared" ca="1" si="8"/>
        <v>MR</v>
      </c>
      <c r="F20" s="348"/>
      <c r="G20" s="349">
        <f t="shared" ca="1" si="1"/>
        <v>7</v>
      </c>
      <c r="H20" s="350"/>
      <c r="I20" s="352"/>
      <c r="K20" s="352"/>
      <c r="N20" s="352"/>
      <c r="O20" s="173"/>
      <c r="Q20" s="352"/>
      <c r="T20" s="352"/>
      <c r="W20" s="352"/>
      <c r="AE20" s="184"/>
      <c r="AF20" s="169">
        <f t="shared" si="2"/>
        <v>0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4"/>
        <v/>
      </c>
      <c r="AQ20" s="207" t="s">
        <v>259</v>
      </c>
      <c r="AR20" s="207" t="s">
        <v>142</v>
      </c>
      <c r="AS20" s="207">
        <v>17</v>
      </c>
      <c r="AT20" s="207" t="s">
        <v>260</v>
      </c>
      <c r="AV20" s="168">
        <f t="shared" si="21"/>
        <v>40</v>
      </c>
      <c r="AW20" s="168">
        <f>COUNTIF( AV$7:AV20, AV20 )</f>
        <v>2</v>
      </c>
      <c r="AX20" s="208">
        <f t="shared" si="22"/>
        <v>40.200000000000003</v>
      </c>
      <c r="AY20" s="168">
        <f t="shared" si="23"/>
        <v>41</v>
      </c>
      <c r="AZ20" s="169"/>
      <c r="BA20" s="169"/>
      <c r="BC20" s="168">
        <f t="shared" ca="1" si="24"/>
        <v>14</v>
      </c>
      <c r="BD20" s="209">
        <f t="shared" ca="1" si="6"/>
        <v>1</v>
      </c>
      <c r="BF20" s="173" t="str">
        <f t="shared" ca="1" si="7"/>
        <v>ALLETE, Inc.</v>
      </c>
      <c r="BG20" s="173" t="str">
        <f t="shared" ca="1" si="7"/>
        <v>BBB+</v>
      </c>
      <c r="BH20" s="173">
        <f t="shared" ca="1" si="7"/>
        <v>19</v>
      </c>
      <c r="BI20" s="173" t="str">
        <f t="shared" ca="1" si="7"/>
        <v>ALE</v>
      </c>
    </row>
    <row r="21" spans="1:61" ht="13.8" x14ac:dyDescent="0.25">
      <c r="A21" s="223" t="s">
        <v>225</v>
      </c>
      <c r="B21" s="224" t="s">
        <v>140</v>
      </c>
      <c r="C21" s="224">
        <v>19</v>
      </c>
      <c r="D21" s="224" t="s">
        <v>226</v>
      </c>
      <c r="E21" s="225" t="str">
        <f t="shared" ca="1" si="8"/>
        <v>R</v>
      </c>
      <c r="F21" s="348"/>
      <c r="G21" s="349">
        <f t="shared" ca="1" si="1"/>
        <v>9</v>
      </c>
      <c r="H21" s="350"/>
      <c r="I21" s="237"/>
      <c r="K21" s="237"/>
      <c r="N21" s="237"/>
      <c r="Q21" s="237"/>
      <c r="T21" s="237"/>
      <c r="W21" s="237"/>
      <c r="AE21" s="184"/>
      <c r="AF21" s="169">
        <f t="shared" si="2"/>
        <v>0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261</v>
      </c>
      <c r="AR21" s="207" t="s">
        <v>140</v>
      </c>
      <c r="AS21" s="207">
        <v>19</v>
      </c>
      <c r="AT21" s="207" t="s">
        <v>262</v>
      </c>
      <c r="AV21" s="168">
        <f t="shared" si="21"/>
        <v>14</v>
      </c>
      <c r="AW21" s="168">
        <f>COUNTIF( AV$7:AV21, AV21 )</f>
        <v>8</v>
      </c>
      <c r="AX21" s="208">
        <f t="shared" si="22"/>
        <v>14.8</v>
      </c>
      <c r="AY21" s="168">
        <f t="shared" si="23"/>
        <v>21</v>
      </c>
      <c r="AZ21" s="169"/>
      <c r="BA21" s="169"/>
      <c r="BC21" s="168">
        <f t="shared" ca="1" si="24"/>
        <v>15</v>
      </c>
      <c r="BD21" s="209">
        <f t="shared" ca="1" si="6"/>
        <v>3</v>
      </c>
      <c r="BF21" s="173" t="str">
        <f t="shared" ca="1" si="7"/>
        <v>Ameren Corporation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AEE</v>
      </c>
    </row>
    <row r="22" spans="1:61" ht="13.8" x14ac:dyDescent="0.25">
      <c r="A22" s="223" t="s">
        <v>233</v>
      </c>
      <c r="B22" s="224" t="s">
        <v>140</v>
      </c>
      <c r="C22" s="224">
        <v>19</v>
      </c>
      <c r="D22" s="224" t="s">
        <v>234</v>
      </c>
      <c r="E22" s="225" t="str">
        <f t="shared" ca="1" si="8"/>
        <v>MR</v>
      </c>
      <c r="F22" s="348"/>
      <c r="G22" s="349">
        <f t="shared" ca="1" si="1"/>
        <v>11</v>
      </c>
      <c r="H22" s="350"/>
      <c r="I22" s="237"/>
      <c r="K22" s="237"/>
      <c r="N22" s="237"/>
      <c r="Q22" s="237"/>
      <c r="T22" s="237"/>
      <c r="W22" s="237"/>
      <c r="AE22" s="184"/>
      <c r="AF22" s="169">
        <f t="shared" si="2"/>
        <v>0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263</v>
      </c>
      <c r="AR22" s="207" t="s">
        <v>139</v>
      </c>
      <c r="AS22" s="207">
        <v>20</v>
      </c>
      <c r="AT22" s="207" t="s">
        <v>264</v>
      </c>
      <c r="AV22" s="168">
        <f t="shared" si="21"/>
        <v>3</v>
      </c>
      <c r="AW22" s="168">
        <f>COUNTIF( AV$7:AV22, AV22 )</f>
        <v>4</v>
      </c>
      <c r="AX22" s="208">
        <f t="shared" si="22"/>
        <v>3.4</v>
      </c>
      <c r="AY22" s="168">
        <f t="shared" si="23"/>
        <v>6</v>
      </c>
      <c r="AZ22" s="169"/>
      <c r="BA22" s="169"/>
      <c r="BC22" s="168">
        <f t="shared" ca="1" si="24"/>
        <v>16</v>
      </c>
      <c r="BD22" s="209">
        <f t="shared" ca="1" si="6"/>
        <v>5</v>
      </c>
      <c r="BF22" s="173" t="str">
        <f t="shared" ca="1" si="7"/>
        <v>AVANGRID, Inc.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AGR</v>
      </c>
    </row>
    <row r="23" spans="1:61" ht="13.8" x14ac:dyDescent="0.25">
      <c r="A23" s="223" t="s">
        <v>245</v>
      </c>
      <c r="B23" s="224" t="s">
        <v>140</v>
      </c>
      <c r="C23" s="224">
        <v>19</v>
      </c>
      <c r="D23" s="224" t="s">
        <v>246</v>
      </c>
      <c r="E23" s="225" t="str">
        <f t="shared" ca="1" si="8"/>
        <v>R</v>
      </c>
      <c r="F23" s="348"/>
      <c r="G23" s="349">
        <f t="shared" ca="1" si="1"/>
        <v>13</v>
      </c>
      <c r="H23" s="350"/>
      <c r="I23" s="237"/>
      <c r="K23" s="237"/>
      <c r="N23" s="237"/>
      <c r="Q23" s="237"/>
      <c r="T23" s="237"/>
      <c r="W23" s="237"/>
      <c r="AE23" s="184"/>
      <c r="AF23" s="169">
        <f t="shared" si="2"/>
        <v>0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265</v>
      </c>
      <c r="AR23" s="207" t="s">
        <v>141</v>
      </c>
      <c r="AS23" s="207">
        <v>18</v>
      </c>
      <c r="AT23" s="207" t="s">
        <v>266</v>
      </c>
      <c r="AV23" s="168">
        <f t="shared" si="21"/>
        <v>32</v>
      </c>
      <c r="AW23" s="168">
        <f>COUNTIF( AV$7:AV23, AV23 )</f>
        <v>2</v>
      </c>
      <c r="AX23" s="208">
        <f t="shared" si="22"/>
        <v>32.200000000000003</v>
      </c>
      <c r="AY23" s="168">
        <f t="shared" si="23"/>
        <v>33</v>
      </c>
      <c r="AZ23" s="169"/>
      <c r="BA23" s="169"/>
      <c r="BC23" s="168">
        <f t="shared" ca="1" si="24"/>
        <v>17</v>
      </c>
      <c r="BD23" s="209">
        <f t="shared" ca="1" si="6"/>
        <v>8</v>
      </c>
      <c r="BF23" s="173" t="str">
        <f t="shared" ca="1" si="7"/>
        <v>Black Hills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BKH</v>
      </c>
    </row>
    <row r="24" spans="1:61" ht="13.8" x14ac:dyDescent="0.25">
      <c r="A24" s="223" t="s">
        <v>249</v>
      </c>
      <c r="B24" s="224" t="s">
        <v>140</v>
      </c>
      <c r="C24" s="224">
        <v>19</v>
      </c>
      <c r="D24" s="224" t="s">
        <v>250</v>
      </c>
      <c r="E24" s="225" t="str">
        <f t="shared" ca="1" si="8"/>
        <v>MR</v>
      </c>
      <c r="F24" s="348"/>
      <c r="G24" s="349">
        <f t="shared" ca="1" si="1"/>
        <v>14</v>
      </c>
      <c r="H24" s="350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0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328</v>
      </c>
      <c r="AR24" s="207" t="s">
        <v>141</v>
      </c>
      <c r="AS24" s="207">
        <v>18</v>
      </c>
      <c r="AT24" s="207" t="s">
        <v>331</v>
      </c>
      <c r="AV24" s="168">
        <f t="shared" si="21"/>
        <v>32</v>
      </c>
      <c r="AW24" s="168">
        <f>COUNTIF( AV$7:AV24, AV24 )</f>
        <v>3</v>
      </c>
      <c r="AX24" s="208">
        <f t="shared" si="22"/>
        <v>32.299999999999997</v>
      </c>
      <c r="AY24" s="168">
        <f t="shared" si="23"/>
        <v>34</v>
      </c>
      <c r="AZ24" s="169"/>
      <c r="BA24" s="169"/>
      <c r="BC24" s="168">
        <f t="shared" ca="1" si="24"/>
        <v>18</v>
      </c>
      <c r="BD24" s="209">
        <f t="shared" ca="1" si="6"/>
        <v>9</v>
      </c>
      <c r="BF24" s="173" t="str">
        <f t="shared" ca="1" si="7"/>
        <v>CenterPoint Energy, Inc.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CNP</v>
      </c>
    </row>
    <row r="25" spans="1:61" ht="13.8" x14ac:dyDescent="0.25">
      <c r="A25" s="223" t="s">
        <v>256</v>
      </c>
      <c r="B25" s="224" t="s">
        <v>140</v>
      </c>
      <c r="C25" s="224">
        <v>19</v>
      </c>
      <c r="D25" s="224" t="s">
        <v>257</v>
      </c>
      <c r="E25" s="225" t="str">
        <f t="shared" ca="1" si="8"/>
        <v>R</v>
      </c>
      <c r="F25" s="348"/>
      <c r="G25" s="349">
        <f t="shared" ca="1" si="1"/>
        <v>15</v>
      </c>
      <c r="H25" s="350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0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267</v>
      </c>
      <c r="AR25" s="207" t="s">
        <v>140</v>
      </c>
      <c r="AS25" s="207">
        <v>19</v>
      </c>
      <c r="AT25" s="207" t="s">
        <v>268</v>
      </c>
      <c r="AV25" s="168">
        <f t="shared" si="21"/>
        <v>14</v>
      </c>
      <c r="AW25" s="168">
        <f>COUNTIF( AV$7:AV25, AV25 )</f>
        <v>9</v>
      </c>
      <c r="AX25" s="208">
        <f t="shared" si="22"/>
        <v>14.9</v>
      </c>
      <c r="AY25" s="168">
        <f t="shared" si="23"/>
        <v>22</v>
      </c>
      <c r="AZ25" s="169"/>
      <c r="BA25" s="169"/>
      <c r="BC25" s="168">
        <f t="shared" ca="1" si="24"/>
        <v>19</v>
      </c>
      <c r="BD25" s="209">
        <f t="shared" ca="1" si="6"/>
        <v>11</v>
      </c>
      <c r="BF25" s="173" t="str">
        <f t="shared" ca="1" si="7"/>
        <v>CMS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CMS</v>
      </c>
    </row>
    <row r="26" spans="1:61" ht="13.8" x14ac:dyDescent="0.25">
      <c r="A26" s="223" t="s">
        <v>258</v>
      </c>
      <c r="B26" s="224" t="s">
        <v>140</v>
      </c>
      <c r="C26" s="224">
        <v>19</v>
      </c>
      <c r="D26" s="224" t="s">
        <v>194</v>
      </c>
      <c r="E26" s="225" t="str">
        <f t="shared" ca="1" si="8"/>
        <v>R</v>
      </c>
      <c r="F26" s="348"/>
      <c r="G26" s="349">
        <f t="shared" ca="1" si="1"/>
        <v>17</v>
      </c>
      <c r="H26" s="350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0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230</v>
      </c>
      <c r="AR26" s="207" t="s">
        <v>139</v>
      </c>
      <c r="AS26" s="207">
        <v>20</v>
      </c>
      <c r="AT26" s="207" t="s">
        <v>231</v>
      </c>
      <c r="AV26" s="168">
        <f t="shared" si="21"/>
        <v>3</v>
      </c>
      <c r="AW26" s="168">
        <f>COUNTIF( AV$7:AV26, AV26 )</f>
        <v>5</v>
      </c>
      <c r="AX26" s="208">
        <f t="shared" si="22"/>
        <v>3.5</v>
      </c>
      <c r="AY26" s="168">
        <f t="shared" si="23"/>
        <v>7</v>
      </c>
      <c r="AZ26" s="169"/>
      <c r="BA26" s="169"/>
      <c r="BC26" s="168">
        <f t="shared" ca="1" si="24"/>
        <v>20</v>
      </c>
      <c r="BD26" s="209">
        <f t="shared" ca="1" si="6"/>
        <v>13</v>
      </c>
      <c r="BF26" s="173" t="str">
        <f t="shared" ca="1" si="7"/>
        <v>Dominion Energy, Inc.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</v>
      </c>
    </row>
    <row r="27" spans="1:61" ht="13.8" x14ac:dyDescent="0.25">
      <c r="A27" s="223" t="s">
        <v>261</v>
      </c>
      <c r="B27" s="224" t="s">
        <v>140</v>
      </c>
      <c r="C27" s="224">
        <v>19</v>
      </c>
      <c r="D27" s="224" t="s">
        <v>262</v>
      </c>
      <c r="E27" s="225" t="str">
        <f t="shared" ca="1" si="8"/>
        <v>MR</v>
      </c>
      <c r="F27" s="348"/>
      <c r="G27" s="349">
        <f t="shared" ca="1" si="1"/>
        <v>18</v>
      </c>
      <c r="H27" s="350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0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235</v>
      </c>
      <c r="AR27" s="207" t="s">
        <v>164</v>
      </c>
      <c r="AS27" s="207">
        <v>22</v>
      </c>
      <c r="AT27" s="207" t="s">
        <v>236</v>
      </c>
      <c r="AV27" s="168">
        <f t="shared" si="21"/>
        <v>1</v>
      </c>
      <c r="AW27" s="168">
        <f>COUNTIF( AV$7:AV27, AV27 )</f>
        <v>1</v>
      </c>
      <c r="AX27" s="208">
        <f t="shared" si="22"/>
        <v>1.1000000000000001</v>
      </c>
      <c r="AY27" s="168">
        <f t="shared" si="23"/>
        <v>1</v>
      </c>
      <c r="AZ27" s="169"/>
      <c r="BA27" s="169"/>
      <c r="BC27" s="168">
        <f t="shared" ca="1" si="24"/>
        <v>21</v>
      </c>
      <c r="BD27" s="209">
        <f t="shared" ca="1" si="6"/>
        <v>15</v>
      </c>
      <c r="BF27" s="173" t="str">
        <f t="shared" ca="1" si="7"/>
        <v>DTE Energy Company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DTE</v>
      </c>
    </row>
    <row r="28" spans="1:61" ht="13.8" x14ac:dyDescent="0.25">
      <c r="A28" s="223" t="s">
        <v>267</v>
      </c>
      <c r="B28" s="224" t="s">
        <v>140</v>
      </c>
      <c r="C28" s="224">
        <v>19</v>
      </c>
      <c r="D28" s="224" t="s">
        <v>268</v>
      </c>
      <c r="E28" s="225" t="str">
        <f t="shared" ca="1" si="8"/>
        <v>R</v>
      </c>
      <c r="F28" s="348"/>
      <c r="G28" s="349">
        <f t="shared" ca="1" si="1"/>
        <v>22</v>
      </c>
      <c r="H28" s="350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0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269</v>
      </c>
      <c r="AR28" s="207" t="s">
        <v>140</v>
      </c>
      <c r="AS28" s="207">
        <v>19</v>
      </c>
      <c r="AT28" s="207" t="s">
        <v>270</v>
      </c>
      <c r="AV28" s="168">
        <f t="shared" si="21"/>
        <v>14</v>
      </c>
      <c r="AW28" s="168">
        <f>COUNTIF( AV$7:AV28, AV28 )</f>
        <v>10</v>
      </c>
      <c r="AX28" s="208">
        <f t="shared" si="22"/>
        <v>15</v>
      </c>
      <c r="AY28" s="168">
        <f t="shared" si="23"/>
        <v>23</v>
      </c>
      <c r="AZ28" s="169"/>
      <c r="BA28" s="169"/>
      <c r="BC28" s="168">
        <f t="shared" ca="1" si="24"/>
        <v>22</v>
      </c>
      <c r="BD28" s="209">
        <f t="shared" ca="1" si="6"/>
        <v>19</v>
      </c>
      <c r="BF28" s="173" t="str">
        <f t="shared" ca="1" si="7"/>
        <v>Entergy Corporation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ETR</v>
      </c>
    </row>
    <row r="29" spans="1:61" ht="13.8" x14ac:dyDescent="0.25">
      <c r="A29" s="223" t="s">
        <v>269</v>
      </c>
      <c r="B29" s="224" t="s">
        <v>140</v>
      </c>
      <c r="C29" s="224">
        <v>19</v>
      </c>
      <c r="D29" s="224" t="s">
        <v>270</v>
      </c>
      <c r="E29" s="225" t="str">
        <f t="shared" ca="1" si="8"/>
        <v>MR</v>
      </c>
      <c r="F29" s="348"/>
      <c r="G29" s="349">
        <f t="shared" ca="1" si="1"/>
        <v>25</v>
      </c>
      <c r="H29" s="350"/>
      <c r="I29" s="237"/>
      <c r="J29" s="191"/>
      <c r="K29" s="237"/>
      <c r="N29" s="237"/>
      <c r="Q29" s="237"/>
      <c r="T29" s="237"/>
      <c r="W29" s="237"/>
      <c r="AF29" s="169">
        <f t="shared" si="2"/>
        <v>0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275</v>
      </c>
      <c r="AR29" s="207" t="s">
        <v>141</v>
      </c>
      <c r="AS29" s="207">
        <v>18</v>
      </c>
      <c r="AT29" s="207" t="s">
        <v>276</v>
      </c>
      <c r="AV29" s="168">
        <f t="shared" si="21"/>
        <v>32</v>
      </c>
      <c r="AW29" s="168">
        <f>COUNTIF( AV$7:AV29, AV29 )</f>
        <v>4</v>
      </c>
      <c r="AX29" s="208">
        <f t="shared" si="22"/>
        <v>32.4</v>
      </c>
      <c r="AY29" s="168">
        <f t="shared" si="23"/>
        <v>35</v>
      </c>
      <c r="AZ29" s="169"/>
      <c r="BA29" s="169"/>
      <c r="BC29" s="168">
        <f t="shared" ca="1" si="24"/>
        <v>23</v>
      </c>
      <c r="BD29" s="209">
        <f t="shared" ca="1" si="6"/>
        <v>22</v>
      </c>
      <c r="BF29" s="173" t="str">
        <f t="shared" ca="1" si="7"/>
        <v>Exelon Corporation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EXC</v>
      </c>
    </row>
    <row r="30" spans="1:61" ht="13.8" x14ac:dyDescent="0.25">
      <c r="A30" s="223" t="s">
        <v>271</v>
      </c>
      <c r="B30" s="224" t="s">
        <v>140</v>
      </c>
      <c r="C30" s="224">
        <v>19</v>
      </c>
      <c r="D30" s="224" t="s">
        <v>272</v>
      </c>
      <c r="E30" s="225" t="str">
        <f t="shared" ca="1" si="8"/>
        <v>MR</v>
      </c>
      <c r="F30" s="348"/>
      <c r="G30" s="349">
        <f t="shared" ca="1" si="1"/>
        <v>29</v>
      </c>
      <c r="H30" s="350"/>
      <c r="I30" s="237"/>
      <c r="J30" s="191"/>
      <c r="K30" s="237"/>
      <c r="N30" s="237"/>
      <c r="Q30" s="237"/>
      <c r="T30" s="237"/>
      <c r="W30" s="237"/>
      <c r="AF30" s="169">
        <f t="shared" si="2"/>
        <v>0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279</v>
      </c>
      <c r="AR30" s="207" t="s">
        <v>142</v>
      </c>
      <c r="AS30" s="207">
        <v>17</v>
      </c>
      <c r="AT30" s="207" t="s">
        <v>280</v>
      </c>
      <c r="AV30" s="168">
        <f t="shared" si="21"/>
        <v>40</v>
      </c>
      <c r="AW30" s="168">
        <f>COUNTIF( AV$7:AV30, AV30 )</f>
        <v>3</v>
      </c>
      <c r="AX30" s="208">
        <f t="shared" si="22"/>
        <v>40.299999999999997</v>
      </c>
      <c r="AY30" s="168">
        <f t="shared" si="23"/>
        <v>42</v>
      </c>
      <c r="AZ30" s="169"/>
      <c r="BA30" s="169"/>
      <c r="BC30" s="168">
        <f t="shared" ca="1" si="24"/>
        <v>24</v>
      </c>
      <c r="BD30" s="209">
        <f t="shared" ca="1" si="6"/>
        <v>27</v>
      </c>
      <c r="BF30" s="173" t="str">
        <f t="shared" ca="1" si="7"/>
        <v>MDU Resources Group,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MDU</v>
      </c>
    </row>
    <row r="31" spans="1:61" ht="13.8" x14ac:dyDescent="0.25">
      <c r="A31" s="223" t="s">
        <v>273</v>
      </c>
      <c r="B31" s="224" t="s">
        <v>140</v>
      </c>
      <c r="C31" s="224">
        <v>19</v>
      </c>
      <c r="D31" s="224" t="s">
        <v>274</v>
      </c>
      <c r="E31" s="225" t="str">
        <f t="shared" ca="1" si="8"/>
        <v>R</v>
      </c>
      <c r="F31" s="348"/>
      <c r="G31" s="349">
        <f t="shared" ca="1" si="1"/>
        <v>32</v>
      </c>
      <c r="H31" s="350"/>
      <c r="I31" s="237"/>
      <c r="J31" s="191"/>
      <c r="K31" s="237"/>
      <c r="N31" s="237"/>
      <c r="O31" s="351"/>
      <c r="Q31" s="237"/>
      <c r="T31" s="237"/>
      <c r="W31" s="237"/>
      <c r="AF31" s="169">
        <f t="shared" si="2"/>
        <v>0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283</v>
      </c>
      <c r="AR31" s="207" t="s">
        <v>141</v>
      </c>
      <c r="AS31" s="207">
        <v>18</v>
      </c>
      <c r="AT31" s="207" t="s">
        <v>284</v>
      </c>
      <c r="AV31" s="168">
        <f t="shared" si="21"/>
        <v>32</v>
      </c>
      <c r="AW31" s="168">
        <f>COUNTIF( AV$7:AV31, AV31 )</f>
        <v>5</v>
      </c>
      <c r="AX31" s="208">
        <f t="shared" si="22"/>
        <v>32.5</v>
      </c>
      <c r="AY31" s="168">
        <f t="shared" si="23"/>
        <v>36</v>
      </c>
      <c r="AZ31" s="169"/>
      <c r="BA31" s="169"/>
      <c r="BC31" s="168">
        <f t="shared" ca="1" si="24"/>
        <v>25</v>
      </c>
      <c r="BD31" s="209">
        <f t="shared" ca="1" si="6"/>
        <v>29</v>
      </c>
      <c r="BF31" s="173" t="str">
        <f t="shared" ca="1" si="7"/>
        <v>NiSource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NI</v>
      </c>
    </row>
    <row r="32" spans="1:61" ht="13.8" x14ac:dyDescent="0.25">
      <c r="A32" s="223" t="s">
        <v>277</v>
      </c>
      <c r="B32" s="224" t="s">
        <v>140</v>
      </c>
      <c r="C32" s="224">
        <v>19</v>
      </c>
      <c r="D32" s="224" t="s">
        <v>278</v>
      </c>
      <c r="E32" s="225" t="str">
        <f t="shared" ca="1" si="8"/>
        <v>R</v>
      </c>
      <c r="F32" s="348"/>
      <c r="G32" s="349">
        <f t="shared" ca="1" si="1"/>
        <v>34</v>
      </c>
      <c r="H32" s="350"/>
      <c r="I32" s="237"/>
      <c r="J32" s="191"/>
      <c r="K32" s="237"/>
      <c r="N32" s="237"/>
      <c r="Q32" s="237"/>
      <c r="T32" s="237"/>
      <c r="W32" s="237"/>
      <c r="AF32" s="169">
        <f t="shared" si="2"/>
        <v>0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32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287</v>
      </c>
      <c r="AR32" s="207" t="s">
        <v>141</v>
      </c>
      <c r="AS32" s="207">
        <v>18</v>
      </c>
      <c r="AT32" s="207" t="s">
        <v>288</v>
      </c>
      <c r="AV32" s="168">
        <f t="shared" si="21"/>
        <v>32</v>
      </c>
      <c r="AW32" s="168">
        <f>COUNTIF( AV$7:AV32, AV32 )</f>
        <v>6</v>
      </c>
      <c r="AX32" s="208">
        <f t="shared" si="22"/>
        <v>32.6</v>
      </c>
      <c r="AY32" s="168">
        <f t="shared" si="23"/>
        <v>37</v>
      </c>
      <c r="AZ32" s="169"/>
      <c r="BA32" s="169"/>
      <c r="BC32" s="168">
        <f t="shared" ca="1" si="24"/>
        <v>26</v>
      </c>
      <c r="BD32" s="209">
        <f t="shared" ca="1" si="6"/>
        <v>31</v>
      </c>
      <c r="BF32" s="173" t="str">
        <f t="shared" ca="1" si="7"/>
        <v>OGE Energy Corp.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OGE</v>
      </c>
    </row>
    <row r="33" spans="1:61" ht="13.8" x14ac:dyDescent="0.25">
      <c r="A33" s="223" t="s">
        <v>303</v>
      </c>
      <c r="B33" s="224" t="s">
        <v>140</v>
      </c>
      <c r="C33" s="224">
        <v>19</v>
      </c>
      <c r="D33" s="224" t="s">
        <v>304</v>
      </c>
      <c r="E33" s="225" t="str">
        <f t="shared" ca="1" si="8"/>
        <v>R</v>
      </c>
      <c r="F33" s="348"/>
      <c r="G33" s="349">
        <f t="shared" ca="1" si="1"/>
        <v>38</v>
      </c>
      <c r="H33" s="350"/>
      <c r="I33" s="237"/>
      <c r="J33" s="191"/>
      <c r="K33" s="237"/>
      <c r="N33" s="237"/>
      <c r="Q33" s="237"/>
      <c r="T33" s="237"/>
      <c r="W33" s="237"/>
      <c r="AF33" s="169">
        <f t="shared" si="2"/>
        <v>0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33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271</v>
      </c>
      <c r="AR33" s="207" t="s">
        <v>140</v>
      </c>
      <c r="AS33" s="207">
        <v>19</v>
      </c>
      <c r="AT33" s="207" t="s">
        <v>272</v>
      </c>
      <c r="AV33" s="168">
        <f t="shared" si="21"/>
        <v>14</v>
      </c>
      <c r="AW33" s="168">
        <f>COUNTIF( AV$7:AV33, AV33 )</f>
        <v>11</v>
      </c>
      <c r="AX33" s="208">
        <f t="shared" si="22"/>
        <v>15.1</v>
      </c>
      <c r="AY33" s="168">
        <f t="shared" si="23"/>
        <v>24</v>
      </c>
      <c r="AZ33" s="169"/>
      <c r="BA33" s="169"/>
      <c r="BC33" s="168">
        <f t="shared" ca="1" si="24"/>
        <v>27</v>
      </c>
      <c r="BD33" s="209">
        <f t="shared" ca="1" si="6"/>
        <v>35</v>
      </c>
      <c r="BF33" s="173" t="str">
        <f t="shared" ca="1" si="7"/>
        <v>PNM Resources, Inc.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PNM</v>
      </c>
    </row>
    <row r="34" spans="1:61" ht="13.8" x14ac:dyDescent="0.25">
      <c r="A34" s="223" t="s">
        <v>285</v>
      </c>
      <c r="B34" s="224" t="s">
        <v>140</v>
      </c>
      <c r="C34" s="224">
        <v>19</v>
      </c>
      <c r="D34" s="224" t="s">
        <v>286</v>
      </c>
      <c r="E34" s="225" t="str">
        <f t="shared" ca="1" si="8"/>
        <v>R</v>
      </c>
      <c r="F34" s="348"/>
      <c r="G34" s="349">
        <f t="shared" ca="1" si="1"/>
        <v>39</v>
      </c>
      <c r="H34" s="350"/>
      <c r="I34" s="237"/>
      <c r="J34" s="191"/>
      <c r="K34" s="237"/>
      <c r="N34" s="237"/>
      <c r="Q34" s="237"/>
      <c r="T34" s="237"/>
      <c r="W34" s="237"/>
      <c r="AF34" s="169">
        <f t="shared" si="2"/>
        <v>0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34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240</v>
      </c>
      <c r="AR34" s="207" t="s">
        <v>139</v>
      </c>
      <c r="AS34" s="207">
        <v>20</v>
      </c>
      <c r="AT34" s="207" t="s">
        <v>241</v>
      </c>
      <c r="AV34" s="168">
        <f t="shared" si="21"/>
        <v>3</v>
      </c>
      <c r="AW34" s="168">
        <f>COUNTIF( AV$7:AV34, AV34 )</f>
        <v>6</v>
      </c>
      <c r="AX34" s="208">
        <f t="shared" si="22"/>
        <v>3.6</v>
      </c>
      <c r="AY34" s="168">
        <f t="shared" si="23"/>
        <v>8</v>
      </c>
      <c r="AZ34" s="169"/>
      <c r="BA34" s="169"/>
      <c r="BC34" s="168">
        <f t="shared" ca="1" si="24"/>
        <v>28</v>
      </c>
      <c r="BD34" s="209">
        <f t="shared" ca="1" si="6"/>
        <v>36</v>
      </c>
      <c r="BF34" s="173" t="str">
        <f t="shared" ca="1" si="7"/>
        <v>Portland General Electric Company</v>
      </c>
      <c r="BG34" s="173" t="str">
        <f t="shared" ca="1" si="7"/>
        <v>BBB+</v>
      </c>
      <c r="BH34" s="173">
        <f t="shared" ca="1" si="7"/>
        <v>19</v>
      </c>
      <c r="BI34" s="173" t="str">
        <f ca="1">OFFSET( AT$6, $BD34, 0 )</f>
        <v>POR</v>
      </c>
    </row>
    <row r="35" spans="1:61" ht="13.8" x14ac:dyDescent="0.25">
      <c r="A35" s="223" t="s">
        <v>289</v>
      </c>
      <c r="B35" s="224" t="s">
        <v>140</v>
      </c>
      <c r="C35" s="224">
        <v>19</v>
      </c>
      <c r="D35" s="224" t="s">
        <v>290</v>
      </c>
      <c r="E35" s="225" t="str">
        <f t="shared" ca="1" si="8"/>
        <v>MR</v>
      </c>
      <c r="F35" s="348"/>
      <c r="G35" s="349">
        <f t="shared" ca="1" si="1"/>
        <v>41</v>
      </c>
      <c r="H35" s="350"/>
      <c r="I35" s="237"/>
      <c r="K35" s="237"/>
      <c r="N35" s="237"/>
      <c r="Q35" s="237"/>
      <c r="T35" s="237"/>
      <c r="W35" s="237"/>
      <c r="AF35" s="169">
        <f t="shared" si="2"/>
        <v>0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35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273</v>
      </c>
      <c r="AR35" s="207" t="s">
        <v>140</v>
      </c>
      <c r="AS35" s="207">
        <v>19</v>
      </c>
      <c r="AT35" s="207" t="s">
        <v>274</v>
      </c>
      <c r="AV35" s="168">
        <f t="shared" si="21"/>
        <v>14</v>
      </c>
      <c r="AW35" s="168">
        <f>COUNTIF( AV$7:AV35, AV35 )</f>
        <v>12</v>
      </c>
      <c r="AX35" s="208">
        <f t="shared" si="22"/>
        <v>15.2</v>
      </c>
      <c r="AY35" s="168">
        <f t="shared" si="23"/>
        <v>25</v>
      </c>
      <c r="AZ35" s="169"/>
      <c r="BA35" s="169"/>
      <c r="BC35" s="168">
        <f t="shared" ca="1" si="24"/>
        <v>29</v>
      </c>
      <c r="BD35" s="209">
        <f t="shared" ca="1" si="6"/>
        <v>38</v>
      </c>
      <c r="BF35" s="173" t="str">
        <f t="shared" ca="1" si="7"/>
        <v>Public Service Enterprise Group Incorporated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PEG</v>
      </c>
    </row>
    <row r="36" spans="1:61" ht="13.8" x14ac:dyDescent="0.25">
      <c r="A36" s="223" t="s">
        <v>291</v>
      </c>
      <c r="B36" s="224" t="s">
        <v>140</v>
      </c>
      <c r="C36" s="224">
        <v>19</v>
      </c>
      <c r="D36" s="224" t="s">
        <v>292</v>
      </c>
      <c r="E36" s="225" t="str">
        <f t="shared" ca="1" si="8"/>
        <v>R</v>
      </c>
      <c r="F36" s="348"/>
      <c r="G36" s="349">
        <f t="shared" ca="1" si="1"/>
        <v>42</v>
      </c>
      <c r="H36" s="350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36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297</v>
      </c>
      <c r="AR36" s="207" t="s">
        <v>141</v>
      </c>
      <c r="AS36" s="207">
        <v>18</v>
      </c>
      <c r="AT36" s="207" t="s">
        <v>298</v>
      </c>
      <c r="AV36" s="168">
        <f t="shared" si="21"/>
        <v>32</v>
      </c>
      <c r="AW36" s="168">
        <f>COUNTIF( AV$7:AV36, AV36 )</f>
        <v>7</v>
      </c>
      <c r="AX36" s="208">
        <f t="shared" si="22"/>
        <v>32.700000000000003</v>
      </c>
      <c r="AY36" s="168">
        <f t="shared" si="23"/>
        <v>38</v>
      </c>
      <c r="AZ36" s="169"/>
      <c r="BA36" s="169"/>
      <c r="BC36" s="168">
        <f t="shared" ca="1" si="24"/>
        <v>30</v>
      </c>
      <c r="BD36" s="209">
        <f t="shared" ca="1" si="6"/>
        <v>40</v>
      </c>
      <c r="BF36" s="173" t="str">
        <f t="shared" ca="1" si="7"/>
        <v>Sempra Energy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SRE</v>
      </c>
    </row>
    <row r="37" spans="1:61" ht="13.8" x14ac:dyDescent="0.25">
      <c r="A37" s="223" t="s">
        <v>295</v>
      </c>
      <c r="B37" s="224" t="s">
        <v>140</v>
      </c>
      <c r="C37" s="224">
        <v>19</v>
      </c>
      <c r="D37" s="224" t="s">
        <v>296</v>
      </c>
      <c r="E37" s="225" t="str">
        <f t="shared" ca="1" si="8"/>
        <v>R</v>
      </c>
      <c r="F37" s="348"/>
      <c r="G37" s="349">
        <f t="shared" ca="1" si="1"/>
        <v>44</v>
      </c>
      <c r="H37" s="350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37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277</v>
      </c>
      <c r="AR37" s="207" t="s">
        <v>140</v>
      </c>
      <c r="AS37" s="207">
        <v>19</v>
      </c>
      <c r="AT37" s="207" t="s">
        <v>278</v>
      </c>
      <c r="AV37" s="168">
        <f t="shared" si="21"/>
        <v>14</v>
      </c>
      <c r="AW37" s="168">
        <f>COUNTIF( AV$7:AV37, AV37 )</f>
        <v>13</v>
      </c>
      <c r="AX37" s="208">
        <f t="shared" si="22"/>
        <v>15.3</v>
      </c>
      <c r="AY37" s="168">
        <f t="shared" si="23"/>
        <v>26</v>
      </c>
      <c r="AZ37" s="169"/>
      <c r="BA37" s="169"/>
      <c r="BC37" s="168">
        <f t="shared" ca="1" si="24"/>
        <v>31</v>
      </c>
      <c r="BD37" s="209">
        <f t="shared" ca="1" si="6"/>
        <v>42</v>
      </c>
      <c r="BF37" s="173" t="str">
        <f t="shared" ca="1" si="7"/>
        <v>Unitil Corporation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UTL</v>
      </c>
    </row>
    <row r="38" spans="1:61" ht="13.8" x14ac:dyDescent="0.25">
      <c r="A38" s="223" t="s">
        <v>238</v>
      </c>
      <c r="B38" s="224" t="s">
        <v>141</v>
      </c>
      <c r="C38" s="224">
        <v>18</v>
      </c>
      <c r="D38" s="224" t="s">
        <v>239</v>
      </c>
      <c r="E38" s="225" t="str">
        <f t="shared" ca="1" si="8"/>
        <v>R</v>
      </c>
      <c r="F38" s="348"/>
      <c r="G38" s="349">
        <f t="shared" ca="1" si="1"/>
        <v>12</v>
      </c>
      <c r="H38" s="350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1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38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299</v>
      </c>
      <c r="AR38" s="207" t="s">
        <v>141</v>
      </c>
      <c r="AS38" s="207">
        <v>18</v>
      </c>
      <c r="AT38" s="207" t="s">
        <v>300</v>
      </c>
      <c r="AV38" s="168">
        <f t="shared" si="21"/>
        <v>32</v>
      </c>
      <c r="AW38" s="168">
        <f>COUNTIF( AV$7:AV38, AV38 )</f>
        <v>8</v>
      </c>
      <c r="AX38" s="208">
        <f t="shared" si="22"/>
        <v>32.799999999999997</v>
      </c>
      <c r="AY38" s="168">
        <f t="shared" si="23"/>
        <v>39</v>
      </c>
      <c r="AZ38" s="169"/>
      <c r="BA38" s="169"/>
      <c r="BC38" s="168">
        <f t="shared" ca="1" si="24"/>
        <v>32</v>
      </c>
      <c r="BD38" s="209">
        <f t="shared" ca="1" si="6"/>
        <v>6</v>
      </c>
      <c r="BF38" s="173" t="str">
        <f t="shared" ca="1" si="7"/>
        <v>Avista Corporation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AVA</v>
      </c>
    </row>
    <row r="39" spans="1:61" ht="13.8" x14ac:dyDescent="0.25">
      <c r="A39" s="223" t="s">
        <v>265</v>
      </c>
      <c r="B39" s="224" t="s">
        <v>141</v>
      </c>
      <c r="C39" s="224">
        <v>18</v>
      </c>
      <c r="D39" s="224" t="s">
        <v>266</v>
      </c>
      <c r="E39" s="225" t="str">
        <f t="shared" ca="1" si="8"/>
        <v>R</v>
      </c>
      <c r="F39" s="348"/>
      <c r="G39" s="349">
        <f t="shared" ca="1" si="1"/>
        <v>20</v>
      </c>
      <c r="H39" s="350"/>
      <c r="I39" s="237"/>
      <c r="K39" s="237"/>
      <c r="L39" s="173"/>
      <c r="N39" s="237"/>
      <c r="Q39" s="237"/>
      <c r="T39" s="237"/>
      <c r="W39" s="237"/>
      <c r="AF39" s="169">
        <f t="shared" si="2"/>
        <v>1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39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301</v>
      </c>
      <c r="AR39" s="207" t="s">
        <v>194</v>
      </c>
      <c r="AS39" s="207">
        <v>3</v>
      </c>
      <c r="AT39" s="207" t="s">
        <v>302</v>
      </c>
      <c r="AV39" s="168">
        <f t="shared" si="21"/>
        <v>44</v>
      </c>
      <c r="AW39" s="168">
        <f>COUNTIF( AV$7:AV39, AV39 )</f>
        <v>1</v>
      </c>
      <c r="AX39" s="208">
        <f t="shared" si="22"/>
        <v>44.1</v>
      </c>
      <c r="AY39" s="168">
        <f t="shared" si="23"/>
        <v>44</v>
      </c>
      <c r="AZ39" s="169"/>
      <c r="BA39" s="169"/>
      <c r="BC39" s="168">
        <f t="shared" ca="1" si="24"/>
        <v>33</v>
      </c>
      <c r="BD39" s="209">
        <f t="shared" ca="1" si="6"/>
        <v>17</v>
      </c>
      <c r="BF39" s="173" t="str">
        <f t="shared" ref="BF39:BI63" ca="1" si="25">OFFSET( AQ$6, $BD39, 0 )</f>
        <v>Edison International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EIX</v>
      </c>
    </row>
    <row r="40" spans="1:61" ht="13.8" x14ac:dyDescent="0.25">
      <c r="A40" s="223" t="s">
        <v>328</v>
      </c>
      <c r="B40" s="224" t="s">
        <v>141</v>
      </c>
      <c r="C40" s="224">
        <v>18</v>
      </c>
      <c r="D40" s="224" t="s">
        <v>331</v>
      </c>
      <c r="E40" s="225" t="str">
        <f t="shared" ca="1" si="8"/>
        <v>R</v>
      </c>
      <c r="F40" s="348"/>
      <c r="G40" s="349">
        <f t="shared" ca="1" si="1"/>
        <v>21</v>
      </c>
      <c r="H40" s="350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1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40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281</v>
      </c>
      <c r="AR40" s="207" t="s">
        <v>139</v>
      </c>
      <c r="AS40" s="207">
        <v>20</v>
      </c>
      <c r="AT40" s="207" t="s">
        <v>282</v>
      </c>
      <c r="AV40" s="168">
        <f t="shared" si="21"/>
        <v>3</v>
      </c>
      <c r="AW40" s="168">
        <f>COUNTIF( AV$7:AV40, AV40 )</f>
        <v>7</v>
      </c>
      <c r="AX40" s="208">
        <f t="shared" si="22"/>
        <v>3.7</v>
      </c>
      <c r="AY40" s="168">
        <f t="shared" si="23"/>
        <v>9</v>
      </c>
      <c r="AZ40" s="169"/>
      <c r="BA40" s="169"/>
      <c r="BC40" s="168">
        <f t="shared" ca="1" si="24"/>
        <v>34</v>
      </c>
      <c r="BD40" s="209">
        <f t="shared" ca="1" si="6"/>
        <v>18</v>
      </c>
      <c r="BF40" s="173" t="str">
        <f t="shared" ca="1" si="25"/>
        <v>El Paso Electric Company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EE</v>
      </c>
    </row>
    <row r="41" spans="1:61" ht="13.8" x14ac:dyDescent="0.25">
      <c r="A41" s="223" t="s">
        <v>275</v>
      </c>
      <c r="B41" s="224" t="s">
        <v>141</v>
      </c>
      <c r="C41" s="224">
        <v>18</v>
      </c>
      <c r="D41" s="224" t="s">
        <v>276</v>
      </c>
      <c r="E41" s="225" t="str">
        <f t="shared" ca="1" si="8"/>
        <v>R</v>
      </c>
      <c r="F41" s="348"/>
      <c r="G41" s="349">
        <f t="shared" ca="1" si="1"/>
        <v>26</v>
      </c>
      <c r="H41" s="350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1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303</v>
      </c>
      <c r="AR41" s="207" t="s">
        <v>140</v>
      </c>
      <c r="AS41" s="207">
        <v>19</v>
      </c>
      <c r="AT41" s="207" t="s">
        <v>304</v>
      </c>
      <c r="AV41" s="168">
        <f t="shared" si="21"/>
        <v>14</v>
      </c>
      <c r="AW41" s="168">
        <f>COUNTIF( AV$7:AV41, AV41 )</f>
        <v>14</v>
      </c>
      <c r="AX41" s="208">
        <f t="shared" si="22"/>
        <v>15.4</v>
      </c>
      <c r="AY41" s="168">
        <f t="shared" si="23"/>
        <v>27</v>
      </c>
      <c r="AZ41" s="169"/>
      <c r="BA41" s="169"/>
      <c r="BC41" s="168">
        <f t="shared" ca="1" si="24"/>
        <v>35</v>
      </c>
      <c r="BD41" s="209">
        <f t="shared" ca="1" si="6"/>
        <v>23</v>
      </c>
      <c r="BF41" s="173" t="str">
        <f t="shared" ca="1" si="25"/>
        <v>FirstEnergy Corp.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FE</v>
      </c>
    </row>
    <row r="42" spans="1:61" ht="13.8" x14ac:dyDescent="0.25">
      <c r="A42" s="223" t="s">
        <v>283</v>
      </c>
      <c r="B42" s="224" t="s">
        <v>141</v>
      </c>
      <c r="C42" s="224">
        <v>18</v>
      </c>
      <c r="D42" s="224" t="s">
        <v>284</v>
      </c>
      <c r="E42" s="225" t="str">
        <f t="shared" ca="1" si="8"/>
        <v>R</v>
      </c>
      <c r="F42" s="348"/>
      <c r="G42" s="349">
        <f t="shared" ca="1" si="1"/>
        <v>28</v>
      </c>
      <c r="H42" s="350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1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285</v>
      </c>
      <c r="AR42" s="207" t="s">
        <v>140</v>
      </c>
      <c r="AS42" s="207">
        <v>19</v>
      </c>
      <c r="AT42" s="207" t="s">
        <v>286</v>
      </c>
      <c r="AV42" s="168">
        <f t="shared" si="21"/>
        <v>14</v>
      </c>
      <c r="AW42" s="168">
        <f>COUNTIF( AV$7:AV42, AV42 )</f>
        <v>15</v>
      </c>
      <c r="AX42" s="208">
        <f t="shared" si="22"/>
        <v>15.5</v>
      </c>
      <c r="AY42" s="168">
        <f t="shared" si="23"/>
        <v>28</v>
      </c>
      <c r="AZ42" s="169"/>
      <c r="BA42" s="169"/>
      <c r="BC42" s="168">
        <f t="shared" ca="1" si="24"/>
        <v>36</v>
      </c>
      <c r="BD42" s="209">
        <f t="shared" ca="1" si="6"/>
        <v>25</v>
      </c>
      <c r="BF42" s="173" t="str">
        <f t="shared" ca="1" si="25"/>
        <v>IDACORP, Inc.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IDA</v>
      </c>
    </row>
    <row r="43" spans="1:61" ht="13.8" x14ac:dyDescent="0.25">
      <c r="A43" s="223" t="s">
        <v>287</v>
      </c>
      <c r="B43" s="224" t="s">
        <v>141</v>
      </c>
      <c r="C43" s="224">
        <v>18</v>
      </c>
      <c r="D43" s="224" t="s">
        <v>288</v>
      </c>
      <c r="E43" s="225" t="str">
        <f t="shared" ca="1" si="8"/>
        <v>R</v>
      </c>
      <c r="F43" s="348"/>
      <c r="G43" s="349">
        <f t="shared" ca="1" si="1"/>
        <v>55</v>
      </c>
      <c r="H43" s="350"/>
      <c r="I43" s="237"/>
      <c r="J43" s="191"/>
      <c r="K43" s="237"/>
      <c r="N43" s="237"/>
      <c r="Q43" s="237"/>
      <c r="T43" s="237"/>
      <c r="W43" s="237"/>
      <c r="AF43" s="169">
        <f t="shared" si="2"/>
        <v>1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243</v>
      </c>
      <c r="AR43" s="207" t="s">
        <v>139</v>
      </c>
      <c r="AS43" s="207">
        <v>20</v>
      </c>
      <c r="AT43" s="207" t="s">
        <v>244</v>
      </c>
      <c r="AV43" s="168">
        <f t="shared" si="21"/>
        <v>3</v>
      </c>
      <c r="AW43" s="168">
        <f>COUNTIF( AV$7:AV43, AV43 )</f>
        <v>8</v>
      </c>
      <c r="AX43" s="208">
        <f t="shared" si="22"/>
        <v>3.8</v>
      </c>
      <c r="AY43" s="168">
        <f t="shared" si="23"/>
        <v>10</v>
      </c>
      <c r="AZ43" s="169"/>
      <c r="BA43" s="169"/>
      <c r="BC43" s="168">
        <f t="shared" ca="1" si="24"/>
        <v>37</v>
      </c>
      <c r="BD43" s="209">
        <f t="shared" ca="1" si="6"/>
        <v>26</v>
      </c>
      <c r="BF43" s="173" t="str">
        <f t="shared" ca="1" si="25"/>
        <v>IPALCO Enterprises, Inc.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**IPALCO</v>
      </c>
    </row>
    <row r="44" spans="1:61" ht="13.8" x14ac:dyDescent="0.25">
      <c r="A44" s="223" t="s">
        <v>297</v>
      </c>
      <c r="B44" s="224" t="s">
        <v>141</v>
      </c>
      <c r="C44" s="224">
        <v>18</v>
      </c>
      <c r="D44" s="224" t="s">
        <v>298</v>
      </c>
      <c r="E44" s="225" t="str">
        <f t="shared" ca="1" si="8"/>
        <v>R</v>
      </c>
      <c r="F44" s="348"/>
      <c r="G44" s="349">
        <f t="shared" ca="1" si="1"/>
        <v>33</v>
      </c>
      <c r="H44" s="350"/>
      <c r="I44" s="237"/>
      <c r="J44" s="191"/>
      <c r="K44" s="237"/>
      <c r="N44" s="237"/>
      <c r="Q44" s="237"/>
      <c r="T44" s="237"/>
      <c r="W44" s="237"/>
      <c r="AF44" s="169">
        <f t="shared" si="2"/>
        <v>1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289</v>
      </c>
      <c r="AR44" s="207" t="s">
        <v>140</v>
      </c>
      <c r="AS44" s="207">
        <v>19</v>
      </c>
      <c r="AT44" s="207" t="s">
        <v>290</v>
      </c>
      <c r="AV44" s="168">
        <f t="shared" si="21"/>
        <v>14</v>
      </c>
      <c r="AW44" s="168">
        <f>COUNTIF( AV$7:AV44, AV44 )</f>
        <v>16</v>
      </c>
      <c r="AX44" s="208">
        <f t="shared" si="22"/>
        <v>15.6</v>
      </c>
      <c r="AY44" s="168">
        <f t="shared" si="23"/>
        <v>29</v>
      </c>
      <c r="AZ44" s="169"/>
      <c r="BA44" s="169"/>
      <c r="BC44" s="168">
        <f t="shared" ca="1" si="24"/>
        <v>38</v>
      </c>
      <c r="BD44" s="209">
        <f t="shared" ca="1" si="6"/>
        <v>30</v>
      </c>
      <c r="BF44" s="173" t="str">
        <f t="shared" ca="1" si="25"/>
        <v>NorthWestern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NWE</v>
      </c>
    </row>
    <row r="45" spans="1:61" ht="13.8" x14ac:dyDescent="0.25">
      <c r="A45" s="223" t="s">
        <v>299</v>
      </c>
      <c r="B45" s="224" t="s">
        <v>141</v>
      </c>
      <c r="C45" s="224">
        <v>18</v>
      </c>
      <c r="D45" s="224" t="s">
        <v>300</v>
      </c>
      <c r="E45" s="225" t="str">
        <f t="shared" ca="1" si="8"/>
        <v>R</v>
      </c>
      <c r="F45" s="348"/>
      <c r="G45" s="349">
        <f t="shared" ca="1" si="1"/>
        <v>35</v>
      </c>
      <c r="H45" s="350"/>
      <c r="I45" s="237"/>
      <c r="J45" s="191"/>
      <c r="K45" s="237"/>
      <c r="N45" s="237"/>
      <c r="Q45" s="237"/>
      <c r="T45" s="237"/>
      <c r="W45" s="237"/>
      <c r="AF45" s="169">
        <f t="shared" si="2"/>
        <v>1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305</v>
      </c>
      <c r="AR45" s="207" t="s">
        <v>142</v>
      </c>
      <c r="AS45" s="207">
        <v>17</v>
      </c>
      <c r="AT45" s="207" t="s">
        <v>306</v>
      </c>
      <c r="AV45" s="168">
        <f t="shared" si="21"/>
        <v>40</v>
      </c>
      <c r="AW45" s="168">
        <f>COUNTIF( AV$7:AV45, AV45 )</f>
        <v>4</v>
      </c>
      <c r="AX45" s="208">
        <f t="shared" si="22"/>
        <v>40.4</v>
      </c>
      <c r="AY45" s="168">
        <f t="shared" si="23"/>
        <v>43</v>
      </c>
      <c r="AZ45" s="169"/>
      <c r="BA45" s="169"/>
      <c r="BC45" s="168">
        <f t="shared" ca="1" si="24"/>
        <v>39</v>
      </c>
      <c r="BD45" s="209">
        <f t="shared" ca="1" si="6"/>
        <v>32</v>
      </c>
      <c r="BF45" s="173" t="str">
        <f t="shared" ca="1" si="25"/>
        <v>Otter Tail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OTTR</v>
      </c>
    </row>
    <row r="46" spans="1:61" ht="13.8" x14ac:dyDescent="0.25">
      <c r="A46" s="223" t="s">
        <v>254</v>
      </c>
      <c r="B46" s="224" t="s">
        <v>142</v>
      </c>
      <c r="C46" s="224">
        <v>17</v>
      </c>
      <c r="D46" s="224" t="s">
        <v>255</v>
      </c>
      <c r="E46" s="225" t="str">
        <f t="shared" ca="1" si="8"/>
        <v>R</v>
      </c>
      <c r="F46" s="348"/>
      <c r="G46" s="349">
        <f t="shared" ca="1" si="1"/>
        <v>53</v>
      </c>
      <c r="H46" s="350"/>
      <c r="I46" s="191"/>
      <c r="K46" s="191"/>
      <c r="N46" s="351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46</v>
      </c>
      <c r="AK46" s="169" t="str">
        <f t="shared" ca="1" si="20"/>
        <v>BBB-</v>
      </c>
      <c r="AL46" s="169">
        <f t="shared" ca="1" si="20"/>
        <v>17</v>
      </c>
      <c r="AM46" s="169" t="str">
        <f t="shared" ca="1" si="4"/>
        <v/>
      </c>
      <c r="AQ46" s="207" t="s">
        <v>291</v>
      </c>
      <c r="AR46" s="207" t="s">
        <v>140</v>
      </c>
      <c r="AS46" s="207">
        <v>19</v>
      </c>
      <c r="AT46" s="207" t="s">
        <v>292</v>
      </c>
      <c r="AV46" s="168">
        <f t="shared" si="21"/>
        <v>14</v>
      </c>
      <c r="AW46" s="168">
        <f>COUNTIF( AV$7:AV46, AV46 )</f>
        <v>17</v>
      </c>
      <c r="AX46" s="208">
        <f t="shared" si="22"/>
        <v>15.7</v>
      </c>
      <c r="AY46" s="168">
        <f t="shared" si="23"/>
        <v>30</v>
      </c>
      <c r="AZ46" s="169"/>
      <c r="BA46" s="169"/>
      <c r="BC46" s="168">
        <f t="shared" ca="1" si="24"/>
        <v>40</v>
      </c>
      <c r="BD46" s="209">
        <f t="shared" ca="1" si="6"/>
        <v>10</v>
      </c>
      <c r="BF46" s="173" t="str">
        <f t="shared" ca="1" si="25"/>
        <v>Cleco Corporation</v>
      </c>
      <c r="BG46" s="173" t="str">
        <f t="shared" ca="1" si="25"/>
        <v>BBB-</v>
      </c>
      <c r="BH46" s="173">
        <f t="shared" ca="1" si="25"/>
        <v>17</v>
      </c>
      <c r="BI46" s="173" t="str">
        <f t="shared" ca="1" si="25"/>
        <v>**CNL</v>
      </c>
    </row>
    <row r="47" spans="1:61" ht="13.8" x14ac:dyDescent="0.25">
      <c r="A47" s="223" t="s">
        <v>259</v>
      </c>
      <c r="B47" s="224" t="s">
        <v>142</v>
      </c>
      <c r="C47" s="224">
        <v>17</v>
      </c>
      <c r="D47" s="224" t="s">
        <v>260</v>
      </c>
      <c r="E47" s="225" t="str">
        <f t="shared" ca="1" si="8"/>
        <v>R</v>
      </c>
      <c r="F47" s="348"/>
      <c r="G47" s="349">
        <f t="shared" ca="1" si="1"/>
        <v>54</v>
      </c>
      <c r="H47" s="350"/>
      <c r="I47" s="350"/>
      <c r="J47" s="187" t="s">
        <v>307</v>
      </c>
      <c r="K47" s="191"/>
      <c r="M47" s="351"/>
      <c r="N47" s="351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47</v>
      </c>
      <c r="AK47" s="169" t="str">
        <f t="shared" ca="1" si="20"/>
        <v>BBB-</v>
      </c>
      <c r="AL47" s="169">
        <f t="shared" ca="1" si="20"/>
        <v>17</v>
      </c>
      <c r="AM47" s="169" t="str">
        <f t="shared" ca="1" si="4"/>
        <v/>
      </c>
      <c r="AQ47" s="207" t="s">
        <v>293</v>
      </c>
      <c r="AR47" s="207" t="s">
        <v>139</v>
      </c>
      <c r="AS47" s="207">
        <v>20</v>
      </c>
      <c r="AT47" s="207" t="s">
        <v>294</v>
      </c>
      <c r="AV47" s="168">
        <f t="shared" si="21"/>
        <v>3</v>
      </c>
      <c r="AW47" s="168">
        <f>COUNTIF( AV$7:AV47, AV47 )</f>
        <v>9</v>
      </c>
      <c r="AX47" s="208">
        <f t="shared" si="22"/>
        <v>3.9</v>
      </c>
      <c r="AY47" s="168">
        <f t="shared" si="23"/>
        <v>11</v>
      </c>
      <c r="AZ47" s="169"/>
      <c r="BA47" s="169"/>
      <c r="BC47" s="168">
        <f t="shared" ca="1" si="24"/>
        <v>41</v>
      </c>
      <c r="BD47" s="209">
        <f t="shared" ca="1" si="6"/>
        <v>14</v>
      </c>
      <c r="BF47" s="173" t="str">
        <f t="shared" ca="1" si="25"/>
        <v>DPL Inc.</v>
      </c>
      <c r="BG47" s="173" t="str">
        <f t="shared" ca="1" si="25"/>
        <v>BBB-</v>
      </c>
      <c r="BH47" s="173">
        <f t="shared" ca="1" si="25"/>
        <v>17</v>
      </c>
      <c r="BI47" s="173" t="str">
        <f t="shared" ca="1" si="25"/>
        <v>**DPL</v>
      </c>
    </row>
    <row r="48" spans="1:61" ht="13.8" x14ac:dyDescent="0.25">
      <c r="A48" s="223" t="s">
        <v>279</v>
      </c>
      <c r="B48" s="224" t="s">
        <v>142</v>
      </c>
      <c r="C48" s="224">
        <v>17</v>
      </c>
      <c r="D48" s="224" t="s">
        <v>280</v>
      </c>
      <c r="E48" s="225" t="str">
        <f t="shared" ca="1" si="8"/>
        <v>MR</v>
      </c>
      <c r="F48" s="348"/>
      <c r="G48" s="349">
        <f t="shared" ca="1" si="1"/>
        <v>27</v>
      </c>
      <c r="H48" s="350"/>
      <c r="I48" s="350"/>
      <c r="K48" s="191"/>
      <c r="M48" s="351"/>
      <c r="N48" s="351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48</v>
      </c>
      <c r="AK48" s="169" t="str">
        <f t="shared" ca="1" si="20"/>
        <v>BBB-</v>
      </c>
      <c r="AL48" s="169">
        <f t="shared" ca="1" si="20"/>
        <v>17</v>
      </c>
      <c r="AM48" s="169" t="str">
        <f t="shared" ca="1" si="4"/>
        <v/>
      </c>
      <c r="AQ48" s="207" t="s">
        <v>295</v>
      </c>
      <c r="AR48" s="207" t="s">
        <v>140</v>
      </c>
      <c r="AS48" s="207">
        <v>19</v>
      </c>
      <c r="AT48" s="207" t="s">
        <v>296</v>
      </c>
      <c r="AV48" s="168">
        <f t="shared" si="21"/>
        <v>14</v>
      </c>
      <c r="AW48" s="168">
        <f>COUNTIF( AV$7:AV48, AV48 )</f>
        <v>18</v>
      </c>
      <c r="AX48" s="208">
        <f t="shared" si="22"/>
        <v>15.8</v>
      </c>
      <c r="AY48" s="168">
        <f t="shared" si="23"/>
        <v>31</v>
      </c>
      <c r="AZ48" s="169"/>
      <c r="BA48" s="169"/>
      <c r="BC48" s="168">
        <f t="shared" ca="1" si="24"/>
        <v>42</v>
      </c>
      <c r="BD48" s="209">
        <f t="shared" ca="1" si="6"/>
        <v>24</v>
      </c>
      <c r="BF48" s="173" t="str">
        <f t="shared" ca="1" si="25"/>
        <v>Hawaiian Electric Industries, Inc.</v>
      </c>
      <c r="BG48" s="173" t="str">
        <f t="shared" ca="1" si="25"/>
        <v>BBB-</v>
      </c>
      <c r="BH48" s="173">
        <f t="shared" ca="1" si="25"/>
        <v>17</v>
      </c>
      <c r="BI48" s="173" t="str">
        <f t="shared" ca="1" si="25"/>
        <v>HE</v>
      </c>
    </row>
    <row r="49" spans="1:61" ht="13.8" x14ac:dyDescent="0.25">
      <c r="A49" s="223" t="s">
        <v>305</v>
      </c>
      <c r="B49" s="224" t="s">
        <v>142</v>
      </c>
      <c r="C49" s="224">
        <v>17</v>
      </c>
      <c r="D49" s="224" t="s">
        <v>306</v>
      </c>
      <c r="E49" s="225" t="str">
        <f t="shared" ca="1" si="8"/>
        <v>R</v>
      </c>
      <c r="F49" s="348"/>
      <c r="G49" s="349">
        <f t="shared" ca="1" si="1"/>
        <v>57</v>
      </c>
      <c r="H49" s="350"/>
      <c r="I49" s="350"/>
      <c r="J49" s="191"/>
      <c r="K49" s="191"/>
      <c r="M49" s="351"/>
      <c r="N49" s="351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4"/>
        <v/>
      </c>
      <c r="AQ49" s="207" t="s">
        <v>247</v>
      </c>
      <c r="AR49" s="207" t="s">
        <v>139</v>
      </c>
      <c r="AS49" s="207">
        <v>20</v>
      </c>
      <c r="AT49" s="207" t="s">
        <v>248</v>
      </c>
      <c r="AV49" s="168">
        <f t="shared" si="21"/>
        <v>3</v>
      </c>
      <c r="AW49" s="168">
        <f>COUNTIF( AV$7:AV49, AV49 )</f>
        <v>10</v>
      </c>
      <c r="AX49" s="208">
        <f t="shared" si="22"/>
        <v>4</v>
      </c>
      <c r="AY49" s="168">
        <f t="shared" si="23"/>
        <v>12</v>
      </c>
      <c r="AZ49" s="169"/>
      <c r="BA49" s="169"/>
      <c r="BC49" s="168">
        <f t="shared" ca="1" si="24"/>
        <v>43</v>
      </c>
      <c r="BD49" s="209">
        <f t="shared" ca="1" si="6"/>
        <v>39</v>
      </c>
      <c r="BF49" s="173" t="str">
        <f t="shared" ca="1" si="25"/>
        <v>Puget Energy, Inc.</v>
      </c>
      <c r="BG49" s="173" t="str">
        <f t="shared" ca="1" si="25"/>
        <v>BBB-</v>
      </c>
      <c r="BH49" s="173">
        <f t="shared" ca="1" si="25"/>
        <v>17</v>
      </c>
      <c r="BI49" s="173" t="str">
        <f t="shared" ca="1" si="25"/>
        <v>**PSD</v>
      </c>
    </row>
    <row r="50" spans="1:61" ht="13.8" x14ac:dyDescent="0.25">
      <c r="A50" s="223" t="s">
        <v>301</v>
      </c>
      <c r="B50" s="224" t="s">
        <v>194</v>
      </c>
      <c r="C50" s="224">
        <v>3</v>
      </c>
      <c r="D50" s="224" t="s">
        <v>302</v>
      </c>
      <c r="E50" s="225" t="str">
        <f t="shared" ca="1" si="8"/>
        <v>R</v>
      </c>
      <c r="F50" s="348"/>
      <c r="G50" s="349">
        <f t="shared" ca="1" si="1"/>
        <v>36</v>
      </c>
      <c r="H50" s="350"/>
      <c r="I50" s="350"/>
      <c r="J50" s="191"/>
      <c r="K50" s="191"/>
      <c r="M50" s="351"/>
      <c r="N50" s="351"/>
      <c r="AF50" s="169">
        <f t="shared" si="2"/>
        <v>1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50</v>
      </c>
      <c r="AK50" s="169" t="str">
        <f t="shared" ca="1" si="20"/>
        <v>D</v>
      </c>
      <c r="AL50" s="169">
        <f t="shared" ca="1" si="20"/>
        <v>3</v>
      </c>
      <c r="AM50" s="169" t="str">
        <f t="shared" ca="1" si="4"/>
        <v/>
      </c>
      <c r="AQ50" s="207" t="s">
        <v>251</v>
      </c>
      <c r="AR50" s="207" t="s">
        <v>139</v>
      </c>
      <c r="AS50" s="207">
        <v>20</v>
      </c>
      <c r="AT50" s="207" t="s">
        <v>252</v>
      </c>
      <c r="AV50" s="168">
        <f t="shared" si="21"/>
        <v>3</v>
      </c>
      <c r="AW50" s="168">
        <f>COUNTIF( AV$7:AV50, AV50 )</f>
        <v>11</v>
      </c>
      <c r="AX50" s="208">
        <f t="shared" si="22"/>
        <v>4.0999999999999996</v>
      </c>
      <c r="AY50" s="168">
        <f t="shared" si="23"/>
        <v>13</v>
      </c>
      <c r="AZ50" s="169"/>
      <c r="BA50" s="169"/>
      <c r="BC50" s="168">
        <f t="shared" ca="1" si="24"/>
        <v>44</v>
      </c>
      <c r="BD50" s="209">
        <f t="shared" ca="1" si="6"/>
        <v>33</v>
      </c>
      <c r="BF50" s="173" t="str">
        <f t="shared" ca="1" si="25"/>
        <v>PG&amp;E Corporation</v>
      </c>
      <c r="BG50" s="173" t="str">
        <f t="shared" ca="1" si="25"/>
        <v>D</v>
      </c>
      <c r="BH50" s="173">
        <f t="shared" ca="1" si="25"/>
        <v>3</v>
      </c>
      <c r="BI50" s="173" t="str">
        <f t="shared" ca="1" si="25"/>
        <v>PCG</v>
      </c>
    </row>
    <row r="51" spans="1:61" ht="13.8" x14ac:dyDescent="0.25">
      <c r="A51" s="223"/>
      <c r="B51" s="224"/>
      <c r="C51" s="224"/>
      <c r="D51" s="224"/>
      <c r="E51" s="225"/>
      <c r="F51" s="348"/>
      <c r="G51" s="349"/>
      <c r="H51" s="350"/>
      <c r="I51" s="350"/>
      <c r="J51" s="191"/>
      <c r="K51" s="191"/>
      <c r="M51" s="351"/>
      <c r="N51" s="351"/>
      <c r="AF51" s="169">
        <f t="shared" si="2"/>
        <v>0</v>
      </c>
      <c r="AG51" s="169" t="str">
        <f t="shared" si="3"/>
        <v/>
      </c>
      <c r="AH51" s="169" t="str">
        <f t="shared" si="18"/>
        <v/>
      </c>
      <c r="AJ51" s="169" t="e">
        <f t="shared" ca="1" si="19"/>
        <v>#N/A</v>
      </c>
      <c r="AK51" s="169" t="str">
        <f t="shared" ca="1" si="20"/>
        <v/>
      </c>
      <c r="AL51" s="169" t="str">
        <f t="shared" ca="1" si="20"/>
        <v/>
      </c>
      <c r="AM51" s="169" t="str">
        <f t="shared" ca="1" si="4"/>
        <v/>
      </c>
      <c r="AQ51" s="207"/>
      <c r="AR51" s="207"/>
      <c r="AS51" s="207"/>
      <c r="AT51" s="207"/>
      <c r="AV51" s="168">
        <f t="shared" si="21"/>
        <v>99</v>
      </c>
      <c r="AW51" s="168">
        <f>COUNTIF( AV$7:AV51, AV51 )</f>
        <v>1</v>
      </c>
      <c r="AX51" s="208">
        <f t="shared" si="22"/>
        <v>99.1</v>
      </c>
      <c r="AY51" s="168">
        <f t="shared" si="23"/>
        <v>45</v>
      </c>
      <c r="AZ51" s="169"/>
      <c r="BA51" s="169"/>
      <c r="BC51" s="168">
        <f t="shared" ca="1" si="24"/>
        <v>45</v>
      </c>
      <c r="BD51" s="209">
        <f t="shared" ca="1" si="6"/>
        <v>45</v>
      </c>
      <c r="BF51" s="173">
        <f t="shared" ca="1" si="25"/>
        <v>0</v>
      </c>
      <c r="BG51" s="173">
        <f t="shared" ca="1" si="25"/>
        <v>0</v>
      </c>
      <c r="BH51" s="173">
        <f t="shared" ca="1" si="25"/>
        <v>0</v>
      </c>
      <c r="BI51" s="173">
        <f t="shared" ca="1" si="25"/>
        <v>0</v>
      </c>
    </row>
    <row r="52" spans="1:61" ht="13.8" x14ac:dyDescent="0.25">
      <c r="A52" s="223"/>
      <c r="B52" s="224"/>
      <c r="C52" s="224"/>
      <c r="D52" s="224"/>
      <c r="E52" s="225"/>
      <c r="F52" s="348"/>
      <c r="G52" s="349"/>
      <c r="H52" s="350"/>
      <c r="I52" s="350"/>
      <c r="J52" s="191"/>
      <c r="K52" s="191"/>
      <c r="AF52" s="169">
        <f t="shared" si="2"/>
        <v>0</v>
      </c>
      <c r="AG52" s="169" t="str">
        <f t="shared" si="3"/>
        <v/>
      </c>
      <c r="AH52" s="169" t="str">
        <f t="shared" si="18"/>
        <v/>
      </c>
      <c r="AJ52" s="169" t="e">
        <f t="shared" ca="1" si="19"/>
        <v>#N/A</v>
      </c>
      <c r="AK52" s="169" t="str">
        <f t="shared" ca="1" si="20"/>
        <v/>
      </c>
      <c r="AL52" s="169" t="str">
        <f t="shared" ca="1" si="20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si="21"/>
        <v>99</v>
      </c>
      <c r="AW52" s="168">
        <f>COUNTIF( AV$7:AV52, AV52 )</f>
        <v>2</v>
      </c>
      <c r="AX52" s="208">
        <f t="shared" si="22"/>
        <v>99.2</v>
      </c>
      <c r="AY52" s="168">
        <f t="shared" si="23"/>
        <v>46</v>
      </c>
      <c r="AZ52" s="169"/>
      <c r="BA52" s="169"/>
      <c r="BC52" s="168">
        <f t="shared" ca="1" si="24"/>
        <v>46</v>
      </c>
      <c r="BD52" s="209">
        <f t="shared" ca="1" si="6"/>
        <v>46</v>
      </c>
      <c r="BF52" s="173">
        <f t="shared" ca="1" si="25"/>
        <v>0</v>
      </c>
      <c r="BG52" s="173">
        <f t="shared" ca="1" si="25"/>
        <v>0</v>
      </c>
      <c r="BH52" s="173">
        <f t="shared" ca="1" si="25"/>
        <v>0</v>
      </c>
      <c r="BI52" s="173">
        <f t="shared" ca="1" si="25"/>
        <v>0</v>
      </c>
    </row>
    <row r="53" spans="1:61" ht="13.8" x14ac:dyDescent="0.25">
      <c r="A53" s="223"/>
      <c r="B53" s="224"/>
      <c r="C53" s="224"/>
      <c r="D53" s="224"/>
      <c r="E53" s="225"/>
      <c r="F53" s="348"/>
      <c r="G53" s="349" t="str">
        <f t="shared" ca="1" si="1"/>
        <v/>
      </c>
      <c r="H53" s="350"/>
      <c r="I53" s="350"/>
      <c r="J53" s="191"/>
      <c r="K53" s="191"/>
      <c r="AF53" s="169">
        <f t="shared" si="2"/>
        <v>0</v>
      </c>
      <c r="AG53" s="169" t="str">
        <f t="shared" si="3"/>
        <v/>
      </c>
      <c r="AH53" s="169" t="str">
        <f t="shared" si="18"/>
        <v/>
      </c>
      <c r="AJ53" s="169" t="e">
        <f t="shared" ca="1" si="19"/>
        <v>#N/A</v>
      </c>
      <c r="AK53" s="169" t="str">
        <f t="shared" ca="1" si="20"/>
        <v/>
      </c>
      <c r="AL53" s="169" t="str">
        <f t="shared" ca="1" si="20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si="21"/>
        <v>99</v>
      </c>
      <c r="AW53" s="168">
        <f>COUNTIF( AV$7:AV53, AV53 )</f>
        <v>3</v>
      </c>
      <c r="AX53" s="208">
        <f t="shared" si="22"/>
        <v>99.3</v>
      </c>
      <c r="AY53" s="168">
        <f t="shared" si="23"/>
        <v>47</v>
      </c>
      <c r="AZ53" s="169"/>
      <c r="BA53" s="169"/>
      <c r="BC53" s="168">
        <f t="shared" ca="1" si="24"/>
        <v>47</v>
      </c>
      <c r="BD53" s="209">
        <f t="shared" ca="1" si="6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ht="13.8" x14ac:dyDescent="0.25">
      <c r="A54" s="223"/>
      <c r="B54" s="224"/>
      <c r="C54" s="224"/>
      <c r="D54" s="224"/>
      <c r="E54" s="225"/>
      <c r="F54" s="348"/>
      <c r="G54" s="349" t="str">
        <f t="shared" ca="1" si="1"/>
        <v/>
      </c>
      <c r="H54" s="350"/>
      <c r="I54" s="350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8"/>
        <v/>
      </c>
      <c r="AJ54" s="169" t="e">
        <f t="shared" ca="1" si="19"/>
        <v>#N/A</v>
      </c>
      <c r="AK54" s="169" t="str">
        <f t="shared" ca="1" si="20"/>
        <v/>
      </c>
      <c r="AL54" s="169" t="str">
        <f t="shared" ca="1" si="20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21"/>
        <v>99</v>
      </c>
      <c r="AW54" s="168">
        <f>COUNTIF( AV$7:AV54, AV54 )</f>
        <v>4</v>
      </c>
      <c r="AX54" s="208">
        <f t="shared" si="22"/>
        <v>99.4</v>
      </c>
      <c r="AY54" s="168">
        <f t="shared" si="23"/>
        <v>48</v>
      </c>
      <c r="AZ54" s="169"/>
      <c r="BA54" s="169"/>
      <c r="BC54" s="168">
        <f t="shared" ca="1" si="24"/>
        <v>48</v>
      </c>
      <c r="BD54" s="209">
        <f t="shared" ca="1" si="6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3.8" x14ac:dyDescent="0.25">
      <c r="A55" s="223"/>
      <c r="B55" s="224"/>
      <c r="C55" s="224"/>
      <c r="D55" s="224"/>
      <c r="E55" s="225"/>
      <c r="F55" s="348"/>
      <c r="G55" s="349" t="str">
        <f t="shared" ca="1" si="1"/>
        <v/>
      </c>
      <c r="H55" s="350"/>
      <c r="I55" s="350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8"/>
        <v/>
      </c>
      <c r="AJ55" s="169" t="e">
        <f t="shared" ca="1" si="19"/>
        <v>#N/A</v>
      </c>
      <c r="AK55" s="169" t="str">
        <f t="shared" ca="1" si="20"/>
        <v/>
      </c>
      <c r="AL55" s="169" t="str">
        <f t="shared" ca="1" si="20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1"/>
        <v>99</v>
      </c>
      <c r="AW55" s="168">
        <f>COUNTIF( AV$7:AV55, AV55 )</f>
        <v>5</v>
      </c>
      <c r="AX55" s="208">
        <f t="shared" si="22"/>
        <v>99.5</v>
      </c>
      <c r="AY55" s="168">
        <f t="shared" si="23"/>
        <v>49</v>
      </c>
      <c r="AZ55" s="169"/>
      <c r="BA55" s="169"/>
      <c r="BC55" s="168">
        <f t="shared" ca="1" si="24"/>
        <v>49</v>
      </c>
      <c r="BD55" s="209">
        <f t="shared" ca="1" si="6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3.8" x14ac:dyDescent="0.25">
      <c r="A56" s="223"/>
      <c r="B56" s="224"/>
      <c r="C56" s="224"/>
      <c r="D56" s="224"/>
      <c r="E56" s="225"/>
      <c r="F56" s="348"/>
      <c r="G56" s="349" t="str">
        <f t="shared" ca="1" si="1"/>
        <v/>
      </c>
      <c r="H56" s="350"/>
      <c r="I56" s="350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6</v>
      </c>
      <c r="AX56" s="208">
        <f t="shared" si="22"/>
        <v>99.6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8" x14ac:dyDescent="0.25">
      <c r="A57" s="223"/>
      <c r="B57" s="224"/>
      <c r="C57" s="224"/>
      <c r="D57" s="224"/>
      <c r="E57" s="225"/>
      <c r="F57" s="348"/>
      <c r="G57" s="349" t="str">
        <f t="shared" ca="1" si="1"/>
        <v/>
      </c>
      <c r="H57" s="350"/>
      <c r="I57" s="350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7</v>
      </c>
      <c r="AX57" s="208">
        <f t="shared" si="22"/>
        <v>99.7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8" x14ac:dyDescent="0.25">
      <c r="A58" s="223"/>
      <c r="B58" s="224"/>
      <c r="C58" s="224"/>
      <c r="D58" s="224"/>
      <c r="E58" s="225"/>
      <c r="F58" s="348"/>
      <c r="G58" s="349" t="str">
        <f t="shared" ca="1" si="1"/>
        <v/>
      </c>
      <c r="H58" s="350"/>
      <c r="I58" s="350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8</v>
      </c>
      <c r="AX58" s="208">
        <f t="shared" si="22"/>
        <v>99.8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8" x14ac:dyDescent="0.25">
      <c r="A59" s="223"/>
      <c r="B59" s="224"/>
      <c r="C59" s="224"/>
      <c r="D59" s="224"/>
      <c r="E59" s="225" t="str">
        <f t="shared" ca="1" si="8"/>
        <v/>
      </c>
      <c r="F59" s="348"/>
      <c r="G59" s="349" t="str">
        <f t="shared" ca="1" si="1"/>
        <v/>
      </c>
      <c r="H59" s="350"/>
      <c r="I59" s="350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9</v>
      </c>
      <c r="AX59" s="208">
        <f t="shared" si="22"/>
        <v>99.9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" thickBot="1" x14ac:dyDescent="0.3">
      <c r="A60" s="192"/>
      <c r="B60" s="193"/>
      <c r="C60" s="193"/>
      <c r="D60" s="193"/>
      <c r="E60" s="194" t="str">
        <f t="shared" ca="1" si="8"/>
        <v/>
      </c>
      <c r="F60" s="350"/>
      <c r="G60" s="353" t="str">
        <f t="shared" ca="1" si="1"/>
        <v/>
      </c>
      <c r="H60" s="350"/>
      <c r="I60" s="350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10</v>
      </c>
      <c r="AX60" s="208">
        <f t="shared" si="22"/>
        <v>100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8" x14ac:dyDescent="0.25">
      <c r="A61" s="226" t="s">
        <v>308</v>
      </c>
      <c r="B61" s="227" t="s">
        <v>162</v>
      </c>
      <c r="C61" s="227">
        <v>23</v>
      </c>
      <c r="D61" s="227" t="s">
        <v>309</v>
      </c>
      <c r="E61" s="228" t="str">
        <f t="shared" ca="1" si="8"/>
        <v>R</v>
      </c>
      <c r="F61" s="354"/>
      <c r="G61" s="355">
        <f t="shared" ca="1" si="1"/>
        <v>30</v>
      </c>
      <c r="H61" s="350"/>
      <c r="I61" s="350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11</v>
      </c>
      <c r="AX61" s="208">
        <f t="shared" si="22"/>
        <v>100.1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8" x14ac:dyDescent="0.25">
      <c r="A62" s="223"/>
      <c r="B62" s="224"/>
      <c r="C62" s="224"/>
      <c r="D62" s="224"/>
      <c r="E62" s="225"/>
      <c r="F62" s="348"/>
      <c r="G62" s="349" t="str">
        <f t="shared" ca="1" si="1"/>
        <v/>
      </c>
      <c r="H62" s="350"/>
      <c r="I62" s="350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 t="e">
        <f t="shared" ca="1" si="19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12</v>
      </c>
      <c r="AX62" s="208">
        <f t="shared" si="22"/>
        <v>100.2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/>
      <c r="B63" s="229"/>
      <c r="C63" s="224"/>
      <c r="D63" s="224"/>
      <c r="E63" s="225"/>
      <c r="F63" s="348"/>
      <c r="G63" s="349"/>
      <c r="H63" s="350"/>
      <c r="I63" s="350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13</v>
      </c>
      <c r="AX63" s="208">
        <f t="shared" si="22"/>
        <v>100.3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/>
      <c r="B64" s="229"/>
      <c r="C64" s="224"/>
      <c r="D64" s="224"/>
      <c r="E64" s="225"/>
      <c r="F64" s="348"/>
      <c r="G64" s="349"/>
      <c r="H64" s="350"/>
      <c r="I64" s="350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308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58" ht="13.8" x14ac:dyDescent="0.25">
      <c r="A65" s="223"/>
      <c r="B65" s="229"/>
      <c r="C65" s="224"/>
      <c r="D65" s="224"/>
      <c r="E65" s="225"/>
      <c r="F65" s="348"/>
      <c r="G65" s="349"/>
      <c r="H65" s="350"/>
      <c r="I65" s="350"/>
      <c r="N65" s="168" t="s">
        <v>310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3.8" x14ac:dyDescent="0.25">
      <c r="A66" s="195"/>
      <c r="B66" s="196"/>
      <c r="C66" s="185"/>
      <c r="D66" s="185"/>
      <c r="E66" s="182"/>
      <c r="F66" s="350"/>
      <c r="H66" s="350"/>
      <c r="I66" s="350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50"/>
      <c r="H67" s="350"/>
      <c r="I67" s="350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8" x14ac:dyDescent="0.25">
      <c r="A68" s="200" t="s">
        <v>311</v>
      </c>
      <c r="B68" s="189" t="str">
        <f ca="1">OFFSET( Scale!$H$5, ROUND( C68, 0 ) - 1, 1 )</f>
        <v>BBB+</v>
      </c>
      <c r="C68" s="201">
        <f>AVERAGE(C7:C65)</f>
        <v>18.733333333333334</v>
      </c>
      <c r="D68" s="201"/>
      <c r="E68" s="201"/>
      <c r="F68" s="350"/>
      <c r="H68" s="350"/>
      <c r="I68" s="350"/>
      <c r="J68" s="351"/>
      <c r="K68" s="351"/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50"/>
      <c r="H69" s="350"/>
      <c r="I69" s="350"/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1"/>
      <c r="K70" s="351"/>
    </row>
    <row r="71" spans="1:58" x14ac:dyDescent="0.25">
      <c r="A71" s="203" t="s">
        <v>312</v>
      </c>
      <c r="F71" s="173"/>
      <c r="H71" s="173"/>
      <c r="I71" s="173"/>
    </row>
    <row r="72" spans="1:58" x14ac:dyDescent="0.25">
      <c r="A72" s="203" t="s">
        <v>313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314</v>
      </c>
      <c r="B73" s="173"/>
      <c r="D73" s="173"/>
      <c r="E73" s="173"/>
      <c r="F73" s="204"/>
      <c r="H73" s="204"/>
      <c r="I73" s="204"/>
    </row>
    <row r="74" spans="1:58" x14ac:dyDescent="0.25">
      <c r="A74" s="203" t="s">
        <v>315</v>
      </c>
      <c r="D74" s="204"/>
      <c r="F74" s="206"/>
      <c r="H74" s="206"/>
      <c r="I74" s="206"/>
      <c r="AQ74" s="207"/>
      <c r="AR74" s="207"/>
      <c r="AS74" s="207"/>
    </row>
    <row r="75" spans="1:58" x14ac:dyDescent="0.25">
      <c r="A75" s="203" t="s">
        <v>316</v>
      </c>
      <c r="D75" s="204"/>
      <c r="F75" s="206"/>
      <c r="H75" s="206"/>
      <c r="I75" s="206"/>
      <c r="AQ75" s="207"/>
      <c r="AR75" s="207"/>
      <c r="AS75" s="207"/>
    </row>
    <row r="76" spans="1:58" x14ac:dyDescent="0.25">
      <c r="A76" s="203"/>
      <c r="AQ76" s="207"/>
      <c r="AR76" s="207"/>
      <c r="AS76" s="207"/>
    </row>
    <row r="77" spans="1:58" x14ac:dyDescent="0.25">
      <c r="C77" s="190">
        <f>SUMPRODUCT( L8:L13, Y8:Y13 ) / L14</f>
        <v>18.955555555555556</v>
      </c>
      <c r="E77" s="191"/>
      <c r="G77" s="353"/>
      <c r="J77" s="173"/>
      <c r="K77" s="173"/>
      <c r="AQ77" s="207"/>
      <c r="AR77" s="207"/>
      <c r="AS77" s="207"/>
    </row>
    <row r="78" spans="1:58" s="173" customFormat="1" ht="13.8" x14ac:dyDescent="0.2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ref="AQ7:AT52">
    <sortCondition ref="AQ7:AQ52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163" priority="31" stopIfTrue="1">
      <formula>IF( $AH7 = 1, TRUE, FALSE )</formula>
    </cfRule>
    <cfRule type="expression" dxfId="1162" priority="32" stopIfTrue="1">
      <formula>IF( $AG7 = 1, TRUE, FALSE )</formula>
    </cfRule>
    <cfRule type="expression" dxfId="1161" priority="33" stopIfTrue="1">
      <formula>IF( $AF7 = 1, TRUE, FALSE )</formula>
    </cfRule>
  </conditionalFormatting>
  <conditionalFormatting sqref="A67:E67">
    <cfRule type="expression" dxfId="1160" priority="34" stopIfTrue="1">
      <formula>IF( $AH67 = 1, TRUE, FALSE )</formula>
    </cfRule>
    <cfRule type="expression" dxfId="1159" priority="35" stopIfTrue="1">
      <formula>IF( $AG67 = 1, TRUE, FALSE )</formula>
    </cfRule>
    <cfRule type="expression" dxfId="1158" priority="36" stopIfTrue="1">
      <formula>IF( $AF67 = 1, TRUE, FALSE )</formula>
    </cfRule>
  </conditionalFormatting>
  <conditionalFormatting sqref="A66:E66">
    <cfRule type="expression" dxfId="1157" priority="28" stopIfTrue="1">
      <formula>IF( $AH66 = 1, TRUE, FALSE )</formula>
    </cfRule>
    <cfRule type="expression" dxfId="1156" priority="29" stopIfTrue="1">
      <formula>IF( $AG66 = 1, TRUE, FALSE )</formula>
    </cfRule>
    <cfRule type="expression" dxfId="1155" priority="30" stopIfTrue="1">
      <formula>IF( $AF66 = 1, TRUE, FALSE )</formula>
    </cfRule>
  </conditionalFormatting>
  <conditionalFormatting sqref="A8:D33 B7:D7 A35:D58">
    <cfRule type="expression" dxfId="1154" priority="25" stopIfTrue="1">
      <formula>IF( $AH7 = 1, TRUE, FALSE )</formula>
    </cfRule>
    <cfRule type="expression" dxfId="1153" priority="26" stopIfTrue="1">
      <formula>IF( $AG7 = 1, TRUE, FALSE )</formula>
    </cfRule>
    <cfRule type="expression" dxfId="1152" priority="27" stopIfTrue="1">
      <formula>IF( $AF7 = 1, TRUE, FALSE )</formula>
    </cfRule>
  </conditionalFormatting>
  <conditionalFormatting sqref="A59:D59">
    <cfRule type="expression" dxfId="1151" priority="22" stopIfTrue="1">
      <formula>IF( $AH59 = 1, TRUE, FALSE )</formula>
    </cfRule>
    <cfRule type="expression" dxfId="1150" priority="23" stopIfTrue="1">
      <formula>IF( $AG59 = 1, TRUE, FALSE )</formula>
    </cfRule>
    <cfRule type="expression" dxfId="1149" priority="24" stopIfTrue="1">
      <formula>IF( $AF59 = 1, TRUE, FALSE )</formula>
    </cfRule>
  </conditionalFormatting>
  <conditionalFormatting sqref="A61:D65">
    <cfRule type="expression" dxfId="1148" priority="19" stopIfTrue="1">
      <formula>IF( $AH61 = 1, TRUE, FALSE )</formula>
    </cfRule>
    <cfRule type="expression" dxfId="1147" priority="20" stopIfTrue="1">
      <formula>IF( $AG61 = 1, TRUE, FALSE )</formula>
    </cfRule>
    <cfRule type="expression" dxfId="1146" priority="21" stopIfTrue="1">
      <formula>IF( $AF61 = 1, TRUE, FALSE )</formula>
    </cfRule>
  </conditionalFormatting>
  <conditionalFormatting sqref="U8:U12">
    <cfRule type="cellIs" dxfId="1145" priority="18" operator="equal">
      <formula>0</formula>
    </cfRule>
  </conditionalFormatting>
  <conditionalFormatting sqref="O8:O12 Q8:Q12">
    <cfRule type="cellIs" dxfId="1144" priority="17" operator="equal">
      <formula>0</formula>
    </cfRule>
  </conditionalFormatting>
  <conditionalFormatting sqref="V8:V12">
    <cfRule type="cellIs" dxfId="1143" priority="16" operator="equal">
      <formula>0</formula>
    </cfRule>
  </conditionalFormatting>
  <conditionalFormatting sqref="S8:S12">
    <cfRule type="cellIs" dxfId="1142" priority="14" operator="equal">
      <formula>0</formula>
    </cfRule>
  </conditionalFormatting>
  <conditionalFormatting sqref="R8:R12">
    <cfRule type="cellIs" dxfId="1141" priority="15" operator="equal">
      <formula>0</formula>
    </cfRule>
  </conditionalFormatting>
  <conditionalFormatting sqref="P8:P12">
    <cfRule type="cellIs" dxfId="1140" priority="13" operator="equal">
      <formula>0</formula>
    </cfRule>
  </conditionalFormatting>
  <conditionalFormatting sqref="M8:M12">
    <cfRule type="cellIs" dxfId="1139" priority="12" operator="equal">
      <formula>0</formula>
    </cfRule>
  </conditionalFormatting>
  <conditionalFormatting sqref="T8:T12">
    <cfRule type="cellIs" dxfId="1138" priority="11" operator="equal">
      <formula>0</formula>
    </cfRule>
  </conditionalFormatting>
  <conditionalFormatting sqref="N8:N12">
    <cfRule type="cellIs" dxfId="1137" priority="10" operator="equal">
      <formula>0</formula>
    </cfRule>
  </conditionalFormatting>
  <conditionalFormatting sqref="K8:K12">
    <cfRule type="cellIs" dxfId="1136" priority="9" operator="equal">
      <formula>0</formula>
    </cfRule>
  </conditionalFormatting>
  <conditionalFormatting sqref="I8:I12">
    <cfRule type="cellIs" dxfId="1135" priority="8" operator="equal">
      <formula>0</formula>
    </cfRule>
  </conditionalFormatting>
  <conditionalFormatting sqref="W8:W12">
    <cfRule type="cellIs" dxfId="1134" priority="7" operator="equal">
      <formula>0</formula>
    </cfRule>
  </conditionalFormatting>
  <conditionalFormatting sqref="A7">
    <cfRule type="expression" dxfId="1133" priority="4" stopIfTrue="1">
      <formula>IF( $AH7 = 1, TRUE, FALSE )</formula>
    </cfRule>
    <cfRule type="expression" dxfId="1132" priority="5" stopIfTrue="1">
      <formula>IF( $AG7 = 1, TRUE, FALSE )</formula>
    </cfRule>
    <cfRule type="expression" dxfId="1131" priority="6" stopIfTrue="1">
      <formula>IF( $AF7 = 1, TRUE, FALSE )</formula>
    </cfRule>
  </conditionalFormatting>
  <conditionalFormatting sqref="A34:D34">
    <cfRule type="expression" dxfId="1130" priority="1" stopIfTrue="1">
      <formula>IF( $AH34 = 1, TRUE, FALSE )</formula>
    </cfRule>
    <cfRule type="expression" dxfId="1129" priority="2" stopIfTrue="1">
      <formula>IF( $AG34 = 1, TRUE, FALSE )</formula>
    </cfRule>
    <cfRule type="expression" dxfId="1128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hidden="1" customWidth="1" outlineLevel="1"/>
    <col min="23" max="23" width="2" style="168" hidden="1" customWidth="1" outlineLevel="1"/>
    <col min="24" max="24" width="4.109375" style="168" customWidth="1" collapsed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15.88671875" style="169" hidden="1" customWidth="1" outlineLevel="1" collapsed="1"/>
    <col min="37" max="38" width="15.88671875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-- 2019 Q1</v>
      </c>
      <c r="G1" s="175" t="s">
        <v>195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 x14ac:dyDescent="0.25">
      <c r="A2" s="167"/>
      <c r="E2" s="171" t="str">
        <f>G2</f>
        <v>Reg_Percent_2018</v>
      </c>
      <c r="G2" s="172" t="s">
        <v>334</v>
      </c>
      <c r="AJ2" s="173" t="str">
        <f>AJ4 &amp; AJ3</f>
        <v>'Credit_2018Q4'!d:d</v>
      </c>
      <c r="AK2" s="173" t="str">
        <f>AK4 &amp; AK3</f>
        <v>'Credit_2018Q4'!b1</v>
      </c>
      <c r="AL2" s="173" t="str">
        <f>AL4 &amp; AL3</f>
        <v>'Credit_2018Q4'!c1</v>
      </c>
      <c r="AQ2" s="169"/>
    </row>
    <row r="3" spans="1:61" ht="18" hidden="1" outlineLevel="1" x14ac:dyDescent="0.25">
      <c r="A3" s="167"/>
      <c r="E3" s="174" t="str">
        <f>"'" &amp; E2 &amp; "'!"</f>
        <v>'Reg_Percent_2018'!</v>
      </c>
      <c r="G3" s="168" t="str">
        <f>"'" &amp; G2 &amp; "'!"</f>
        <v>'Reg_Percent_2018'!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205</v>
      </c>
      <c r="AK3" s="149" t="s">
        <v>206</v>
      </c>
      <c r="AL3" s="149" t="s">
        <v>207</v>
      </c>
      <c r="AQ3" s="169"/>
    </row>
    <row r="4" spans="1:61" ht="18" hidden="1" outlineLevel="1" x14ac:dyDescent="0.25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>$AQ$5</f>
        <v>'Credit_2018Q4'!</v>
      </c>
      <c r="AK4" s="169" t="str">
        <f t="shared" ref="AK4:AL4" si="0">$AQ$5</f>
        <v>'Credit_2018Q4'!</v>
      </c>
      <c r="AL4" s="169" t="str">
        <f t="shared" si="0"/>
        <v>'Credit_2018Q4'!</v>
      </c>
      <c r="AQ4" s="169"/>
    </row>
    <row r="5" spans="1:61" ht="13.8" collapsed="1" x14ac:dyDescent="0.25">
      <c r="E5" s="176" t="s">
        <v>209</v>
      </c>
      <c r="G5" s="170" t="s">
        <v>199</v>
      </c>
      <c r="I5" s="230"/>
      <c r="J5" s="389" t="s">
        <v>210</v>
      </c>
      <c r="K5" s="230"/>
      <c r="L5" s="391" t="str">
        <f>"All Companies" &amp; CHAR( 10 ) &amp; "("&amp; L14 &amp; ")"</f>
        <v>All Companies
(45)</v>
      </c>
      <c r="M5" s="391"/>
      <c r="N5" s="230"/>
      <c r="O5" s="389" t="str">
        <f ca="1">"Regulated" &amp; CHAR( 10 ) &amp; "(" &amp; O14 &amp; ")"</f>
        <v>Regulated
(35)</v>
      </c>
      <c r="P5" s="393"/>
      <c r="Q5" s="230"/>
      <c r="R5" s="389" t="str">
        <f ca="1">"Mostly Regulated" &amp; CHAR( 10 ) &amp; "(" &amp; R14 &amp; ")"</f>
        <v>Mostly Regulated
(10)</v>
      </c>
      <c r="S5" s="393"/>
      <c r="T5" s="230"/>
      <c r="U5" s="389" t="str">
        <f ca="1">"Diversified" &amp; CHAR( 10 ) &amp; "(" &amp; U14 &amp; ")"</f>
        <v>Diversified
(0)</v>
      </c>
      <c r="V5" s="393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341</v>
      </c>
    </row>
    <row r="6" spans="1:61" ht="28.5" customHeight="1" x14ac:dyDescent="0.25">
      <c r="A6" s="219" t="s">
        <v>212</v>
      </c>
      <c r="B6" s="220" t="s">
        <v>342</v>
      </c>
      <c r="C6" s="249" t="s">
        <v>214</v>
      </c>
      <c r="D6" s="221"/>
      <c r="E6" s="222">
        <f ca="1">INDIRECT( E3 &amp; G1 )</f>
        <v>43465</v>
      </c>
      <c r="I6" s="231"/>
      <c r="J6" s="390"/>
      <c r="K6" s="231"/>
      <c r="L6" s="392"/>
      <c r="M6" s="392"/>
      <c r="N6" s="231"/>
      <c r="O6" s="390"/>
      <c r="P6" s="390"/>
      <c r="Q6" s="231"/>
      <c r="R6" s="390" t="s">
        <v>136</v>
      </c>
      <c r="S6" s="390"/>
      <c r="T6" s="231"/>
      <c r="U6" s="390"/>
      <c r="V6" s="390"/>
      <c r="W6" s="231"/>
      <c r="AE6" s="178"/>
      <c r="AJ6" s="179"/>
    </row>
    <row r="7" spans="1:61" ht="13.8" x14ac:dyDescent="0.25">
      <c r="A7" s="223" t="s">
        <v>235</v>
      </c>
      <c r="B7" s="224" t="s">
        <v>164</v>
      </c>
      <c r="C7" s="224">
        <v>22</v>
      </c>
      <c r="D7" s="224" t="s">
        <v>236</v>
      </c>
      <c r="E7" s="225" t="str">
        <f ca="1">IF( LEN( $G7 ) = 0, "", OFFSET( INDIRECT( E$3 &amp; E$4 ), $G7 - 1, 0 ) )</f>
        <v>R</v>
      </c>
      <c r="F7" s="348"/>
      <c r="G7" s="349">
        <f t="shared" ref="G7:G62" ca="1" si="1">IF( LEN( $D7 ) = 0, "", MATCH( $D7, INDIRECT( G$3 &amp; G$4 ), 0 ) )</f>
        <v>24</v>
      </c>
      <c r="H7" s="350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A+</v>
      </c>
      <c r="AL7" s="169">
        <f ca="1">IF( ISNA( $AJ7 ), "", OFFSET( INDIRECT( AL$2 ), $AJ7-1, 0 ) )</f>
        <v>22</v>
      </c>
      <c r="AM7" s="169" t="str">
        <f t="shared" ref="AM7:AM67" ca="1" si="4">IF( B7 = AK7, "", "Change" )</f>
        <v/>
      </c>
      <c r="AQ7" s="207" t="s">
        <v>217</v>
      </c>
      <c r="AR7" s="207" t="s">
        <v>140</v>
      </c>
      <c r="AS7" s="207">
        <v>19</v>
      </c>
      <c r="AT7" s="207" t="s">
        <v>218</v>
      </c>
      <c r="AV7" s="168">
        <f>IF( LEN( AS7 ) = 0, 99, RANK( AS7, $AS$7:$AS$63 ) )</f>
        <v>14</v>
      </c>
      <c r="AW7" s="168">
        <f>COUNTIF( AV7:AV$7, AV7 )</f>
        <v>1</v>
      </c>
      <c r="AX7" s="208">
        <f>AV7 + AW7 / 10</f>
        <v>14.1</v>
      </c>
      <c r="AY7" s="168">
        <f>RANK( AX7, $AX$7:$AX$63, 1 )</f>
        <v>14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21</v>
      </c>
      <c r="BF7" s="173" t="str">
        <f t="shared" ref="BF7:BI38" ca="1" si="7">OFFSET( AQ$6, $BD7, 0 )</f>
        <v>Eversource Energy</v>
      </c>
      <c r="BG7" s="173" t="str">
        <f t="shared" ca="1" si="7"/>
        <v>A+</v>
      </c>
      <c r="BH7" s="173">
        <f t="shared" ca="1" si="7"/>
        <v>22</v>
      </c>
      <c r="BI7" s="173" t="str">
        <f t="shared" ca="1" si="7"/>
        <v>ES</v>
      </c>
    </row>
    <row r="8" spans="1:61" ht="13.8" x14ac:dyDescent="0.25">
      <c r="A8" s="223" t="s">
        <v>215</v>
      </c>
      <c r="B8" s="224" t="s">
        <v>166</v>
      </c>
      <c r="C8" s="224">
        <v>21</v>
      </c>
      <c r="D8" s="224" t="s">
        <v>216</v>
      </c>
      <c r="E8" s="225" t="str">
        <f t="shared" ref="E8:E61" ca="1" si="8">IF( LEN( $G8 ) = 0, "", OFFSET( INDIRECT( E$3 &amp; E$4 ), $G8 - 1, 0 ) )</f>
        <v>MR</v>
      </c>
      <c r="F8" s="348"/>
      <c r="G8" s="349">
        <f t="shared" ca="1" si="1"/>
        <v>56</v>
      </c>
      <c r="H8" s="350"/>
      <c r="I8" s="233"/>
      <c r="J8" s="213" t="s">
        <v>137</v>
      </c>
      <c r="K8" s="233"/>
      <c r="L8" s="213">
        <f t="shared" ref="L8:L13" si="9">COUNTIF($C$7:$C$67,$X8)</f>
        <v>3</v>
      </c>
      <c r="M8" s="214">
        <f t="shared" ref="M8:M13" si="10">IF( L8 = 0, "", L8/L$14 )</f>
        <v>6.6666666666666666E-2</v>
      </c>
      <c r="N8" s="233"/>
      <c r="O8" s="213">
        <f t="shared" ref="O8:O13" ca="1" si="11">COUNTIFS( $E$7:$E$66, O$3, $C$7:$C$66, $X8 )</f>
        <v>2</v>
      </c>
      <c r="P8" s="214">
        <f t="shared" ref="P8:P13" ca="1" si="12">IF( O8 = 0, "", O8/O$14 )</f>
        <v>5.7142857142857141E-2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0.1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7">SUM(O8, R8, U8)</f>
        <v>3</v>
      </c>
      <c r="AC8" s="351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7</v>
      </c>
      <c r="BF8" s="173" t="str">
        <f t="shared" ca="1" si="7"/>
        <v>Berkshire Energy Holdings Company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**BRK</v>
      </c>
    </row>
    <row r="9" spans="1:61" ht="13.8" x14ac:dyDescent="0.25">
      <c r="A9" s="223" t="s">
        <v>219</v>
      </c>
      <c r="B9" s="224" t="s">
        <v>139</v>
      </c>
      <c r="C9" s="224">
        <v>20</v>
      </c>
      <c r="D9" s="224" t="s">
        <v>220</v>
      </c>
      <c r="E9" s="225" t="str">
        <f t="shared" ca="1" si="8"/>
        <v>R</v>
      </c>
      <c r="F9" s="348"/>
      <c r="G9" s="349">
        <f t="shared" ca="1" si="1"/>
        <v>8</v>
      </c>
      <c r="H9" s="350"/>
      <c r="I9" s="234"/>
      <c r="J9" s="215" t="s">
        <v>139</v>
      </c>
      <c r="K9" s="234"/>
      <c r="L9" s="215">
        <f t="shared" si="9"/>
        <v>11</v>
      </c>
      <c r="M9" s="216">
        <f t="shared" si="10"/>
        <v>0.24444444444444444</v>
      </c>
      <c r="N9" s="234"/>
      <c r="O9" s="215">
        <f t="shared" ca="1" si="11"/>
        <v>10</v>
      </c>
      <c r="P9" s="216">
        <f t="shared" ca="1" si="12"/>
        <v>0.2857142857142857</v>
      </c>
      <c r="Q9" s="234"/>
      <c r="R9" s="215">
        <f t="shared" ca="1" si="13"/>
        <v>1</v>
      </c>
      <c r="S9" s="216">
        <f t="shared" ca="1" si="14"/>
        <v>0.1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7"/>
        <v>11</v>
      </c>
      <c r="AC9" s="351"/>
      <c r="AE9" s="184"/>
      <c r="AF9" s="169">
        <f t="shared" si="2"/>
        <v>1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si="21"/>
        <v>14</v>
      </c>
      <c r="AW9" s="168">
        <f>COUNTIF( AV$7:AV9, AV9 )</f>
        <v>2</v>
      </c>
      <c r="AX9" s="208">
        <f t="shared" si="22"/>
        <v>14.2</v>
      </c>
      <c r="AY9" s="168">
        <f t="shared" si="23"/>
        <v>15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ht="13.8" x14ac:dyDescent="0.25">
      <c r="A10" s="223" t="s">
        <v>222</v>
      </c>
      <c r="B10" s="224" t="s">
        <v>139</v>
      </c>
      <c r="C10" s="224">
        <v>20</v>
      </c>
      <c r="D10" s="224" t="s">
        <v>223</v>
      </c>
      <c r="E10" s="225" t="str">
        <f t="shared" ca="1" si="8"/>
        <v>R</v>
      </c>
      <c r="F10" s="348"/>
      <c r="G10" s="349">
        <f t="shared" ca="1" si="1"/>
        <v>10</v>
      </c>
      <c r="H10" s="350"/>
      <c r="I10" s="234"/>
      <c r="J10" s="215" t="s">
        <v>140</v>
      </c>
      <c r="K10" s="234"/>
      <c r="L10" s="215">
        <f t="shared" si="9"/>
        <v>18</v>
      </c>
      <c r="M10" s="216">
        <f t="shared" si="10"/>
        <v>0.4</v>
      </c>
      <c r="N10" s="234"/>
      <c r="O10" s="215">
        <f t="shared" ca="1" si="11"/>
        <v>11</v>
      </c>
      <c r="P10" s="216">
        <f t="shared" ca="1" si="12"/>
        <v>0.31428571428571428</v>
      </c>
      <c r="Q10" s="234"/>
      <c r="R10" s="215">
        <f t="shared" ca="1" si="13"/>
        <v>7</v>
      </c>
      <c r="S10" s="216">
        <f t="shared" ca="1" si="14"/>
        <v>0.7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229</v>
      </c>
      <c r="Y10" s="186">
        <v>19</v>
      </c>
      <c r="Z10" s="186">
        <v>1</v>
      </c>
      <c r="AA10" s="185">
        <f t="shared" ca="1" si="17"/>
        <v>18</v>
      </c>
      <c r="AE10" s="184"/>
      <c r="AF10" s="169">
        <f t="shared" si="2"/>
        <v>1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222</v>
      </c>
      <c r="AR10" s="207" t="s">
        <v>139</v>
      </c>
      <c r="AS10" s="207">
        <v>20</v>
      </c>
      <c r="AT10" s="207" t="s">
        <v>223</v>
      </c>
      <c r="AV10" s="168">
        <f t="shared" si="21"/>
        <v>3</v>
      </c>
      <c r="AW10" s="168">
        <f>COUNTIF( AV$7:AV10, AV10 )</f>
        <v>2</v>
      </c>
      <c r="AX10" s="208">
        <f t="shared" si="22"/>
        <v>3.2</v>
      </c>
      <c r="AY10" s="168">
        <f t="shared" si="23"/>
        <v>4</v>
      </c>
      <c r="AZ10" s="169"/>
      <c r="BA10" s="169"/>
      <c r="BC10" s="168">
        <f t="shared" ca="1" si="24"/>
        <v>4</v>
      </c>
      <c r="BD10" s="209">
        <f t="shared" ca="1" si="6"/>
        <v>4</v>
      </c>
      <c r="BF10" s="173" t="str">
        <f t="shared" ca="1" si="7"/>
        <v>American Electric Power Company,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AEP</v>
      </c>
    </row>
    <row r="11" spans="1:61" ht="13.8" x14ac:dyDescent="0.25">
      <c r="A11" s="223" t="s">
        <v>227</v>
      </c>
      <c r="B11" s="224" t="s">
        <v>139</v>
      </c>
      <c r="C11" s="224">
        <v>20</v>
      </c>
      <c r="D11" s="224" t="s">
        <v>228</v>
      </c>
      <c r="E11" s="225" t="str">
        <f t="shared" ca="1" si="8"/>
        <v>R</v>
      </c>
      <c r="F11" s="348"/>
      <c r="G11" s="349">
        <f t="shared" ca="1" si="1"/>
        <v>16</v>
      </c>
      <c r="H11" s="350"/>
      <c r="I11" s="234"/>
      <c r="J11" s="215" t="s">
        <v>141</v>
      </c>
      <c r="K11" s="234"/>
      <c r="L11" s="215">
        <f t="shared" si="9"/>
        <v>8</v>
      </c>
      <c r="M11" s="216">
        <f t="shared" si="10"/>
        <v>0.17777777777777778</v>
      </c>
      <c r="N11" s="234"/>
      <c r="O11" s="215">
        <f t="shared" ca="1" si="11"/>
        <v>8</v>
      </c>
      <c r="P11" s="216">
        <f t="shared" ca="1" si="12"/>
        <v>0.22857142857142856</v>
      </c>
      <c r="Q11" s="234"/>
      <c r="R11" s="215">
        <f t="shared" ca="1" si="13"/>
        <v>0</v>
      </c>
      <c r="S11" s="216" t="str">
        <f t="shared" ca="1" si="14"/>
        <v/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7"/>
        <v>8</v>
      </c>
      <c r="AE11" s="184"/>
      <c r="AF11" s="169">
        <f t="shared" si="2"/>
        <v>1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12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233</v>
      </c>
      <c r="AR11" s="207" t="s">
        <v>140</v>
      </c>
      <c r="AS11" s="207">
        <v>19</v>
      </c>
      <c r="AT11" s="207" t="s">
        <v>234</v>
      </c>
      <c r="AV11" s="168">
        <f t="shared" si="21"/>
        <v>14</v>
      </c>
      <c r="AW11" s="168">
        <f>COUNTIF( AV$7:AV11, AV11 )</f>
        <v>3</v>
      </c>
      <c r="AX11" s="208">
        <f t="shared" si="22"/>
        <v>14.3</v>
      </c>
      <c r="AY11" s="168">
        <f t="shared" si="23"/>
        <v>16</v>
      </c>
      <c r="AZ11" s="169"/>
      <c r="BA11" s="169"/>
      <c r="BC11" s="168">
        <f t="shared" ca="1" si="24"/>
        <v>5</v>
      </c>
      <c r="BD11" s="209">
        <f t="shared" ca="1" si="6"/>
        <v>12</v>
      </c>
      <c r="BF11" s="173" t="str">
        <f t="shared" ca="1" si="7"/>
        <v>Consolidated Edison,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ED</v>
      </c>
    </row>
    <row r="12" spans="1:61" ht="13.8" x14ac:dyDescent="0.25">
      <c r="A12" s="223" t="s">
        <v>263</v>
      </c>
      <c r="B12" s="224" t="s">
        <v>139</v>
      </c>
      <c r="C12" s="224">
        <v>20</v>
      </c>
      <c r="D12" s="224" t="s">
        <v>264</v>
      </c>
      <c r="E12" s="225" t="str">
        <f t="shared" ca="1" si="8"/>
        <v>R</v>
      </c>
      <c r="F12" s="348"/>
      <c r="G12" s="349">
        <f t="shared" ca="1" si="1"/>
        <v>19</v>
      </c>
      <c r="H12" s="350"/>
      <c r="I12" s="234"/>
      <c r="J12" s="215" t="s">
        <v>142</v>
      </c>
      <c r="K12" s="234"/>
      <c r="L12" s="215">
        <f t="shared" si="9"/>
        <v>4</v>
      </c>
      <c r="M12" s="216">
        <f t="shared" si="10"/>
        <v>8.8888888888888892E-2</v>
      </c>
      <c r="N12" s="234"/>
      <c r="O12" s="215">
        <f t="shared" ca="1" si="11"/>
        <v>3</v>
      </c>
      <c r="P12" s="216">
        <f t="shared" ca="1" si="12"/>
        <v>8.5714285714285715E-2</v>
      </c>
      <c r="Q12" s="234"/>
      <c r="R12" s="215">
        <f t="shared" ca="1" si="13"/>
        <v>1</v>
      </c>
      <c r="S12" s="216">
        <f t="shared" ca="1" si="14"/>
        <v>0.1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237</v>
      </c>
      <c r="Y12" s="186">
        <v>17</v>
      </c>
      <c r="Z12" s="186">
        <v>1</v>
      </c>
      <c r="AA12" s="185">
        <f t="shared" ca="1" si="17"/>
        <v>4</v>
      </c>
      <c r="AE12" s="184"/>
      <c r="AF12" s="169">
        <f t="shared" si="2"/>
        <v>1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13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238</v>
      </c>
      <c r="AR12" s="207" t="s">
        <v>141</v>
      </c>
      <c r="AS12" s="207">
        <v>18</v>
      </c>
      <c r="AT12" s="207" t="s">
        <v>239</v>
      </c>
      <c r="AV12" s="168">
        <f t="shared" si="21"/>
        <v>32</v>
      </c>
      <c r="AW12" s="168">
        <f>COUNTIF( AV$7:AV12, AV12 )</f>
        <v>1</v>
      </c>
      <c r="AX12" s="208">
        <f t="shared" si="22"/>
        <v>32.1</v>
      </c>
      <c r="AY12" s="168">
        <f t="shared" si="23"/>
        <v>32</v>
      </c>
      <c r="AZ12" s="169"/>
      <c r="BA12" s="169"/>
      <c r="BC12" s="168">
        <f t="shared" ca="1" si="24"/>
        <v>6</v>
      </c>
      <c r="BD12" s="209">
        <f t="shared" ca="1" si="6"/>
        <v>16</v>
      </c>
      <c r="BF12" s="173" t="str">
        <f t="shared" ca="1" si="7"/>
        <v>Duke Energy Corporation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DUK</v>
      </c>
    </row>
    <row r="13" spans="1:61" ht="13.8" x14ac:dyDescent="0.25">
      <c r="A13" s="223" t="s">
        <v>230</v>
      </c>
      <c r="B13" s="224" t="s">
        <v>139</v>
      </c>
      <c r="C13" s="224">
        <v>20</v>
      </c>
      <c r="D13" s="224" t="s">
        <v>231</v>
      </c>
      <c r="E13" s="225" t="str">
        <f t="shared" ca="1" si="8"/>
        <v>R</v>
      </c>
      <c r="F13" s="348"/>
      <c r="G13" s="349">
        <f t="shared" ca="1" si="1"/>
        <v>23</v>
      </c>
      <c r="H13" s="350"/>
      <c r="I13" s="235"/>
      <c r="J13" s="217" t="s">
        <v>143</v>
      </c>
      <c r="K13" s="235"/>
      <c r="L13" s="217">
        <f t="shared" si="9"/>
        <v>1</v>
      </c>
      <c r="M13" s="218">
        <f t="shared" si="10"/>
        <v>2.2222222222222223E-2</v>
      </c>
      <c r="N13" s="235"/>
      <c r="O13" s="217">
        <f t="shared" ca="1" si="11"/>
        <v>1</v>
      </c>
      <c r="P13" s="218">
        <f t="shared" ca="1" si="12"/>
        <v>2.8571428571428571E-2</v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242</v>
      </c>
      <c r="Y13" s="186">
        <v>16</v>
      </c>
      <c r="Z13" s="186">
        <v>1</v>
      </c>
      <c r="AA13" s="188">
        <f t="shared" ca="1" si="17"/>
        <v>1</v>
      </c>
      <c r="AE13" s="184"/>
      <c r="AF13" s="169">
        <f t="shared" si="2"/>
        <v>1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14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215</v>
      </c>
      <c r="AR13" s="207" t="s">
        <v>166</v>
      </c>
      <c r="AS13" s="207">
        <v>21</v>
      </c>
      <c r="AT13" s="207" t="s">
        <v>216</v>
      </c>
      <c r="AV13" s="168">
        <f t="shared" si="21"/>
        <v>2</v>
      </c>
      <c r="AW13" s="168">
        <f>COUNTIF( AV$7:AV13, AV13 )</f>
        <v>1</v>
      </c>
      <c r="AX13" s="208">
        <f t="shared" si="22"/>
        <v>2.1</v>
      </c>
      <c r="AY13" s="168">
        <f t="shared" si="23"/>
        <v>2</v>
      </c>
      <c r="AZ13" s="169"/>
      <c r="BA13" s="169"/>
      <c r="BC13" s="168">
        <f t="shared" ca="1" si="24"/>
        <v>7</v>
      </c>
      <c r="BD13" s="209">
        <f t="shared" ca="1" si="6"/>
        <v>20</v>
      </c>
      <c r="BF13" s="173" t="str">
        <f t="shared" ca="1" si="7"/>
        <v>Evergy, Inc.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EVRG</v>
      </c>
    </row>
    <row r="14" spans="1:61" ht="13.8" x14ac:dyDescent="0.25">
      <c r="A14" s="223" t="s">
        <v>240</v>
      </c>
      <c r="B14" s="224" t="s">
        <v>139</v>
      </c>
      <c r="C14" s="224">
        <v>20</v>
      </c>
      <c r="D14" s="224" t="s">
        <v>241</v>
      </c>
      <c r="E14" s="225" t="str">
        <f t="shared" ca="1" si="8"/>
        <v>MR</v>
      </c>
      <c r="F14" s="348"/>
      <c r="G14" s="349">
        <f t="shared" ca="1" si="1"/>
        <v>31</v>
      </c>
      <c r="H14" s="350"/>
      <c r="I14" s="236"/>
      <c r="J14" s="211" t="s">
        <v>144</v>
      </c>
      <c r="K14" s="236"/>
      <c r="L14" s="211">
        <f>SUM(L8:L13)</f>
        <v>45</v>
      </c>
      <c r="M14" s="212">
        <f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10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18.955555555555556</v>
      </c>
      <c r="Z14" s="190"/>
      <c r="AA14" s="189">
        <f ca="1">SUM(AA8:AA13)</f>
        <v>45</v>
      </c>
      <c r="AE14" s="184"/>
      <c r="AF14" s="169">
        <f t="shared" si="2"/>
        <v>1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15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245</v>
      </c>
      <c r="AR14" s="207" t="s">
        <v>140</v>
      </c>
      <c r="AS14" s="207">
        <v>19</v>
      </c>
      <c r="AT14" s="207" t="s">
        <v>246</v>
      </c>
      <c r="AV14" s="168">
        <f>IF( LEN( AS14 ) = 0, 99, RANK( AS14, $AS$7:$AS$63 ) )</f>
        <v>14</v>
      </c>
      <c r="AW14" s="168">
        <f>COUNTIF( AV$7:AV14, AV14 )</f>
        <v>4</v>
      </c>
      <c r="AX14" s="208">
        <f t="shared" si="22"/>
        <v>14.4</v>
      </c>
      <c r="AY14" s="168">
        <f t="shared" si="23"/>
        <v>17</v>
      </c>
      <c r="AZ14" s="169"/>
      <c r="BA14" s="169"/>
      <c r="BC14" s="168">
        <f t="shared" ca="1" si="24"/>
        <v>8</v>
      </c>
      <c r="BD14" s="209">
        <f t="shared" ca="1" si="6"/>
        <v>28</v>
      </c>
      <c r="BF14" s="173" t="str">
        <f t="shared" ca="1" si="7"/>
        <v>NextEra Energy,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NEE</v>
      </c>
    </row>
    <row r="15" spans="1:61" ht="13.8" x14ac:dyDescent="0.25">
      <c r="A15" s="223" t="s">
        <v>281</v>
      </c>
      <c r="B15" s="224" t="s">
        <v>139</v>
      </c>
      <c r="C15" s="224">
        <v>20</v>
      </c>
      <c r="D15" s="224" t="s">
        <v>282</v>
      </c>
      <c r="E15" s="225" t="str">
        <f t="shared" ca="1" si="8"/>
        <v>R</v>
      </c>
      <c r="F15" s="348"/>
      <c r="G15" s="349">
        <f t="shared" ca="1" si="1"/>
        <v>37</v>
      </c>
      <c r="H15" s="350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1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16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249</v>
      </c>
      <c r="AR15" s="207" t="s">
        <v>140</v>
      </c>
      <c r="AS15" s="207">
        <v>19</v>
      </c>
      <c r="AT15" s="207" t="s">
        <v>250</v>
      </c>
      <c r="AV15" s="168">
        <f t="shared" si="21"/>
        <v>14</v>
      </c>
      <c r="AW15" s="168">
        <f>COUNTIF( AV$7:AV15, AV15 )</f>
        <v>5</v>
      </c>
      <c r="AX15" s="208">
        <f t="shared" si="22"/>
        <v>14.5</v>
      </c>
      <c r="AY15" s="168">
        <f t="shared" si="23"/>
        <v>18</v>
      </c>
      <c r="AZ15" s="169"/>
      <c r="BA15" s="169"/>
      <c r="BC15" s="168">
        <f t="shared" ca="1" si="24"/>
        <v>9</v>
      </c>
      <c r="BD15" s="209">
        <f t="shared" ca="1" si="6"/>
        <v>34</v>
      </c>
      <c r="BF15" s="173" t="str">
        <f t="shared" ca="1" si="7"/>
        <v>Pinnacle West Capital Corporation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PNW</v>
      </c>
    </row>
    <row r="16" spans="1:61" ht="13.8" x14ac:dyDescent="0.25">
      <c r="A16" s="223" t="s">
        <v>243</v>
      </c>
      <c r="B16" s="224" t="s">
        <v>139</v>
      </c>
      <c r="C16" s="224">
        <v>20</v>
      </c>
      <c r="D16" s="224" t="s">
        <v>244</v>
      </c>
      <c r="E16" s="225" t="str">
        <f t="shared" ca="1" si="8"/>
        <v>R</v>
      </c>
      <c r="F16" s="348"/>
      <c r="G16" s="349">
        <f t="shared" ca="1" si="1"/>
        <v>40</v>
      </c>
      <c r="H16" s="350"/>
      <c r="I16" s="232"/>
      <c r="J16" s="210" t="s">
        <v>253</v>
      </c>
      <c r="K16" s="232"/>
      <c r="L16" s="386">
        <f t="array" ref="L16">SUM( IF( LEN( $C$7:$C$65 ) = 0, 0, $C$7:$C$65 ) ) / SUM( IF( LEN( $C$7:$C$65 ) = 0, 0, 1  ) )</f>
        <v>18.733333333333334</v>
      </c>
      <c r="M16" s="387"/>
      <c r="N16" s="232"/>
      <c r="O16" s="386">
        <f t="array" aca="1" ref="O16" ca="1">SUM( IF( LEN( $C$7:$C$65 ) = 0, 0, IF( $E$7:$E$65 = O3, $C$7:$C$65, 0 ) ) ) / SUM( IF( LEN( $C$7:$C$65 ) = 0, 0, IF( $E$7:$E$65 = O3, 1, 0 ) ) )</f>
        <v>18.62857142857143</v>
      </c>
      <c r="P16" s="387"/>
      <c r="Q16" s="232"/>
      <c r="R16" s="386">
        <f t="array" aca="1" ref="R16" ca="1">SUM( IF( LEN( $C$7:$C$65 ) = 0, 0, IF( $E$7:$E$65 = R3, $C$7:$C$65, 0 ) ) ) / SUM( IF( LEN( $C$7:$C$65 ) = 0, 0, IF( $E$7:$E$65 = R3, 1, 0 ) ) )</f>
        <v>19.100000000000001</v>
      </c>
      <c r="S16" s="387"/>
      <c r="T16" s="232"/>
      <c r="U16" s="386" t="e">
        <f t="array" aca="1" ref="U16" ca="1">SUM( IF( LEN( $C$7:$C$65 ) = 0, 0, IF( $E$7:$E$65 = U3, $C$7:$C$65, 0 ) ) ) / SUM( IF( LEN( $C$7:$C$65 ) = 0, 0, IF( $E$7:$E$65 = U3, 1, 0 ) ) )</f>
        <v>#DIV/0!</v>
      </c>
      <c r="V16" s="388"/>
      <c r="W16" s="232"/>
      <c r="AE16" s="184"/>
      <c r="AF16" s="169">
        <f t="shared" si="2"/>
        <v>1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17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254</v>
      </c>
      <c r="AR16" s="207" t="s">
        <v>142</v>
      </c>
      <c r="AS16" s="207">
        <v>17</v>
      </c>
      <c r="AT16" s="207" t="s">
        <v>255</v>
      </c>
      <c r="AV16" s="168">
        <f t="shared" si="21"/>
        <v>40</v>
      </c>
      <c r="AW16" s="168">
        <f>COUNTIF( AV$7:AV16, AV16 )</f>
        <v>1</v>
      </c>
      <c r="AX16" s="208">
        <f t="shared" si="22"/>
        <v>40.1</v>
      </c>
      <c r="AY16" s="168">
        <f t="shared" si="23"/>
        <v>40</v>
      </c>
      <c r="AZ16" s="169"/>
      <c r="BA16" s="169"/>
      <c r="BC16" s="168">
        <f t="shared" ca="1" si="24"/>
        <v>10</v>
      </c>
      <c r="BD16" s="209">
        <f t="shared" ca="1" si="6"/>
        <v>37</v>
      </c>
      <c r="BF16" s="173" t="str">
        <f t="shared" ca="1" si="7"/>
        <v>PPL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PPL</v>
      </c>
    </row>
    <row r="17" spans="1:61" ht="13.8" x14ac:dyDescent="0.25">
      <c r="A17" s="223" t="s">
        <v>293</v>
      </c>
      <c r="B17" s="224" t="s">
        <v>139</v>
      </c>
      <c r="C17" s="224">
        <v>20</v>
      </c>
      <c r="D17" s="224" t="s">
        <v>294</v>
      </c>
      <c r="E17" s="225" t="str">
        <f t="shared" ca="1" si="8"/>
        <v>R</v>
      </c>
      <c r="F17" s="348"/>
      <c r="G17" s="349">
        <f t="shared" ca="1" si="1"/>
        <v>43</v>
      </c>
      <c r="H17" s="350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1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18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256</v>
      </c>
      <c r="AR17" s="207" t="s">
        <v>140</v>
      </c>
      <c r="AS17" s="207">
        <v>19</v>
      </c>
      <c r="AT17" s="207" t="s">
        <v>257</v>
      </c>
      <c r="AV17" s="168">
        <f t="shared" si="21"/>
        <v>14</v>
      </c>
      <c r="AW17" s="168">
        <f>COUNTIF( AV$7:AV17, AV17 )</f>
        <v>6</v>
      </c>
      <c r="AX17" s="208">
        <f t="shared" si="22"/>
        <v>14.6</v>
      </c>
      <c r="AY17" s="168">
        <f t="shared" si="23"/>
        <v>19</v>
      </c>
      <c r="AZ17" s="169"/>
      <c r="BA17" s="169"/>
      <c r="BC17" s="168">
        <f t="shared" ca="1" si="24"/>
        <v>11</v>
      </c>
      <c r="BD17" s="209">
        <f t="shared" ca="1" si="6"/>
        <v>41</v>
      </c>
      <c r="BF17" s="173" t="str">
        <f t="shared" ca="1" si="7"/>
        <v>Southern Company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SO</v>
      </c>
    </row>
    <row r="18" spans="1:61" ht="13.8" x14ac:dyDescent="0.25">
      <c r="A18" s="223" t="s">
        <v>247</v>
      </c>
      <c r="B18" s="224" t="s">
        <v>139</v>
      </c>
      <c r="C18" s="224">
        <v>20</v>
      </c>
      <c r="D18" s="224" t="s">
        <v>248</v>
      </c>
      <c r="E18" s="225" t="str">
        <f t="shared" ca="1" si="8"/>
        <v>R</v>
      </c>
      <c r="F18" s="348"/>
      <c r="G18" s="349">
        <f t="shared" ca="1" si="1"/>
        <v>45</v>
      </c>
      <c r="H18" s="350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1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20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227</v>
      </c>
      <c r="AR18" s="207" t="s">
        <v>139</v>
      </c>
      <c r="AS18" s="207">
        <v>20</v>
      </c>
      <c r="AT18" s="207" t="s">
        <v>228</v>
      </c>
      <c r="AV18" s="168">
        <f t="shared" si="21"/>
        <v>3</v>
      </c>
      <c r="AW18" s="168">
        <f>COUNTIF( AV$7:AV18, AV18 )</f>
        <v>3</v>
      </c>
      <c r="AX18" s="208">
        <f t="shared" si="22"/>
        <v>3.3</v>
      </c>
      <c r="AY18" s="168">
        <f t="shared" si="23"/>
        <v>5</v>
      </c>
      <c r="AZ18" s="169"/>
      <c r="BA18" s="169"/>
      <c r="BC18" s="168">
        <f t="shared" ca="1" si="24"/>
        <v>12</v>
      </c>
      <c r="BD18" s="209">
        <f t="shared" ca="1" si="6"/>
        <v>43</v>
      </c>
      <c r="BF18" s="173" t="str">
        <f t="shared" ca="1" si="7"/>
        <v>Wisconsin Energy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WEC</v>
      </c>
    </row>
    <row r="19" spans="1:61" ht="13.8" x14ac:dyDescent="0.25">
      <c r="A19" s="223" t="s">
        <v>251</v>
      </c>
      <c r="B19" s="224" t="s">
        <v>139</v>
      </c>
      <c r="C19" s="224">
        <v>20</v>
      </c>
      <c r="D19" s="224" t="s">
        <v>252</v>
      </c>
      <c r="E19" s="225" t="str">
        <f t="shared" ca="1" si="8"/>
        <v>R</v>
      </c>
      <c r="F19" s="348"/>
      <c r="G19" s="349">
        <f t="shared" ca="1" si="1"/>
        <v>46</v>
      </c>
      <c r="H19" s="350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21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258</v>
      </c>
      <c r="AR19" s="207" t="s">
        <v>140</v>
      </c>
      <c r="AS19" s="207">
        <v>19</v>
      </c>
      <c r="AT19" s="207" t="s">
        <v>194</v>
      </c>
      <c r="AV19" s="168">
        <f t="shared" si="21"/>
        <v>14</v>
      </c>
      <c r="AW19" s="168">
        <f>COUNTIF( AV$7:AV19, AV19 )</f>
        <v>7</v>
      </c>
      <c r="AX19" s="208">
        <f t="shared" si="22"/>
        <v>14.7</v>
      </c>
      <c r="AY19" s="168">
        <f t="shared" si="23"/>
        <v>20</v>
      </c>
      <c r="AZ19" s="169"/>
      <c r="BA19" s="169"/>
      <c r="BC19" s="168">
        <f t="shared" ca="1" si="24"/>
        <v>13</v>
      </c>
      <c r="BD19" s="209">
        <f t="shared" ca="1" si="6"/>
        <v>44</v>
      </c>
      <c r="BF19" s="173" t="str">
        <f t="shared" ca="1" si="7"/>
        <v>Xcel Energy Inc.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XEL</v>
      </c>
    </row>
    <row r="20" spans="1:61" ht="13.8" x14ac:dyDescent="0.25">
      <c r="A20" s="223" t="s">
        <v>217</v>
      </c>
      <c r="B20" s="224" t="s">
        <v>140</v>
      </c>
      <c r="C20" s="224">
        <v>19</v>
      </c>
      <c r="D20" s="224" t="s">
        <v>218</v>
      </c>
      <c r="E20" s="225" t="str">
        <f t="shared" ca="1" si="8"/>
        <v>MR</v>
      </c>
      <c r="F20" s="348"/>
      <c r="G20" s="349">
        <f t="shared" ca="1" si="1"/>
        <v>7</v>
      </c>
      <c r="H20" s="350"/>
      <c r="I20" s="352"/>
      <c r="K20" s="352"/>
      <c r="N20" s="352"/>
      <c r="O20" s="173"/>
      <c r="Q20" s="352"/>
      <c r="T20" s="352"/>
      <c r="W20" s="352"/>
      <c r="AE20" s="184"/>
      <c r="AF20" s="169">
        <f t="shared" si="2"/>
        <v>0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22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4"/>
        <v/>
      </c>
      <c r="AQ20" s="207" t="s">
        <v>259</v>
      </c>
      <c r="AR20" s="207" t="s">
        <v>142</v>
      </c>
      <c r="AS20" s="207">
        <v>17</v>
      </c>
      <c r="AT20" s="207" t="s">
        <v>260</v>
      </c>
      <c r="AV20" s="168">
        <f t="shared" si="21"/>
        <v>40</v>
      </c>
      <c r="AW20" s="168">
        <f>COUNTIF( AV$7:AV20, AV20 )</f>
        <v>2</v>
      </c>
      <c r="AX20" s="208">
        <f t="shared" si="22"/>
        <v>40.200000000000003</v>
      </c>
      <c r="AY20" s="168">
        <f t="shared" si="23"/>
        <v>41</v>
      </c>
      <c r="AZ20" s="169"/>
      <c r="BA20" s="169"/>
      <c r="BC20" s="168">
        <f t="shared" ca="1" si="24"/>
        <v>14</v>
      </c>
      <c r="BD20" s="209">
        <f t="shared" ca="1" si="6"/>
        <v>1</v>
      </c>
      <c r="BF20" s="173" t="str">
        <f t="shared" ca="1" si="7"/>
        <v>ALLETE, Inc.</v>
      </c>
      <c r="BG20" s="173" t="str">
        <f t="shared" ca="1" si="7"/>
        <v>BBB+</v>
      </c>
      <c r="BH20" s="173">
        <f t="shared" ca="1" si="7"/>
        <v>19</v>
      </c>
      <c r="BI20" s="173" t="str">
        <f t="shared" ca="1" si="7"/>
        <v>ALE</v>
      </c>
    </row>
    <row r="21" spans="1:61" ht="13.8" x14ac:dyDescent="0.25">
      <c r="A21" s="223" t="s">
        <v>225</v>
      </c>
      <c r="B21" s="224" t="s">
        <v>140</v>
      </c>
      <c r="C21" s="224">
        <v>19</v>
      </c>
      <c r="D21" s="224" t="s">
        <v>226</v>
      </c>
      <c r="E21" s="225" t="str">
        <f t="shared" ca="1" si="8"/>
        <v>R</v>
      </c>
      <c r="F21" s="348"/>
      <c r="G21" s="349">
        <f t="shared" ca="1" si="1"/>
        <v>9</v>
      </c>
      <c r="H21" s="350"/>
      <c r="I21" s="237"/>
      <c r="K21" s="237"/>
      <c r="N21" s="237"/>
      <c r="Q21" s="237"/>
      <c r="T21" s="237"/>
      <c r="W21" s="237"/>
      <c r="AE21" s="184"/>
      <c r="AF21" s="169">
        <f t="shared" si="2"/>
        <v>0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23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261</v>
      </c>
      <c r="AR21" s="207" t="s">
        <v>140</v>
      </c>
      <c r="AS21" s="207">
        <v>19</v>
      </c>
      <c r="AT21" s="207" t="s">
        <v>262</v>
      </c>
      <c r="AV21" s="168">
        <f t="shared" si="21"/>
        <v>14</v>
      </c>
      <c r="AW21" s="168">
        <f>COUNTIF( AV$7:AV21, AV21 )</f>
        <v>8</v>
      </c>
      <c r="AX21" s="208">
        <f t="shared" si="22"/>
        <v>14.8</v>
      </c>
      <c r="AY21" s="168">
        <f t="shared" si="23"/>
        <v>21</v>
      </c>
      <c r="AZ21" s="169"/>
      <c r="BA21" s="169"/>
      <c r="BC21" s="168">
        <f t="shared" ca="1" si="24"/>
        <v>15</v>
      </c>
      <c r="BD21" s="209">
        <f t="shared" ca="1" si="6"/>
        <v>3</v>
      </c>
      <c r="BF21" s="173" t="str">
        <f t="shared" ca="1" si="7"/>
        <v>Ameren Corporation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AEE</v>
      </c>
    </row>
    <row r="22" spans="1:61" ht="13.8" x14ac:dyDescent="0.25">
      <c r="A22" s="223" t="s">
        <v>233</v>
      </c>
      <c r="B22" s="224" t="s">
        <v>140</v>
      </c>
      <c r="C22" s="224">
        <v>19</v>
      </c>
      <c r="D22" s="224" t="s">
        <v>234</v>
      </c>
      <c r="E22" s="225" t="str">
        <f t="shared" ca="1" si="8"/>
        <v>MR</v>
      </c>
      <c r="F22" s="348"/>
      <c r="G22" s="349">
        <f t="shared" ca="1" si="1"/>
        <v>11</v>
      </c>
      <c r="H22" s="350"/>
      <c r="I22" s="237"/>
      <c r="K22" s="237"/>
      <c r="N22" s="237"/>
      <c r="Q22" s="237"/>
      <c r="T22" s="237"/>
      <c r="W22" s="237"/>
      <c r="AE22" s="184"/>
      <c r="AF22" s="169">
        <f t="shared" si="2"/>
        <v>0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24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263</v>
      </c>
      <c r="AR22" s="207" t="s">
        <v>139</v>
      </c>
      <c r="AS22" s="207">
        <v>20</v>
      </c>
      <c r="AT22" s="207" t="s">
        <v>264</v>
      </c>
      <c r="AV22" s="168">
        <f t="shared" si="21"/>
        <v>3</v>
      </c>
      <c r="AW22" s="168">
        <f>COUNTIF( AV$7:AV22, AV22 )</f>
        <v>4</v>
      </c>
      <c r="AX22" s="208">
        <f t="shared" si="22"/>
        <v>3.4</v>
      </c>
      <c r="AY22" s="168">
        <f t="shared" si="23"/>
        <v>6</v>
      </c>
      <c r="AZ22" s="169"/>
      <c r="BA22" s="169"/>
      <c r="BC22" s="168">
        <f t="shared" ca="1" si="24"/>
        <v>16</v>
      </c>
      <c r="BD22" s="209">
        <f t="shared" ca="1" si="6"/>
        <v>5</v>
      </c>
      <c r="BF22" s="173" t="str">
        <f t="shared" ca="1" si="7"/>
        <v>AVANGRID, Inc.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AGR</v>
      </c>
    </row>
    <row r="23" spans="1:61" ht="13.8" x14ac:dyDescent="0.25">
      <c r="A23" s="223" t="s">
        <v>245</v>
      </c>
      <c r="B23" s="224" t="s">
        <v>140</v>
      </c>
      <c r="C23" s="224">
        <v>19</v>
      </c>
      <c r="D23" s="224" t="s">
        <v>246</v>
      </c>
      <c r="E23" s="225" t="str">
        <f t="shared" ca="1" si="8"/>
        <v>R</v>
      </c>
      <c r="F23" s="348"/>
      <c r="G23" s="349">
        <f t="shared" ca="1" si="1"/>
        <v>13</v>
      </c>
      <c r="H23" s="350"/>
      <c r="I23" s="237"/>
      <c r="K23" s="237"/>
      <c r="N23" s="237"/>
      <c r="Q23" s="237"/>
      <c r="T23" s="237"/>
      <c r="W23" s="237"/>
      <c r="AE23" s="184"/>
      <c r="AF23" s="169">
        <f t="shared" si="2"/>
        <v>0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25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265</v>
      </c>
      <c r="AR23" s="207" t="s">
        <v>141</v>
      </c>
      <c r="AS23" s="207">
        <v>18</v>
      </c>
      <c r="AT23" s="207" t="s">
        <v>266</v>
      </c>
      <c r="AV23" s="168">
        <f t="shared" si="21"/>
        <v>32</v>
      </c>
      <c r="AW23" s="168">
        <f>COUNTIF( AV$7:AV23, AV23 )</f>
        <v>2</v>
      </c>
      <c r="AX23" s="208">
        <f t="shared" si="22"/>
        <v>32.200000000000003</v>
      </c>
      <c r="AY23" s="168">
        <f t="shared" si="23"/>
        <v>33</v>
      </c>
      <c r="AZ23" s="169"/>
      <c r="BA23" s="169"/>
      <c r="BC23" s="168">
        <f t="shared" ca="1" si="24"/>
        <v>17</v>
      </c>
      <c r="BD23" s="209">
        <f t="shared" ca="1" si="6"/>
        <v>8</v>
      </c>
      <c r="BF23" s="173" t="str">
        <f t="shared" ca="1" si="7"/>
        <v>Black Hills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BKH</v>
      </c>
    </row>
    <row r="24" spans="1:61" ht="13.8" x14ac:dyDescent="0.25">
      <c r="A24" s="223" t="s">
        <v>249</v>
      </c>
      <c r="B24" s="224" t="s">
        <v>140</v>
      </c>
      <c r="C24" s="224">
        <v>19</v>
      </c>
      <c r="D24" s="224" t="s">
        <v>250</v>
      </c>
      <c r="E24" s="225" t="str">
        <f t="shared" ca="1" si="8"/>
        <v>MR</v>
      </c>
      <c r="F24" s="348"/>
      <c r="G24" s="349">
        <f t="shared" ca="1" si="1"/>
        <v>14</v>
      </c>
      <c r="H24" s="350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0</v>
      </c>
      <c r="AG24" s="169" t="str">
        <f t="shared" ca="1" si="3"/>
        <v/>
      </c>
      <c r="AH24" s="169">
        <f t="shared" ca="1" si="18"/>
        <v>1</v>
      </c>
      <c r="AJ24" s="169">
        <f t="shared" ca="1" si="19"/>
        <v>11</v>
      </c>
      <c r="AK24" s="169" t="str">
        <f t="shared" ca="1" si="20"/>
        <v>A-</v>
      </c>
      <c r="AL24" s="169">
        <f t="shared" ca="1" si="20"/>
        <v>20</v>
      </c>
      <c r="AM24" s="169" t="str">
        <f t="shared" ca="1" si="4"/>
        <v>Change</v>
      </c>
      <c r="AQ24" s="207" t="s">
        <v>328</v>
      </c>
      <c r="AR24" s="207" t="s">
        <v>141</v>
      </c>
      <c r="AS24" s="207">
        <v>18</v>
      </c>
      <c r="AT24" s="207" t="s">
        <v>331</v>
      </c>
      <c r="AV24" s="168">
        <f t="shared" si="21"/>
        <v>32</v>
      </c>
      <c r="AW24" s="168">
        <f>COUNTIF( AV$7:AV24, AV24 )</f>
        <v>3</v>
      </c>
      <c r="AX24" s="208">
        <f t="shared" si="22"/>
        <v>32.299999999999997</v>
      </c>
      <c r="AY24" s="168">
        <f t="shared" si="23"/>
        <v>34</v>
      </c>
      <c r="AZ24" s="169"/>
      <c r="BA24" s="169"/>
      <c r="BC24" s="168">
        <f t="shared" ca="1" si="24"/>
        <v>18</v>
      </c>
      <c r="BD24" s="209">
        <f t="shared" ca="1" si="6"/>
        <v>9</v>
      </c>
      <c r="BF24" s="173" t="str">
        <f t="shared" ca="1" si="7"/>
        <v>CenterPoint Energy, Inc.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CNP</v>
      </c>
    </row>
    <row r="25" spans="1:61" ht="13.8" x14ac:dyDescent="0.25">
      <c r="A25" s="223" t="s">
        <v>256</v>
      </c>
      <c r="B25" s="224" t="s">
        <v>140</v>
      </c>
      <c r="C25" s="224">
        <v>19</v>
      </c>
      <c r="D25" s="224" t="s">
        <v>257</v>
      </c>
      <c r="E25" s="225" t="str">
        <f t="shared" ca="1" si="8"/>
        <v>R</v>
      </c>
      <c r="F25" s="348"/>
      <c r="G25" s="349">
        <f t="shared" ca="1" si="1"/>
        <v>15</v>
      </c>
      <c r="H25" s="350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0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26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267</v>
      </c>
      <c r="AR25" s="207" t="s">
        <v>140</v>
      </c>
      <c r="AS25" s="207">
        <v>19</v>
      </c>
      <c r="AT25" s="207" t="s">
        <v>268</v>
      </c>
      <c r="AV25" s="168">
        <f t="shared" si="21"/>
        <v>14</v>
      </c>
      <c r="AW25" s="168">
        <f>COUNTIF( AV$7:AV25, AV25 )</f>
        <v>9</v>
      </c>
      <c r="AX25" s="208">
        <f t="shared" si="22"/>
        <v>14.9</v>
      </c>
      <c r="AY25" s="168">
        <f t="shared" si="23"/>
        <v>22</v>
      </c>
      <c r="AZ25" s="169"/>
      <c r="BA25" s="169"/>
      <c r="BC25" s="168">
        <f t="shared" ca="1" si="24"/>
        <v>19</v>
      </c>
      <c r="BD25" s="209">
        <f t="shared" ca="1" si="6"/>
        <v>11</v>
      </c>
      <c r="BF25" s="173" t="str">
        <f t="shared" ca="1" si="7"/>
        <v>CMS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CMS</v>
      </c>
    </row>
    <row r="26" spans="1:61" ht="13.8" x14ac:dyDescent="0.25">
      <c r="A26" s="223" t="s">
        <v>258</v>
      </c>
      <c r="B26" s="224" t="s">
        <v>140</v>
      </c>
      <c r="C26" s="224">
        <v>19</v>
      </c>
      <c r="D26" s="224" t="s">
        <v>194</v>
      </c>
      <c r="E26" s="225" t="str">
        <f t="shared" ca="1" si="8"/>
        <v>R</v>
      </c>
      <c r="F26" s="348"/>
      <c r="G26" s="349">
        <f t="shared" ca="1" si="1"/>
        <v>17</v>
      </c>
      <c r="H26" s="350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0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27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230</v>
      </c>
      <c r="AR26" s="207" t="s">
        <v>139</v>
      </c>
      <c r="AS26" s="207">
        <v>20</v>
      </c>
      <c r="AT26" s="207" t="s">
        <v>231</v>
      </c>
      <c r="AV26" s="168">
        <f t="shared" si="21"/>
        <v>3</v>
      </c>
      <c r="AW26" s="168">
        <f>COUNTIF( AV$7:AV26, AV26 )</f>
        <v>5</v>
      </c>
      <c r="AX26" s="208">
        <f t="shared" si="22"/>
        <v>3.5</v>
      </c>
      <c r="AY26" s="168">
        <f t="shared" si="23"/>
        <v>7</v>
      </c>
      <c r="AZ26" s="169"/>
      <c r="BA26" s="169"/>
      <c r="BC26" s="168">
        <f t="shared" ca="1" si="24"/>
        <v>20</v>
      </c>
      <c r="BD26" s="209">
        <f t="shared" ca="1" si="6"/>
        <v>13</v>
      </c>
      <c r="BF26" s="173" t="str">
        <f t="shared" ca="1" si="7"/>
        <v>Dominion Energy, Inc.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</v>
      </c>
    </row>
    <row r="27" spans="1:61" ht="13.8" x14ac:dyDescent="0.25">
      <c r="A27" s="223" t="s">
        <v>261</v>
      </c>
      <c r="B27" s="224" t="s">
        <v>140</v>
      </c>
      <c r="C27" s="224">
        <v>19</v>
      </c>
      <c r="D27" s="224" t="s">
        <v>262</v>
      </c>
      <c r="E27" s="225" t="str">
        <f t="shared" ca="1" si="8"/>
        <v>MR</v>
      </c>
      <c r="F27" s="348"/>
      <c r="G27" s="349">
        <f t="shared" ca="1" si="1"/>
        <v>18</v>
      </c>
      <c r="H27" s="350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0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28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235</v>
      </c>
      <c r="AR27" s="207" t="s">
        <v>164</v>
      </c>
      <c r="AS27" s="207">
        <v>22</v>
      </c>
      <c r="AT27" s="207" t="s">
        <v>236</v>
      </c>
      <c r="AV27" s="168">
        <f t="shared" si="21"/>
        <v>1</v>
      </c>
      <c r="AW27" s="168">
        <f>COUNTIF( AV$7:AV27, AV27 )</f>
        <v>1</v>
      </c>
      <c r="AX27" s="208">
        <f t="shared" si="22"/>
        <v>1.1000000000000001</v>
      </c>
      <c r="AY27" s="168">
        <f t="shared" si="23"/>
        <v>1</v>
      </c>
      <c r="AZ27" s="169"/>
      <c r="BA27" s="169"/>
      <c r="BC27" s="168">
        <f t="shared" ca="1" si="24"/>
        <v>21</v>
      </c>
      <c r="BD27" s="209">
        <f t="shared" ca="1" si="6"/>
        <v>15</v>
      </c>
      <c r="BF27" s="173" t="str">
        <f t="shared" ca="1" si="7"/>
        <v>DTE Energy Company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DTE</v>
      </c>
    </row>
    <row r="28" spans="1:61" ht="13.8" x14ac:dyDescent="0.25">
      <c r="A28" s="223" t="s">
        <v>267</v>
      </c>
      <c r="B28" s="224" t="s">
        <v>140</v>
      </c>
      <c r="C28" s="224">
        <v>19</v>
      </c>
      <c r="D28" s="224" t="s">
        <v>268</v>
      </c>
      <c r="E28" s="225" t="str">
        <f t="shared" ca="1" si="8"/>
        <v>R</v>
      </c>
      <c r="F28" s="348"/>
      <c r="G28" s="349">
        <f t="shared" ca="1" si="1"/>
        <v>22</v>
      </c>
      <c r="H28" s="350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0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30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269</v>
      </c>
      <c r="AR28" s="207" t="s">
        <v>140</v>
      </c>
      <c r="AS28" s="207">
        <v>19</v>
      </c>
      <c r="AT28" s="207" t="s">
        <v>270</v>
      </c>
      <c r="AV28" s="168">
        <f t="shared" si="21"/>
        <v>14</v>
      </c>
      <c r="AW28" s="168">
        <f>COUNTIF( AV$7:AV28, AV28 )</f>
        <v>10</v>
      </c>
      <c r="AX28" s="208">
        <f t="shared" si="22"/>
        <v>15</v>
      </c>
      <c r="AY28" s="168">
        <f t="shared" si="23"/>
        <v>23</v>
      </c>
      <c r="AZ28" s="169"/>
      <c r="BA28" s="169"/>
      <c r="BC28" s="168">
        <f t="shared" ca="1" si="24"/>
        <v>22</v>
      </c>
      <c r="BD28" s="209">
        <f t="shared" ca="1" si="6"/>
        <v>19</v>
      </c>
      <c r="BF28" s="173" t="str">
        <f t="shared" ca="1" si="7"/>
        <v>Entergy Corporation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ETR</v>
      </c>
    </row>
    <row r="29" spans="1:61" ht="13.8" x14ac:dyDescent="0.25">
      <c r="A29" s="223" t="s">
        <v>269</v>
      </c>
      <c r="B29" s="224" t="s">
        <v>140</v>
      </c>
      <c r="C29" s="224">
        <v>19</v>
      </c>
      <c r="D29" s="224" t="s">
        <v>270</v>
      </c>
      <c r="E29" s="225" t="str">
        <f t="shared" ca="1" si="8"/>
        <v>MR</v>
      </c>
      <c r="F29" s="348"/>
      <c r="G29" s="349">
        <f t="shared" ca="1" si="1"/>
        <v>25</v>
      </c>
      <c r="H29" s="350"/>
      <c r="I29" s="237"/>
      <c r="J29" s="191"/>
      <c r="K29" s="237"/>
      <c r="N29" s="237"/>
      <c r="Q29" s="237"/>
      <c r="T29" s="237"/>
      <c r="W29" s="237"/>
      <c r="AF29" s="169">
        <f t="shared" si="2"/>
        <v>0</v>
      </c>
      <c r="AG29" s="169">
        <f t="shared" ca="1" si="3"/>
        <v>1</v>
      </c>
      <c r="AH29" s="169" t="str">
        <f t="shared" ca="1" si="18"/>
        <v/>
      </c>
      <c r="AJ29" s="169">
        <f t="shared" ca="1" si="19"/>
        <v>42</v>
      </c>
      <c r="AK29" s="169" t="str">
        <f t="shared" ca="1" si="20"/>
        <v>BBB</v>
      </c>
      <c r="AL29" s="169">
        <f t="shared" ca="1" si="20"/>
        <v>18</v>
      </c>
      <c r="AM29" s="169" t="str">
        <f t="shared" ca="1" si="4"/>
        <v>Change</v>
      </c>
      <c r="AQ29" s="207" t="s">
        <v>275</v>
      </c>
      <c r="AR29" s="207" t="s">
        <v>141</v>
      </c>
      <c r="AS29" s="207">
        <v>18</v>
      </c>
      <c r="AT29" s="207" t="s">
        <v>276</v>
      </c>
      <c r="AV29" s="168">
        <f t="shared" si="21"/>
        <v>32</v>
      </c>
      <c r="AW29" s="168">
        <f>COUNTIF( AV$7:AV29, AV29 )</f>
        <v>4</v>
      </c>
      <c r="AX29" s="208">
        <f t="shared" si="22"/>
        <v>32.4</v>
      </c>
      <c r="AY29" s="168">
        <f t="shared" si="23"/>
        <v>35</v>
      </c>
      <c r="AZ29" s="169"/>
      <c r="BA29" s="169"/>
      <c r="BC29" s="168">
        <f t="shared" ca="1" si="24"/>
        <v>23</v>
      </c>
      <c r="BD29" s="209">
        <f t="shared" ca="1" si="6"/>
        <v>22</v>
      </c>
      <c r="BF29" s="173" t="str">
        <f t="shared" ca="1" si="7"/>
        <v>Exelon Corporation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EXC</v>
      </c>
    </row>
    <row r="30" spans="1:61" ht="13.8" x14ac:dyDescent="0.25">
      <c r="A30" s="223" t="s">
        <v>271</v>
      </c>
      <c r="B30" s="224" t="s">
        <v>140</v>
      </c>
      <c r="C30" s="224">
        <v>19</v>
      </c>
      <c r="D30" s="224" t="s">
        <v>272</v>
      </c>
      <c r="E30" s="225" t="str">
        <f t="shared" ca="1" si="8"/>
        <v>MR</v>
      </c>
      <c r="F30" s="348"/>
      <c r="G30" s="349">
        <f t="shared" ca="1" si="1"/>
        <v>29</v>
      </c>
      <c r="H30" s="350"/>
      <c r="I30" s="237"/>
      <c r="J30" s="191"/>
      <c r="K30" s="237"/>
      <c r="N30" s="237"/>
      <c r="Q30" s="237"/>
      <c r="T30" s="237"/>
      <c r="W30" s="237"/>
      <c r="AF30" s="169">
        <f t="shared" si="2"/>
        <v>0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31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279</v>
      </c>
      <c r="AR30" s="207" t="s">
        <v>142</v>
      </c>
      <c r="AS30" s="207">
        <v>17</v>
      </c>
      <c r="AT30" s="207" t="s">
        <v>280</v>
      </c>
      <c r="AV30" s="168">
        <f t="shared" si="21"/>
        <v>40</v>
      </c>
      <c r="AW30" s="168">
        <f>COUNTIF( AV$7:AV30, AV30 )</f>
        <v>3</v>
      </c>
      <c r="AX30" s="208">
        <f t="shared" si="22"/>
        <v>40.299999999999997</v>
      </c>
      <c r="AY30" s="168">
        <f t="shared" si="23"/>
        <v>42</v>
      </c>
      <c r="AZ30" s="169"/>
      <c r="BA30" s="169"/>
      <c r="BC30" s="168">
        <f t="shared" ca="1" si="24"/>
        <v>24</v>
      </c>
      <c r="BD30" s="209">
        <f t="shared" ca="1" si="6"/>
        <v>27</v>
      </c>
      <c r="BF30" s="173" t="str">
        <f t="shared" ca="1" si="7"/>
        <v>MDU Resources Group,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MDU</v>
      </c>
    </row>
    <row r="31" spans="1:61" ht="13.8" x14ac:dyDescent="0.25">
      <c r="A31" s="223" t="s">
        <v>273</v>
      </c>
      <c r="B31" s="224" t="s">
        <v>140</v>
      </c>
      <c r="C31" s="224">
        <v>19</v>
      </c>
      <c r="D31" s="224" t="s">
        <v>274</v>
      </c>
      <c r="E31" s="225" t="str">
        <f t="shared" ca="1" si="8"/>
        <v>R</v>
      </c>
      <c r="F31" s="348"/>
      <c r="G31" s="349">
        <f t="shared" ca="1" si="1"/>
        <v>32</v>
      </c>
      <c r="H31" s="350"/>
      <c r="I31" s="237"/>
      <c r="J31" s="191"/>
      <c r="K31" s="237"/>
      <c r="N31" s="237"/>
      <c r="O31" s="351"/>
      <c r="Q31" s="237"/>
      <c r="T31" s="237"/>
      <c r="W31" s="237"/>
      <c r="AF31" s="169">
        <f t="shared" si="2"/>
        <v>0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32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283</v>
      </c>
      <c r="AR31" s="207" t="s">
        <v>141</v>
      </c>
      <c r="AS31" s="207">
        <v>18</v>
      </c>
      <c r="AT31" s="207" t="s">
        <v>284</v>
      </c>
      <c r="AV31" s="168">
        <f t="shared" si="21"/>
        <v>32</v>
      </c>
      <c r="AW31" s="168">
        <f>COUNTIF( AV$7:AV31, AV31 )</f>
        <v>5</v>
      </c>
      <c r="AX31" s="208">
        <f t="shared" si="22"/>
        <v>32.5</v>
      </c>
      <c r="AY31" s="168">
        <f t="shared" si="23"/>
        <v>36</v>
      </c>
      <c r="AZ31" s="169"/>
      <c r="BA31" s="169"/>
      <c r="BC31" s="168">
        <f t="shared" ca="1" si="24"/>
        <v>25</v>
      </c>
      <c r="BD31" s="209">
        <f t="shared" ca="1" si="6"/>
        <v>29</v>
      </c>
      <c r="BF31" s="173" t="str">
        <f t="shared" ca="1" si="7"/>
        <v>NiSource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NI</v>
      </c>
    </row>
    <row r="32" spans="1:61" ht="13.8" x14ac:dyDescent="0.25">
      <c r="A32" s="223" t="s">
        <v>277</v>
      </c>
      <c r="B32" s="224" t="s">
        <v>140</v>
      </c>
      <c r="C32" s="224">
        <v>19</v>
      </c>
      <c r="D32" s="224" t="s">
        <v>278</v>
      </c>
      <c r="E32" s="225" t="str">
        <f t="shared" ca="1" si="8"/>
        <v>R</v>
      </c>
      <c r="F32" s="348"/>
      <c r="G32" s="349">
        <f t="shared" ca="1" si="1"/>
        <v>34</v>
      </c>
      <c r="H32" s="350"/>
      <c r="I32" s="237"/>
      <c r="J32" s="191"/>
      <c r="K32" s="237"/>
      <c r="N32" s="237"/>
      <c r="Q32" s="237"/>
      <c r="T32" s="237"/>
      <c r="W32" s="237"/>
      <c r="AF32" s="169">
        <f t="shared" si="2"/>
        <v>0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33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287</v>
      </c>
      <c r="AR32" s="207" t="s">
        <v>141</v>
      </c>
      <c r="AS32" s="207">
        <v>18</v>
      </c>
      <c r="AT32" s="207" t="s">
        <v>288</v>
      </c>
      <c r="AV32" s="168">
        <f t="shared" si="21"/>
        <v>32</v>
      </c>
      <c r="AW32" s="168">
        <f>COUNTIF( AV$7:AV32, AV32 )</f>
        <v>6</v>
      </c>
      <c r="AX32" s="208">
        <f t="shared" si="22"/>
        <v>32.6</v>
      </c>
      <c r="AY32" s="168">
        <f t="shared" si="23"/>
        <v>37</v>
      </c>
      <c r="AZ32" s="169"/>
      <c r="BA32" s="169"/>
      <c r="BC32" s="168">
        <f t="shared" ca="1" si="24"/>
        <v>26</v>
      </c>
      <c r="BD32" s="209">
        <f t="shared" ca="1" si="6"/>
        <v>31</v>
      </c>
      <c r="BF32" s="173" t="str">
        <f t="shared" ca="1" si="7"/>
        <v>OGE Energy Corp.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OGE</v>
      </c>
    </row>
    <row r="33" spans="1:61" ht="13.8" x14ac:dyDescent="0.25">
      <c r="A33" s="223" t="s">
        <v>303</v>
      </c>
      <c r="B33" s="224" t="s">
        <v>140</v>
      </c>
      <c r="C33" s="224">
        <v>19</v>
      </c>
      <c r="D33" s="224" t="s">
        <v>304</v>
      </c>
      <c r="E33" s="225" t="str">
        <f t="shared" ca="1" si="8"/>
        <v>R</v>
      </c>
      <c r="F33" s="348"/>
      <c r="G33" s="349">
        <f t="shared" ca="1" si="1"/>
        <v>38</v>
      </c>
      <c r="H33" s="350"/>
      <c r="I33" s="237"/>
      <c r="J33" s="191"/>
      <c r="K33" s="237"/>
      <c r="N33" s="237"/>
      <c r="Q33" s="237"/>
      <c r="T33" s="237"/>
      <c r="W33" s="237"/>
      <c r="AF33" s="169">
        <f t="shared" si="2"/>
        <v>0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34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271</v>
      </c>
      <c r="AR33" s="207" t="s">
        <v>140</v>
      </c>
      <c r="AS33" s="207">
        <v>19</v>
      </c>
      <c r="AT33" s="207" t="s">
        <v>272</v>
      </c>
      <c r="AV33" s="168">
        <f t="shared" si="21"/>
        <v>14</v>
      </c>
      <c r="AW33" s="168">
        <f>COUNTIF( AV$7:AV33, AV33 )</f>
        <v>11</v>
      </c>
      <c r="AX33" s="208">
        <f t="shared" si="22"/>
        <v>15.1</v>
      </c>
      <c r="AY33" s="168">
        <f t="shared" si="23"/>
        <v>24</v>
      </c>
      <c r="AZ33" s="169"/>
      <c r="BA33" s="169"/>
      <c r="BC33" s="168">
        <f t="shared" ca="1" si="24"/>
        <v>27</v>
      </c>
      <c r="BD33" s="209">
        <f t="shared" ca="1" si="6"/>
        <v>35</v>
      </c>
      <c r="BF33" s="173" t="str">
        <f t="shared" ca="1" si="7"/>
        <v>PNM Resources, Inc.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PNM</v>
      </c>
    </row>
    <row r="34" spans="1:61" ht="13.8" x14ac:dyDescent="0.25">
      <c r="A34" s="223" t="s">
        <v>285</v>
      </c>
      <c r="B34" s="224" t="s">
        <v>140</v>
      </c>
      <c r="C34" s="224">
        <v>19</v>
      </c>
      <c r="D34" s="224" t="s">
        <v>286</v>
      </c>
      <c r="E34" s="225" t="str">
        <f t="shared" ca="1" si="8"/>
        <v>R</v>
      </c>
      <c r="F34" s="348"/>
      <c r="G34" s="349">
        <f t="shared" ca="1" si="1"/>
        <v>39</v>
      </c>
      <c r="H34" s="350"/>
      <c r="I34" s="237"/>
      <c r="J34" s="191"/>
      <c r="K34" s="237"/>
      <c r="N34" s="237"/>
      <c r="Q34" s="237"/>
      <c r="T34" s="237"/>
      <c r="W34" s="237"/>
      <c r="AF34" s="169">
        <f t="shared" si="2"/>
        <v>0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35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240</v>
      </c>
      <c r="AR34" s="207" t="s">
        <v>139</v>
      </c>
      <c r="AS34" s="207">
        <v>20</v>
      </c>
      <c r="AT34" s="207" t="s">
        <v>241</v>
      </c>
      <c r="AV34" s="168">
        <f t="shared" si="21"/>
        <v>3</v>
      </c>
      <c r="AW34" s="168">
        <f>COUNTIF( AV$7:AV34, AV34 )</f>
        <v>6</v>
      </c>
      <c r="AX34" s="208">
        <f t="shared" si="22"/>
        <v>3.6</v>
      </c>
      <c r="AY34" s="168">
        <f t="shared" si="23"/>
        <v>8</v>
      </c>
      <c r="AZ34" s="169"/>
      <c r="BA34" s="169"/>
      <c r="BC34" s="168">
        <f t="shared" ca="1" si="24"/>
        <v>28</v>
      </c>
      <c r="BD34" s="209">
        <f t="shared" ca="1" si="6"/>
        <v>36</v>
      </c>
      <c r="BF34" s="173" t="str">
        <f t="shared" ca="1" si="7"/>
        <v>Portland General Electric Company</v>
      </c>
      <c r="BG34" s="173" t="str">
        <f t="shared" ca="1" si="7"/>
        <v>BBB+</v>
      </c>
      <c r="BH34" s="173">
        <f t="shared" ca="1" si="7"/>
        <v>19</v>
      </c>
      <c r="BI34" s="173" t="str">
        <f ca="1">OFFSET( AT$6, $BD34, 0 )</f>
        <v>POR</v>
      </c>
    </row>
    <row r="35" spans="1:61" ht="13.8" x14ac:dyDescent="0.25">
      <c r="A35" s="223" t="s">
        <v>289</v>
      </c>
      <c r="B35" s="224" t="s">
        <v>140</v>
      </c>
      <c r="C35" s="224">
        <v>19</v>
      </c>
      <c r="D35" s="224" t="s">
        <v>290</v>
      </c>
      <c r="E35" s="225" t="str">
        <f t="shared" ca="1" si="8"/>
        <v>MR</v>
      </c>
      <c r="F35" s="348"/>
      <c r="G35" s="349">
        <f t="shared" ca="1" si="1"/>
        <v>41</v>
      </c>
      <c r="H35" s="350"/>
      <c r="I35" s="237"/>
      <c r="K35" s="237"/>
      <c r="N35" s="237"/>
      <c r="Q35" s="237"/>
      <c r="T35" s="237"/>
      <c r="W35" s="237"/>
      <c r="AF35" s="169">
        <f t="shared" si="2"/>
        <v>0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36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273</v>
      </c>
      <c r="AR35" s="207" t="s">
        <v>140</v>
      </c>
      <c r="AS35" s="207">
        <v>19</v>
      </c>
      <c r="AT35" s="207" t="s">
        <v>274</v>
      </c>
      <c r="AV35" s="168">
        <f t="shared" si="21"/>
        <v>14</v>
      </c>
      <c r="AW35" s="168">
        <f>COUNTIF( AV$7:AV35, AV35 )</f>
        <v>12</v>
      </c>
      <c r="AX35" s="208">
        <f t="shared" si="22"/>
        <v>15.2</v>
      </c>
      <c r="AY35" s="168">
        <f t="shared" si="23"/>
        <v>25</v>
      </c>
      <c r="AZ35" s="169"/>
      <c r="BA35" s="169"/>
      <c r="BC35" s="168">
        <f t="shared" ca="1" si="24"/>
        <v>29</v>
      </c>
      <c r="BD35" s="209">
        <f t="shared" ca="1" si="6"/>
        <v>38</v>
      </c>
      <c r="BF35" s="173" t="str">
        <f t="shared" ca="1" si="7"/>
        <v>Public Service Enterprise Group Incorporated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PEG</v>
      </c>
    </row>
    <row r="36" spans="1:61" ht="13.8" x14ac:dyDescent="0.25">
      <c r="A36" s="223" t="s">
        <v>291</v>
      </c>
      <c r="B36" s="224" t="s">
        <v>140</v>
      </c>
      <c r="C36" s="224">
        <v>19</v>
      </c>
      <c r="D36" s="224" t="s">
        <v>292</v>
      </c>
      <c r="E36" s="225" t="str">
        <f t="shared" ca="1" si="8"/>
        <v>R</v>
      </c>
      <c r="F36" s="348"/>
      <c r="G36" s="349">
        <f t="shared" ca="1" si="1"/>
        <v>42</v>
      </c>
      <c r="H36" s="350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38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297</v>
      </c>
      <c r="AR36" s="207" t="s">
        <v>141</v>
      </c>
      <c r="AS36" s="207">
        <v>18</v>
      </c>
      <c r="AT36" s="207" t="s">
        <v>298</v>
      </c>
      <c r="AV36" s="168">
        <f t="shared" si="21"/>
        <v>32</v>
      </c>
      <c r="AW36" s="168">
        <f>COUNTIF( AV$7:AV36, AV36 )</f>
        <v>7</v>
      </c>
      <c r="AX36" s="208">
        <f t="shared" si="22"/>
        <v>32.700000000000003</v>
      </c>
      <c r="AY36" s="168">
        <f t="shared" si="23"/>
        <v>38</v>
      </c>
      <c r="AZ36" s="169"/>
      <c r="BA36" s="169"/>
      <c r="BC36" s="168">
        <f t="shared" ca="1" si="24"/>
        <v>30</v>
      </c>
      <c r="BD36" s="209">
        <f t="shared" ca="1" si="6"/>
        <v>40</v>
      </c>
      <c r="BF36" s="173" t="str">
        <f t="shared" ca="1" si="7"/>
        <v>Sempra Energy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SRE</v>
      </c>
    </row>
    <row r="37" spans="1:61" ht="13.8" x14ac:dyDescent="0.25">
      <c r="A37" s="223" t="s">
        <v>295</v>
      </c>
      <c r="B37" s="224" t="s">
        <v>140</v>
      </c>
      <c r="C37" s="224">
        <v>19</v>
      </c>
      <c r="D37" s="224" t="s">
        <v>296</v>
      </c>
      <c r="E37" s="225" t="str">
        <f t="shared" ca="1" si="8"/>
        <v>R</v>
      </c>
      <c r="F37" s="348"/>
      <c r="G37" s="349">
        <f t="shared" ca="1" si="1"/>
        <v>44</v>
      </c>
      <c r="H37" s="350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39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277</v>
      </c>
      <c r="AR37" s="207" t="s">
        <v>140</v>
      </c>
      <c r="AS37" s="207">
        <v>19</v>
      </c>
      <c r="AT37" s="207" t="s">
        <v>278</v>
      </c>
      <c r="AV37" s="168">
        <f t="shared" si="21"/>
        <v>14</v>
      </c>
      <c r="AW37" s="168">
        <f>COUNTIF( AV$7:AV37, AV37 )</f>
        <v>13</v>
      </c>
      <c r="AX37" s="208">
        <f t="shared" si="22"/>
        <v>15.3</v>
      </c>
      <c r="AY37" s="168">
        <f t="shared" si="23"/>
        <v>26</v>
      </c>
      <c r="AZ37" s="169"/>
      <c r="BA37" s="169"/>
      <c r="BC37" s="168">
        <f t="shared" ca="1" si="24"/>
        <v>31</v>
      </c>
      <c r="BD37" s="209">
        <f t="shared" ca="1" si="6"/>
        <v>42</v>
      </c>
      <c r="BF37" s="173" t="str">
        <f t="shared" ca="1" si="7"/>
        <v>Unitil Corporation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UTL</v>
      </c>
    </row>
    <row r="38" spans="1:61" ht="13.8" x14ac:dyDescent="0.25">
      <c r="A38" s="223" t="s">
        <v>238</v>
      </c>
      <c r="B38" s="224" t="s">
        <v>141</v>
      </c>
      <c r="C38" s="224">
        <v>18</v>
      </c>
      <c r="D38" s="224" t="s">
        <v>239</v>
      </c>
      <c r="E38" s="225" t="str">
        <f t="shared" ca="1" si="8"/>
        <v>R</v>
      </c>
      <c r="F38" s="348"/>
      <c r="G38" s="349">
        <f t="shared" ca="1" si="1"/>
        <v>12</v>
      </c>
      <c r="H38" s="350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1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40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299</v>
      </c>
      <c r="AR38" s="207" t="s">
        <v>141</v>
      </c>
      <c r="AS38" s="207">
        <v>18</v>
      </c>
      <c r="AT38" s="207" t="s">
        <v>300</v>
      </c>
      <c r="AV38" s="168">
        <f t="shared" si="21"/>
        <v>32</v>
      </c>
      <c r="AW38" s="168">
        <f>COUNTIF( AV$7:AV38, AV38 )</f>
        <v>8</v>
      </c>
      <c r="AX38" s="208">
        <f t="shared" si="22"/>
        <v>32.799999999999997</v>
      </c>
      <c r="AY38" s="168">
        <f t="shared" si="23"/>
        <v>39</v>
      </c>
      <c r="AZ38" s="169"/>
      <c r="BA38" s="169"/>
      <c r="BC38" s="168">
        <f t="shared" ca="1" si="24"/>
        <v>32</v>
      </c>
      <c r="BD38" s="209">
        <f t="shared" ca="1" si="6"/>
        <v>6</v>
      </c>
      <c r="BF38" s="173" t="str">
        <f t="shared" ca="1" si="7"/>
        <v>Avista Corporation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AVA</v>
      </c>
    </row>
    <row r="39" spans="1:61" ht="13.8" x14ac:dyDescent="0.25">
      <c r="A39" s="223" t="s">
        <v>265</v>
      </c>
      <c r="B39" s="224" t="s">
        <v>141</v>
      </c>
      <c r="C39" s="224">
        <v>18</v>
      </c>
      <c r="D39" s="224" t="s">
        <v>266</v>
      </c>
      <c r="E39" s="225" t="str">
        <f t="shared" ca="1" si="8"/>
        <v>R</v>
      </c>
      <c r="F39" s="348"/>
      <c r="G39" s="349">
        <f t="shared" ca="1" si="1"/>
        <v>20</v>
      </c>
      <c r="H39" s="350"/>
      <c r="I39" s="237"/>
      <c r="K39" s="237"/>
      <c r="L39" s="173"/>
      <c r="N39" s="237"/>
      <c r="Q39" s="237"/>
      <c r="T39" s="237"/>
      <c r="W39" s="237"/>
      <c r="AF39" s="169">
        <f t="shared" si="2"/>
        <v>1</v>
      </c>
      <c r="AG39" s="169" t="str">
        <f t="shared" ca="1" si="3"/>
        <v/>
      </c>
      <c r="AH39" s="169">
        <f t="shared" ca="1" si="18"/>
        <v>1</v>
      </c>
      <c r="AJ39" s="169">
        <f t="shared" ca="1" si="19"/>
        <v>29</v>
      </c>
      <c r="AK39" s="169" t="str">
        <f t="shared" ca="1" si="20"/>
        <v>BBB+</v>
      </c>
      <c r="AL39" s="169">
        <f t="shared" ca="1" si="20"/>
        <v>19</v>
      </c>
      <c r="AM39" s="169" t="str">
        <f t="shared" ca="1" si="4"/>
        <v>Change</v>
      </c>
      <c r="AQ39" s="207" t="s">
        <v>301</v>
      </c>
      <c r="AR39" s="207" t="s">
        <v>194</v>
      </c>
      <c r="AS39" s="207">
        <v>3</v>
      </c>
      <c r="AT39" s="207" t="s">
        <v>302</v>
      </c>
      <c r="AV39" s="168">
        <f t="shared" si="21"/>
        <v>44</v>
      </c>
      <c r="AW39" s="168">
        <f>COUNTIF( AV$7:AV39, AV39 )</f>
        <v>1</v>
      </c>
      <c r="AX39" s="208">
        <f t="shared" si="22"/>
        <v>44.1</v>
      </c>
      <c r="AY39" s="168">
        <f t="shared" si="23"/>
        <v>44</v>
      </c>
      <c r="AZ39" s="169"/>
      <c r="BA39" s="169"/>
      <c r="BC39" s="168">
        <f t="shared" ca="1" si="24"/>
        <v>33</v>
      </c>
      <c r="BD39" s="209">
        <f t="shared" ca="1" si="6"/>
        <v>17</v>
      </c>
      <c r="BF39" s="173" t="str">
        <f t="shared" ref="BF39:BI63" ca="1" si="25">OFFSET( AQ$6, $BD39, 0 )</f>
        <v>Edison International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EIX</v>
      </c>
    </row>
    <row r="40" spans="1:61" ht="13.8" x14ac:dyDescent="0.25">
      <c r="A40" s="223" t="s">
        <v>328</v>
      </c>
      <c r="B40" s="224" t="s">
        <v>141</v>
      </c>
      <c r="C40" s="224">
        <v>18</v>
      </c>
      <c r="D40" s="224" t="s">
        <v>331</v>
      </c>
      <c r="E40" s="225" t="str">
        <f t="shared" ca="1" si="8"/>
        <v>R</v>
      </c>
      <c r="F40" s="348"/>
      <c r="G40" s="349">
        <f t="shared" ca="1" si="1"/>
        <v>21</v>
      </c>
      <c r="H40" s="350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1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41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281</v>
      </c>
      <c r="AR40" s="207" t="s">
        <v>139</v>
      </c>
      <c r="AS40" s="207">
        <v>20</v>
      </c>
      <c r="AT40" s="207" t="s">
        <v>282</v>
      </c>
      <c r="AV40" s="168">
        <f t="shared" si="21"/>
        <v>3</v>
      </c>
      <c r="AW40" s="168">
        <f>COUNTIF( AV$7:AV40, AV40 )</f>
        <v>7</v>
      </c>
      <c r="AX40" s="208">
        <f t="shared" si="22"/>
        <v>3.7</v>
      </c>
      <c r="AY40" s="168">
        <f t="shared" si="23"/>
        <v>9</v>
      </c>
      <c r="AZ40" s="169"/>
      <c r="BA40" s="169"/>
      <c r="BC40" s="168">
        <f t="shared" ca="1" si="24"/>
        <v>34</v>
      </c>
      <c r="BD40" s="209">
        <f t="shared" ca="1" si="6"/>
        <v>18</v>
      </c>
      <c r="BF40" s="173" t="str">
        <f t="shared" ca="1" si="25"/>
        <v>El Paso Electric Company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EE</v>
      </c>
    </row>
    <row r="41" spans="1:61" ht="13.8" x14ac:dyDescent="0.25">
      <c r="A41" s="223" t="s">
        <v>275</v>
      </c>
      <c r="B41" s="224" t="s">
        <v>141</v>
      </c>
      <c r="C41" s="224">
        <v>18</v>
      </c>
      <c r="D41" s="224" t="s">
        <v>276</v>
      </c>
      <c r="E41" s="225" t="str">
        <f t="shared" ca="1" si="8"/>
        <v>R</v>
      </c>
      <c r="F41" s="348"/>
      <c r="G41" s="349">
        <f t="shared" ca="1" si="1"/>
        <v>26</v>
      </c>
      <c r="H41" s="350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1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43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303</v>
      </c>
      <c r="AR41" s="207" t="s">
        <v>140</v>
      </c>
      <c r="AS41" s="207">
        <v>19</v>
      </c>
      <c r="AT41" s="207" t="s">
        <v>304</v>
      </c>
      <c r="AV41" s="168">
        <f t="shared" si="21"/>
        <v>14</v>
      </c>
      <c r="AW41" s="168">
        <f>COUNTIF( AV$7:AV41, AV41 )</f>
        <v>14</v>
      </c>
      <c r="AX41" s="208">
        <f t="shared" si="22"/>
        <v>15.4</v>
      </c>
      <c r="AY41" s="168">
        <f t="shared" si="23"/>
        <v>27</v>
      </c>
      <c r="AZ41" s="169"/>
      <c r="BA41" s="169"/>
      <c r="BC41" s="168">
        <f t="shared" ca="1" si="24"/>
        <v>35</v>
      </c>
      <c r="BD41" s="209">
        <f t="shared" ca="1" si="6"/>
        <v>23</v>
      </c>
      <c r="BF41" s="173" t="str">
        <f t="shared" ca="1" si="25"/>
        <v>FirstEnergy Corp.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FE</v>
      </c>
    </row>
    <row r="42" spans="1:61" ht="13.8" x14ac:dyDescent="0.25">
      <c r="A42" s="223" t="s">
        <v>283</v>
      </c>
      <c r="B42" s="224" t="s">
        <v>141</v>
      </c>
      <c r="C42" s="224">
        <v>18</v>
      </c>
      <c r="D42" s="224" t="s">
        <v>284</v>
      </c>
      <c r="E42" s="225" t="str">
        <f t="shared" ca="1" si="8"/>
        <v>R</v>
      </c>
      <c r="F42" s="348"/>
      <c r="G42" s="349">
        <f t="shared" ca="1" si="1"/>
        <v>28</v>
      </c>
      <c r="H42" s="350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1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44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285</v>
      </c>
      <c r="AR42" s="207" t="s">
        <v>140</v>
      </c>
      <c r="AS42" s="207">
        <v>19</v>
      </c>
      <c r="AT42" s="207" t="s">
        <v>286</v>
      </c>
      <c r="AV42" s="168">
        <f t="shared" si="21"/>
        <v>14</v>
      </c>
      <c r="AW42" s="168">
        <f>COUNTIF( AV$7:AV42, AV42 )</f>
        <v>15</v>
      </c>
      <c r="AX42" s="208">
        <f t="shared" si="22"/>
        <v>15.5</v>
      </c>
      <c r="AY42" s="168">
        <f t="shared" si="23"/>
        <v>28</v>
      </c>
      <c r="AZ42" s="169"/>
      <c r="BA42" s="169"/>
      <c r="BC42" s="168">
        <f t="shared" ca="1" si="24"/>
        <v>36</v>
      </c>
      <c r="BD42" s="209">
        <f t="shared" ca="1" si="6"/>
        <v>25</v>
      </c>
      <c r="BF42" s="173" t="str">
        <f t="shared" ca="1" si="25"/>
        <v>IDACORP, Inc.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IDA</v>
      </c>
    </row>
    <row r="43" spans="1:61" ht="13.8" x14ac:dyDescent="0.25">
      <c r="A43" s="223" t="s">
        <v>287</v>
      </c>
      <c r="B43" s="224" t="s">
        <v>141</v>
      </c>
      <c r="C43" s="224">
        <v>18</v>
      </c>
      <c r="D43" s="224" t="s">
        <v>288</v>
      </c>
      <c r="E43" s="225" t="str">
        <f t="shared" ca="1" si="8"/>
        <v>R</v>
      </c>
      <c r="F43" s="348"/>
      <c r="G43" s="349">
        <f t="shared" ca="1" si="1"/>
        <v>55</v>
      </c>
      <c r="H43" s="350"/>
      <c r="I43" s="237"/>
      <c r="J43" s="191"/>
      <c r="K43" s="237"/>
      <c r="N43" s="237"/>
      <c r="Q43" s="237"/>
      <c r="T43" s="237"/>
      <c r="W43" s="237"/>
      <c r="AF43" s="169">
        <f t="shared" si="2"/>
        <v>1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45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243</v>
      </c>
      <c r="AR43" s="207" t="s">
        <v>139</v>
      </c>
      <c r="AS43" s="207">
        <v>20</v>
      </c>
      <c r="AT43" s="207" t="s">
        <v>244</v>
      </c>
      <c r="AV43" s="168">
        <f t="shared" si="21"/>
        <v>3</v>
      </c>
      <c r="AW43" s="168">
        <f>COUNTIF( AV$7:AV43, AV43 )</f>
        <v>8</v>
      </c>
      <c r="AX43" s="208">
        <f t="shared" si="22"/>
        <v>3.8</v>
      </c>
      <c r="AY43" s="168">
        <f t="shared" si="23"/>
        <v>10</v>
      </c>
      <c r="AZ43" s="169"/>
      <c r="BA43" s="169"/>
      <c r="BC43" s="168">
        <f t="shared" ca="1" si="24"/>
        <v>37</v>
      </c>
      <c r="BD43" s="209">
        <f t="shared" ca="1" si="6"/>
        <v>26</v>
      </c>
      <c r="BF43" s="173" t="str">
        <f t="shared" ca="1" si="25"/>
        <v>IPALCO Enterprises, Inc.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**IPALCO</v>
      </c>
    </row>
    <row r="44" spans="1:61" ht="13.8" x14ac:dyDescent="0.25">
      <c r="A44" s="223" t="s">
        <v>297</v>
      </c>
      <c r="B44" s="224" t="s">
        <v>141</v>
      </c>
      <c r="C44" s="224">
        <v>18</v>
      </c>
      <c r="D44" s="224" t="s">
        <v>298</v>
      </c>
      <c r="E44" s="225" t="str">
        <f t="shared" ca="1" si="8"/>
        <v>R</v>
      </c>
      <c r="F44" s="348"/>
      <c r="G44" s="349">
        <f t="shared" ca="1" si="1"/>
        <v>33</v>
      </c>
      <c r="H44" s="350"/>
      <c r="I44" s="237"/>
      <c r="J44" s="191"/>
      <c r="K44" s="237"/>
      <c r="N44" s="237"/>
      <c r="Q44" s="237"/>
      <c r="T44" s="237"/>
      <c r="W44" s="237"/>
      <c r="AF44" s="169">
        <f t="shared" si="2"/>
        <v>1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46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289</v>
      </c>
      <c r="AR44" s="207" t="s">
        <v>140</v>
      </c>
      <c r="AS44" s="207">
        <v>19</v>
      </c>
      <c r="AT44" s="207" t="s">
        <v>290</v>
      </c>
      <c r="AV44" s="168">
        <f t="shared" si="21"/>
        <v>14</v>
      </c>
      <c r="AW44" s="168">
        <f>COUNTIF( AV$7:AV44, AV44 )</f>
        <v>16</v>
      </c>
      <c r="AX44" s="208">
        <f t="shared" si="22"/>
        <v>15.6</v>
      </c>
      <c r="AY44" s="168">
        <f t="shared" si="23"/>
        <v>29</v>
      </c>
      <c r="AZ44" s="169"/>
      <c r="BA44" s="169"/>
      <c r="BC44" s="168">
        <f t="shared" ca="1" si="24"/>
        <v>38</v>
      </c>
      <c r="BD44" s="209">
        <f t="shared" ca="1" si="6"/>
        <v>30</v>
      </c>
      <c r="BF44" s="173" t="str">
        <f t="shared" ca="1" si="25"/>
        <v>NorthWestern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NWE</v>
      </c>
    </row>
    <row r="45" spans="1:61" ht="13.8" x14ac:dyDescent="0.25">
      <c r="A45" s="223" t="s">
        <v>299</v>
      </c>
      <c r="B45" s="224" t="s">
        <v>141</v>
      </c>
      <c r="C45" s="224">
        <v>18</v>
      </c>
      <c r="D45" s="224" t="s">
        <v>300</v>
      </c>
      <c r="E45" s="225" t="str">
        <f t="shared" ca="1" si="8"/>
        <v>R</v>
      </c>
      <c r="F45" s="348"/>
      <c r="G45" s="349">
        <f t="shared" ca="1" si="1"/>
        <v>35</v>
      </c>
      <c r="H45" s="350"/>
      <c r="I45" s="237"/>
      <c r="J45" s="191"/>
      <c r="K45" s="237"/>
      <c r="N45" s="237"/>
      <c r="Q45" s="237"/>
      <c r="T45" s="237"/>
      <c r="W45" s="237"/>
      <c r="AF45" s="169">
        <f t="shared" si="2"/>
        <v>1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47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305</v>
      </c>
      <c r="AR45" s="207" t="s">
        <v>142</v>
      </c>
      <c r="AS45" s="207">
        <v>17</v>
      </c>
      <c r="AT45" s="207" t="s">
        <v>306</v>
      </c>
      <c r="AV45" s="168">
        <f t="shared" si="21"/>
        <v>40</v>
      </c>
      <c r="AW45" s="168">
        <f>COUNTIF( AV$7:AV45, AV45 )</f>
        <v>4</v>
      </c>
      <c r="AX45" s="208">
        <f t="shared" si="22"/>
        <v>40.4</v>
      </c>
      <c r="AY45" s="168">
        <f t="shared" si="23"/>
        <v>43</v>
      </c>
      <c r="AZ45" s="169"/>
      <c r="BA45" s="169"/>
      <c r="BC45" s="168">
        <f t="shared" ca="1" si="24"/>
        <v>39</v>
      </c>
      <c r="BD45" s="209">
        <f t="shared" ca="1" si="6"/>
        <v>32</v>
      </c>
      <c r="BF45" s="173" t="str">
        <f t="shared" ca="1" si="25"/>
        <v>Otter Tail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OTTR</v>
      </c>
    </row>
    <row r="46" spans="1:61" ht="13.8" x14ac:dyDescent="0.25">
      <c r="A46" s="223" t="s">
        <v>254</v>
      </c>
      <c r="B46" s="224" t="s">
        <v>142</v>
      </c>
      <c r="C46" s="224">
        <v>17</v>
      </c>
      <c r="D46" s="224" t="s">
        <v>255</v>
      </c>
      <c r="E46" s="225" t="str">
        <f t="shared" ca="1" si="8"/>
        <v>R</v>
      </c>
      <c r="F46" s="348"/>
      <c r="G46" s="349">
        <f t="shared" ca="1" si="1"/>
        <v>53</v>
      </c>
      <c r="H46" s="350"/>
      <c r="I46" s="191"/>
      <c r="K46" s="191"/>
      <c r="N46" s="351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48</v>
      </c>
      <c r="AK46" s="169" t="str">
        <f t="shared" ca="1" si="20"/>
        <v>BBB-</v>
      </c>
      <c r="AL46" s="169">
        <f t="shared" ca="1" si="20"/>
        <v>17</v>
      </c>
      <c r="AM46" s="169" t="str">
        <f t="shared" ca="1" si="4"/>
        <v/>
      </c>
      <c r="AQ46" s="207" t="s">
        <v>291</v>
      </c>
      <c r="AR46" s="207" t="s">
        <v>140</v>
      </c>
      <c r="AS46" s="207">
        <v>19</v>
      </c>
      <c r="AT46" s="207" t="s">
        <v>292</v>
      </c>
      <c r="AV46" s="168">
        <f t="shared" si="21"/>
        <v>14</v>
      </c>
      <c r="AW46" s="168">
        <f>COUNTIF( AV$7:AV46, AV46 )</f>
        <v>17</v>
      </c>
      <c r="AX46" s="208">
        <f t="shared" si="22"/>
        <v>15.7</v>
      </c>
      <c r="AY46" s="168">
        <f t="shared" si="23"/>
        <v>30</v>
      </c>
      <c r="AZ46" s="169"/>
      <c r="BA46" s="169"/>
      <c r="BC46" s="168">
        <f t="shared" ca="1" si="24"/>
        <v>40</v>
      </c>
      <c r="BD46" s="209">
        <f t="shared" ca="1" si="6"/>
        <v>10</v>
      </c>
      <c r="BF46" s="173" t="str">
        <f t="shared" ca="1" si="25"/>
        <v>Cleco Corporation</v>
      </c>
      <c r="BG46" s="173" t="str">
        <f t="shared" ca="1" si="25"/>
        <v>BBB-</v>
      </c>
      <c r="BH46" s="173">
        <f t="shared" ca="1" si="25"/>
        <v>17</v>
      </c>
      <c r="BI46" s="173" t="str">
        <f t="shared" ca="1" si="25"/>
        <v>**CNL</v>
      </c>
    </row>
    <row r="47" spans="1:61" ht="13.8" x14ac:dyDescent="0.25">
      <c r="A47" s="223" t="s">
        <v>259</v>
      </c>
      <c r="B47" s="224" t="s">
        <v>142</v>
      </c>
      <c r="C47" s="224">
        <v>17</v>
      </c>
      <c r="D47" s="224" t="s">
        <v>260</v>
      </c>
      <c r="E47" s="225" t="str">
        <f t="shared" ca="1" si="8"/>
        <v>R</v>
      </c>
      <c r="F47" s="348"/>
      <c r="G47" s="349">
        <f t="shared" ca="1" si="1"/>
        <v>54</v>
      </c>
      <c r="H47" s="350"/>
      <c r="I47" s="350"/>
      <c r="J47" s="187" t="s">
        <v>307</v>
      </c>
      <c r="K47" s="191"/>
      <c r="M47" s="351"/>
      <c r="N47" s="351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49</v>
      </c>
      <c r="AK47" s="169" t="str">
        <f t="shared" ca="1" si="20"/>
        <v>BBB-</v>
      </c>
      <c r="AL47" s="169">
        <f t="shared" ca="1" si="20"/>
        <v>17</v>
      </c>
      <c r="AM47" s="169" t="str">
        <f t="shared" ca="1" si="4"/>
        <v/>
      </c>
      <c r="AQ47" s="207" t="s">
        <v>293</v>
      </c>
      <c r="AR47" s="207" t="s">
        <v>139</v>
      </c>
      <c r="AS47" s="207">
        <v>20</v>
      </c>
      <c r="AT47" s="207" t="s">
        <v>294</v>
      </c>
      <c r="AV47" s="168">
        <f t="shared" si="21"/>
        <v>3</v>
      </c>
      <c r="AW47" s="168">
        <f>COUNTIF( AV$7:AV47, AV47 )</f>
        <v>9</v>
      </c>
      <c r="AX47" s="208">
        <f t="shared" si="22"/>
        <v>3.9</v>
      </c>
      <c r="AY47" s="168">
        <f t="shared" si="23"/>
        <v>11</v>
      </c>
      <c r="AZ47" s="169"/>
      <c r="BA47" s="169"/>
      <c r="BC47" s="168">
        <f t="shared" ca="1" si="24"/>
        <v>41</v>
      </c>
      <c r="BD47" s="209">
        <f t="shared" ca="1" si="6"/>
        <v>14</v>
      </c>
      <c r="BF47" s="173" t="str">
        <f t="shared" ca="1" si="25"/>
        <v>DPL Inc.</v>
      </c>
      <c r="BG47" s="173" t="str">
        <f t="shared" ca="1" si="25"/>
        <v>BBB-</v>
      </c>
      <c r="BH47" s="173">
        <f t="shared" ca="1" si="25"/>
        <v>17</v>
      </c>
      <c r="BI47" s="173" t="str">
        <f t="shared" ca="1" si="25"/>
        <v>**DPL</v>
      </c>
    </row>
    <row r="48" spans="1:61" ht="13.8" x14ac:dyDescent="0.25">
      <c r="A48" s="223" t="s">
        <v>279</v>
      </c>
      <c r="B48" s="224" t="s">
        <v>142</v>
      </c>
      <c r="C48" s="224">
        <v>17</v>
      </c>
      <c r="D48" s="224" t="s">
        <v>280</v>
      </c>
      <c r="E48" s="225" t="str">
        <f t="shared" ca="1" si="8"/>
        <v>MR</v>
      </c>
      <c r="F48" s="348"/>
      <c r="G48" s="349">
        <f t="shared" ca="1" si="1"/>
        <v>27</v>
      </c>
      <c r="H48" s="350"/>
      <c r="I48" s="350"/>
      <c r="K48" s="191"/>
      <c r="M48" s="351"/>
      <c r="N48" s="351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50</v>
      </c>
      <c r="AK48" s="169" t="str">
        <f t="shared" ca="1" si="20"/>
        <v>BBB-</v>
      </c>
      <c r="AL48" s="169">
        <f t="shared" ca="1" si="20"/>
        <v>17</v>
      </c>
      <c r="AM48" s="169" t="str">
        <f t="shared" ca="1" si="4"/>
        <v/>
      </c>
      <c r="AQ48" s="207" t="s">
        <v>295</v>
      </c>
      <c r="AR48" s="207" t="s">
        <v>140</v>
      </c>
      <c r="AS48" s="207">
        <v>19</v>
      </c>
      <c r="AT48" s="207" t="s">
        <v>296</v>
      </c>
      <c r="AV48" s="168">
        <f t="shared" si="21"/>
        <v>14</v>
      </c>
      <c r="AW48" s="168">
        <f>COUNTIF( AV$7:AV48, AV48 )</f>
        <v>18</v>
      </c>
      <c r="AX48" s="208">
        <f t="shared" si="22"/>
        <v>15.8</v>
      </c>
      <c r="AY48" s="168">
        <f t="shared" si="23"/>
        <v>31</v>
      </c>
      <c r="AZ48" s="169"/>
      <c r="BA48" s="169"/>
      <c r="BC48" s="168">
        <f t="shared" ca="1" si="24"/>
        <v>42</v>
      </c>
      <c r="BD48" s="209">
        <f t="shared" ca="1" si="6"/>
        <v>24</v>
      </c>
      <c r="BF48" s="173" t="str">
        <f t="shared" ca="1" si="25"/>
        <v>Hawaiian Electric Industries, Inc.</v>
      </c>
      <c r="BG48" s="173" t="str">
        <f t="shared" ca="1" si="25"/>
        <v>BBB-</v>
      </c>
      <c r="BH48" s="173">
        <f t="shared" ca="1" si="25"/>
        <v>17</v>
      </c>
      <c r="BI48" s="173" t="str">
        <f t="shared" ca="1" si="25"/>
        <v>HE</v>
      </c>
    </row>
    <row r="49" spans="1:61" ht="13.8" x14ac:dyDescent="0.25">
      <c r="A49" s="223" t="s">
        <v>305</v>
      </c>
      <c r="B49" s="224" t="s">
        <v>142</v>
      </c>
      <c r="C49" s="224">
        <v>17</v>
      </c>
      <c r="D49" s="224" t="s">
        <v>306</v>
      </c>
      <c r="E49" s="225" t="str">
        <f t="shared" ca="1" si="8"/>
        <v>R</v>
      </c>
      <c r="F49" s="348"/>
      <c r="G49" s="349">
        <f t="shared" ca="1" si="1"/>
        <v>57</v>
      </c>
      <c r="H49" s="350"/>
      <c r="I49" s="350"/>
      <c r="J49" s="191"/>
      <c r="K49" s="191"/>
      <c r="M49" s="351"/>
      <c r="N49" s="351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52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4"/>
        <v/>
      </c>
      <c r="AQ49" s="207" t="s">
        <v>247</v>
      </c>
      <c r="AR49" s="207" t="s">
        <v>139</v>
      </c>
      <c r="AS49" s="207">
        <v>20</v>
      </c>
      <c r="AT49" s="207" t="s">
        <v>248</v>
      </c>
      <c r="AV49" s="168">
        <f t="shared" si="21"/>
        <v>3</v>
      </c>
      <c r="AW49" s="168">
        <f>COUNTIF( AV$7:AV49, AV49 )</f>
        <v>10</v>
      </c>
      <c r="AX49" s="208">
        <f t="shared" si="22"/>
        <v>4</v>
      </c>
      <c r="AY49" s="168">
        <f t="shared" si="23"/>
        <v>12</v>
      </c>
      <c r="AZ49" s="169"/>
      <c r="BA49" s="169"/>
      <c r="BC49" s="168">
        <f t="shared" ca="1" si="24"/>
        <v>43</v>
      </c>
      <c r="BD49" s="209">
        <f t="shared" ca="1" si="6"/>
        <v>39</v>
      </c>
      <c r="BF49" s="173" t="str">
        <f t="shared" ca="1" si="25"/>
        <v>Puget Energy, Inc.</v>
      </c>
      <c r="BG49" s="173" t="str">
        <f t="shared" ca="1" si="25"/>
        <v>BBB-</v>
      </c>
      <c r="BH49" s="173">
        <f t="shared" ca="1" si="25"/>
        <v>17</v>
      </c>
      <c r="BI49" s="173" t="str">
        <f t="shared" ca="1" si="25"/>
        <v>**PSD</v>
      </c>
    </row>
    <row r="50" spans="1:61" ht="13.8" x14ac:dyDescent="0.25">
      <c r="A50" s="223" t="s">
        <v>301</v>
      </c>
      <c r="B50" s="224" t="s">
        <v>194</v>
      </c>
      <c r="C50" s="224">
        <v>3</v>
      </c>
      <c r="D50" s="224" t="s">
        <v>302</v>
      </c>
      <c r="E50" s="225" t="str">
        <f t="shared" ca="1" si="8"/>
        <v>R</v>
      </c>
      <c r="F50" s="348"/>
      <c r="G50" s="349">
        <f t="shared" ca="1" si="1"/>
        <v>36</v>
      </c>
      <c r="H50" s="350"/>
      <c r="I50" s="350"/>
      <c r="J50" s="191"/>
      <c r="K50" s="191"/>
      <c r="M50" s="351"/>
      <c r="N50" s="351"/>
      <c r="AF50" s="169">
        <f t="shared" si="2"/>
        <v>1</v>
      </c>
      <c r="AG50" s="169" t="str">
        <f t="shared" ca="1" si="3"/>
        <v/>
      </c>
      <c r="AH50" s="169">
        <f t="shared" ca="1" si="18"/>
        <v>1</v>
      </c>
      <c r="AJ50" s="169">
        <f t="shared" ca="1" si="19"/>
        <v>51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4"/>
        <v>Change</v>
      </c>
      <c r="AQ50" s="207" t="s">
        <v>251</v>
      </c>
      <c r="AR50" s="207" t="s">
        <v>139</v>
      </c>
      <c r="AS50" s="207">
        <v>20</v>
      </c>
      <c r="AT50" s="207" t="s">
        <v>252</v>
      </c>
      <c r="AV50" s="168">
        <f t="shared" si="21"/>
        <v>3</v>
      </c>
      <c r="AW50" s="168">
        <f>COUNTIF( AV$7:AV50, AV50 )</f>
        <v>11</v>
      </c>
      <c r="AX50" s="208">
        <f t="shared" si="22"/>
        <v>4.0999999999999996</v>
      </c>
      <c r="AY50" s="168">
        <f t="shared" si="23"/>
        <v>13</v>
      </c>
      <c r="AZ50" s="169"/>
      <c r="BA50" s="169"/>
      <c r="BC50" s="168">
        <f t="shared" ca="1" si="24"/>
        <v>44</v>
      </c>
      <c r="BD50" s="209">
        <f t="shared" ca="1" si="6"/>
        <v>33</v>
      </c>
      <c r="BF50" s="173" t="str">
        <f t="shared" ca="1" si="25"/>
        <v>PG&amp;E Corporation</v>
      </c>
      <c r="BG50" s="173" t="str">
        <f t="shared" ca="1" si="25"/>
        <v>D</v>
      </c>
      <c r="BH50" s="173">
        <f t="shared" ca="1" si="25"/>
        <v>3</v>
      </c>
      <c r="BI50" s="173" t="str">
        <f t="shared" ca="1" si="25"/>
        <v>PCG</v>
      </c>
    </row>
    <row r="51" spans="1:61" ht="13.8" x14ac:dyDescent="0.25">
      <c r="A51" s="223"/>
      <c r="B51" s="224"/>
      <c r="C51" s="224"/>
      <c r="D51" s="224"/>
      <c r="E51" s="225"/>
      <c r="F51" s="348"/>
      <c r="G51" s="349"/>
      <c r="H51" s="350"/>
      <c r="I51" s="350"/>
      <c r="J51" s="191"/>
      <c r="K51" s="191"/>
      <c r="M51" s="351"/>
      <c r="N51" s="351"/>
      <c r="AF51" s="169">
        <f t="shared" si="2"/>
        <v>0</v>
      </c>
      <c r="AG51" s="169" t="str">
        <f t="shared" si="3"/>
        <v/>
      </c>
      <c r="AH51" s="169" t="str">
        <f t="shared" si="18"/>
        <v/>
      </c>
      <c r="AJ51" s="169" t="e">
        <f t="shared" ca="1" si="19"/>
        <v>#N/A</v>
      </c>
      <c r="AK51" s="169" t="str">
        <f t="shared" ca="1" si="20"/>
        <v/>
      </c>
      <c r="AL51" s="169" t="str">
        <f t="shared" ca="1" si="20"/>
        <v/>
      </c>
      <c r="AM51" s="169" t="str">
        <f t="shared" ca="1" si="4"/>
        <v/>
      </c>
      <c r="AQ51" s="207"/>
      <c r="AR51" s="207"/>
      <c r="AS51" s="207"/>
      <c r="AT51" s="207"/>
      <c r="AV51" s="168">
        <f t="shared" si="21"/>
        <v>99</v>
      </c>
      <c r="AW51" s="168">
        <f>COUNTIF( AV$7:AV51, AV51 )</f>
        <v>1</v>
      </c>
      <c r="AX51" s="208">
        <f t="shared" si="22"/>
        <v>99.1</v>
      </c>
      <c r="AY51" s="168">
        <f t="shared" si="23"/>
        <v>45</v>
      </c>
      <c r="AZ51" s="169"/>
      <c r="BA51" s="169"/>
      <c r="BC51" s="168">
        <f t="shared" ca="1" si="24"/>
        <v>45</v>
      </c>
      <c r="BD51" s="209">
        <f t="shared" ca="1" si="6"/>
        <v>45</v>
      </c>
      <c r="BF51" s="173">
        <f t="shared" ca="1" si="25"/>
        <v>0</v>
      </c>
      <c r="BG51" s="173">
        <f t="shared" ca="1" si="25"/>
        <v>0</v>
      </c>
      <c r="BH51" s="173">
        <f t="shared" ca="1" si="25"/>
        <v>0</v>
      </c>
      <c r="BI51" s="173">
        <f t="shared" ca="1" si="25"/>
        <v>0</v>
      </c>
    </row>
    <row r="52" spans="1:61" ht="13.8" x14ac:dyDescent="0.25">
      <c r="A52" s="223"/>
      <c r="B52" s="224"/>
      <c r="C52" s="224"/>
      <c r="D52" s="224"/>
      <c r="E52" s="225"/>
      <c r="F52" s="348"/>
      <c r="G52" s="349"/>
      <c r="H52" s="350"/>
      <c r="I52" s="350"/>
      <c r="J52" s="191"/>
      <c r="K52" s="191"/>
      <c r="AF52" s="169">
        <f t="shared" si="2"/>
        <v>0</v>
      </c>
      <c r="AG52" s="169" t="str">
        <f t="shared" si="3"/>
        <v/>
      </c>
      <c r="AH52" s="169" t="str">
        <f t="shared" si="18"/>
        <v/>
      </c>
      <c r="AJ52" s="169" t="e">
        <f t="shared" ca="1" si="19"/>
        <v>#N/A</v>
      </c>
      <c r="AK52" s="169" t="str">
        <f t="shared" ca="1" si="20"/>
        <v/>
      </c>
      <c r="AL52" s="169" t="str">
        <f t="shared" ca="1" si="20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si="21"/>
        <v>99</v>
      </c>
      <c r="AW52" s="168">
        <f>COUNTIF( AV$7:AV52, AV52 )</f>
        <v>2</v>
      </c>
      <c r="AX52" s="208">
        <f t="shared" si="22"/>
        <v>99.2</v>
      </c>
      <c r="AY52" s="168">
        <f t="shared" si="23"/>
        <v>46</v>
      </c>
      <c r="AZ52" s="169"/>
      <c r="BA52" s="169"/>
      <c r="BC52" s="168">
        <f t="shared" ca="1" si="24"/>
        <v>46</v>
      </c>
      <c r="BD52" s="209">
        <f t="shared" ca="1" si="6"/>
        <v>46</v>
      </c>
      <c r="BF52" s="173">
        <f t="shared" ca="1" si="25"/>
        <v>0</v>
      </c>
      <c r="BG52" s="173">
        <f t="shared" ca="1" si="25"/>
        <v>0</v>
      </c>
      <c r="BH52" s="173">
        <f t="shared" ca="1" si="25"/>
        <v>0</v>
      </c>
      <c r="BI52" s="173">
        <f t="shared" ca="1" si="25"/>
        <v>0</v>
      </c>
    </row>
    <row r="53" spans="1:61" ht="13.8" x14ac:dyDescent="0.25">
      <c r="A53" s="223"/>
      <c r="B53" s="224"/>
      <c r="C53" s="224"/>
      <c r="D53" s="224"/>
      <c r="E53" s="225"/>
      <c r="F53" s="348"/>
      <c r="G53" s="349" t="str">
        <f t="shared" ca="1" si="1"/>
        <v/>
      </c>
      <c r="H53" s="350"/>
      <c r="I53" s="350"/>
      <c r="J53" s="191"/>
      <c r="K53" s="191"/>
      <c r="AF53" s="169">
        <f t="shared" si="2"/>
        <v>0</v>
      </c>
      <c r="AG53" s="169" t="str">
        <f t="shared" si="3"/>
        <v/>
      </c>
      <c r="AH53" s="169" t="str">
        <f t="shared" si="18"/>
        <v/>
      </c>
      <c r="AJ53" s="169" t="e">
        <f t="shared" ca="1" si="19"/>
        <v>#N/A</v>
      </c>
      <c r="AK53" s="169" t="str">
        <f t="shared" ca="1" si="20"/>
        <v/>
      </c>
      <c r="AL53" s="169" t="str">
        <f t="shared" ca="1" si="20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si="21"/>
        <v>99</v>
      </c>
      <c r="AW53" s="168">
        <f>COUNTIF( AV$7:AV53, AV53 )</f>
        <v>3</v>
      </c>
      <c r="AX53" s="208">
        <f t="shared" si="22"/>
        <v>99.3</v>
      </c>
      <c r="AY53" s="168">
        <f t="shared" si="23"/>
        <v>47</v>
      </c>
      <c r="AZ53" s="169"/>
      <c r="BA53" s="169"/>
      <c r="BC53" s="168">
        <f t="shared" ca="1" si="24"/>
        <v>47</v>
      </c>
      <c r="BD53" s="209">
        <f t="shared" ca="1" si="6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ht="13.8" x14ac:dyDescent="0.25">
      <c r="A54" s="223"/>
      <c r="B54" s="224"/>
      <c r="C54" s="224"/>
      <c r="D54" s="224"/>
      <c r="E54" s="225"/>
      <c r="F54" s="348"/>
      <c r="G54" s="349" t="str">
        <f t="shared" ca="1" si="1"/>
        <v/>
      </c>
      <c r="H54" s="350"/>
      <c r="I54" s="350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8"/>
        <v/>
      </c>
      <c r="AJ54" s="169" t="e">
        <f t="shared" ca="1" si="19"/>
        <v>#N/A</v>
      </c>
      <c r="AK54" s="169" t="str">
        <f t="shared" ca="1" si="20"/>
        <v/>
      </c>
      <c r="AL54" s="169" t="str">
        <f t="shared" ca="1" si="20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21"/>
        <v>99</v>
      </c>
      <c r="AW54" s="168">
        <f>COUNTIF( AV$7:AV54, AV54 )</f>
        <v>4</v>
      </c>
      <c r="AX54" s="208">
        <f t="shared" si="22"/>
        <v>99.4</v>
      </c>
      <c r="AY54" s="168">
        <f t="shared" si="23"/>
        <v>48</v>
      </c>
      <c r="AZ54" s="169"/>
      <c r="BA54" s="169"/>
      <c r="BC54" s="168">
        <f t="shared" ca="1" si="24"/>
        <v>48</v>
      </c>
      <c r="BD54" s="209">
        <f t="shared" ca="1" si="6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3.8" x14ac:dyDescent="0.25">
      <c r="A55" s="223"/>
      <c r="B55" s="224"/>
      <c r="C55" s="224"/>
      <c r="D55" s="224"/>
      <c r="E55" s="225"/>
      <c r="F55" s="348"/>
      <c r="G55" s="349" t="str">
        <f t="shared" ca="1" si="1"/>
        <v/>
      </c>
      <c r="H55" s="350"/>
      <c r="I55" s="350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8"/>
        <v/>
      </c>
      <c r="AJ55" s="169" t="e">
        <f t="shared" ca="1" si="19"/>
        <v>#N/A</v>
      </c>
      <c r="AK55" s="169" t="str">
        <f t="shared" ca="1" si="20"/>
        <v/>
      </c>
      <c r="AL55" s="169" t="str">
        <f t="shared" ca="1" si="20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1"/>
        <v>99</v>
      </c>
      <c r="AW55" s="168">
        <f>COUNTIF( AV$7:AV55, AV55 )</f>
        <v>5</v>
      </c>
      <c r="AX55" s="208">
        <f t="shared" si="22"/>
        <v>99.5</v>
      </c>
      <c r="AY55" s="168">
        <f t="shared" si="23"/>
        <v>49</v>
      </c>
      <c r="AZ55" s="169"/>
      <c r="BA55" s="169"/>
      <c r="BC55" s="168">
        <f t="shared" ca="1" si="24"/>
        <v>49</v>
      </c>
      <c r="BD55" s="209">
        <f t="shared" ca="1" si="6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3.8" x14ac:dyDescent="0.25">
      <c r="A56" s="223"/>
      <c r="B56" s="224"/>
      <c r="C56" s="224"/>
      <c r="D56" s="224"/>
      <c r="E56" s="225"/>
      <c r="F56" s="348"/>
      <c r="G56" s="349" t="str">
        <f t="shared" ca="1" si="1"/>
        <v/>
      </c>
      <c r="H56" s="350"/>
      <c r="I56" s="350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6</v>
      </c>
      <c r="AX56" s="208">
        <f t="shared" si="22"/>
        <v>99.6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8" x14ac:dyDescent="0.25">
      <c r="A57" s="223"/>
      <c r="B57" s="224"/>
      <c r="C57" s="224"/>
      <c r="D57" s="224"/>
      <c r="E57" s="225"/>
      <c r="F57" s="348"/>
      <c r="G57" s="349" t="str">
        <f t="shared" ca="1" si="1"/>
        <v/>
      </c>
      <c r="H57" s="350"/>
      <c r="I57" s="350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7</v>
      </c>
      <c r="AX57" s="208">
        <f t="shared" si="22"/>
        <v>99.7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8" x14ac:dyDescent="0.25">
      <c r="A58" s="223"/>
      <c r="B58" s="224"/>
      <c r="C58" s="224"/>
      <c r="D58" s="224"/>
      <c r="E58" s="225"/>
      <c r="F58" s="348"/>
      <c r="G58" s="349" t="str">
        <f t="shared" ca="1" si="1"/>
        <v/>
      </c>
      <c r="H58" s="350"/>
      <c r="I58" s="350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8</v>
      </c>
      <c r="AX58" s="208">
        <f t="shared" si="22"/>
        <v>99.8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8" x14ac:dyDescent="0.25">
      <c r="A59" s="223"/>
      <c r="B59" s="224"/>
      <c r="C59" s="224"/>
      <c r="D59" s="224"/>
      <c r="E59" s="225" t="str">
        <f t="shared" ca="1" si="8"/>
        <v/>
      </c>
      <c r="F59" s="348"/>
      <c r="G59" s="349" t="str">
        <f t="shared" ca="1" si="1"/>
        <v/>
      </c>
      <c r="H59" s="350"/>
      <c r="I59" s="350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9</v>
      </c>
      <c r="AX59" s="208">
        <f t="shared" si="22"/>
        <v>99.9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" thickBot="1" x14ac:dyDescent="0.3">
      <c r="A60" s="192"/>
      <c r="B60" s="193"/>
      <c r="C60" s="193"/>
      <c r="D60" s="193"/>
      <c r="E60" s="194" t="str">
        <f t="shared" ca="1" si="8"/>
        <v/>
      </c>
      <c r="F60" s="350"/>
      <c r="G60" s="353" t="str">
        <f t="shared" ca="1" si="1"/>
        <v/>
      </c>
      <c r="H60" s="350"/>
      <c r="I60" s="350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10</v>
      </c>
      <c r="AX60" s="208">
        <f t="shared" si="22"/>
        <v>100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8" x14ac:dyDescent="0.25">
      <c r="A61" s="226" t="s">
        <v>308</v>
      </c>
      <c r="B61" s="227" t="s">
        <v>162</v>
      </c>
      <c r="C61" s="227">
        <v>23</v>
      </c>
      <c r="D61" s="227" t="s">
        <v>309</v>
      </c>
      <c r="E61" s="228" t="str">
        <f t="shared" ca="1" si="8"/>
        <v>R</v>
      </c>
      <c r="F61" s="354"/>
      <c r="G61" s="355">
        <f t="shared" ca="1" si="1"/>
        <v>30</v>
      </c>
      <c r="H61" s="350"/>
      <c r="I61" s="350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11</v>
      </c>
      <c r="AX61" s="208">
        <f t="shared" si="22"/>
        <v>100.1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8" x14ac:dyDescent="0.25">
      <c r="A62" s="223"/>
      <c r="B62" s="224"/>
      <c r="C62" s="224"/>
      <c r="D62" s="224"/>
      <c r="E62" s="225"/>
      <c r="F62" s="348"/>
      <c r="G62" s="349" t="str">
        <f t="shared" ca="1" si="1"/>
        <v/>
      </c>
      <c r="H62" s="350"/>
      <c r="I62" s="350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 t="e">
        <f t="shared" ca="1" si="19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12</v>
      </c>
      <c r="AX62" s="208">
        <f t="shared" si="22"/>
        <v>100.2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/>
      <c r="B63" s="229"/>
      <c r="C63" s="224"/>
      <c r="D63" s="224"/>
      <c r="E63" s="225"/>
      <c r="F63" s="348"/>
      <c r="G63" s="349"/>
      <c r="H63" s="350"/>
      <c r="I63" s="350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13</v>
      </c>
      <c r="AX63" s="208">
        <f t="shared" si="22"/>
        <v>100.3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/>
      <c r="B64" s="229"/>
      <c r="C64" s="224"/>
      <c r="D64" s="224"/>
      <c r="E64" s="225"/>
      <c r="F64" s="348"/>
      <c r="G64" s="349"/>
      <c r="H64" s="350"/>
      <c r="I64" s="350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308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58" ht="13.8" x14ac:dyDescent="0.25">
      <c r="A65" s="223"/>
      <c r="B65" s="229"/>
      <c r="C65" s="224"/>
      <c r="D65" s="224"/>
      <c r="E65" s="225"/>
      <c r="F65" s="348"/>
      <c r="G65" s="349"/>
      <c r="H65" s="350"/>
      <c r="I65" s="350"/>
      <c r="N65" s="168" t="s">
        <v>310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3.8" x14ac:dyDescent="0.25">
      <c r="A66" s="195"/>
      <c r="B66" s="196"/>
      <c r="C66" s="185"/>
      <c r="D66" s="185"/>
      <c r="E66" s="182"/>
      <c r="F66" s="350"/>
      <c r="H66" s="350"/>
      <c r="I66" s="350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50"/>
      <c r="H67" s="350"/>
      <c r="I67" s="350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8" x14ac:dyDescent="0.25">
      <c r="A68" s="200" t="s">
        <v>311</v>
      </c>
      <c r="B68" s="189" t="str">
        <f ca="1">OFFSET( Scale!$H$5, ROUND( C68, 0 ) - 1, 1 )</f>
        <v>BBB+</v>
      </c>
      <c r="C68" s="201">
        <f>AVERAGE(C7:C65)</f>
        <v>18.733333333333334</v>
      </c>
      <c r="D68" s="201"/>
      <c r="E68" s="201"/>
      <c r="F68" s="350"/>
      <c r="H68" s="350"/>
      <c r="I68" s="350"/>
      <c r="J68" s="351"/>
      <c r="K68" s="351"/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50"/>
      <c r="H69" s="350"/>
      <c r="I69" s="350"/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1"/>
      <c r="K70" s="351"/>
    </row>
    <row r="71" spans="1:58" x14ac:dyDescent="0.25">
      <c r="A71" s="203" t="s">
        <v>312</v>
      </c>
      <c r="F71" s="173"/>
      <c r="H71" s="173"/>
      <c r="I71" s="173"/>
    </row>
    <row r="72" spans="1:58" x14ac:dyDescent="0.25">
      <c r="A72" s="203" t="s">
        <v>313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314</v>
      </c>
      <c r="B73" s="173"/>
      <c r="D73" s="173"/>
      <c r="E73" s="173"/>
      <c r="F73" s="204"/>
      <c r="H73" s="204"/>
      <c r="I73" s="204"/>
    </row>
    <row r="74" spans="1:58" x14ac:dyDescent="0.25">
      <c r="A74" s="203" t="s">
        <v>315</v>
      </c>
      <c r="D74" s="204"/>
      <c r="F74" s="206"/>
      <c r="H74" s="206"/>
      <c r="I74" s="206"/>
      <c r="AQ74" s="207"/>
      <c r="AR74" s="207"/>
      <c r="AS74" s="207"/>
    </row>
    <row r="75" spans="1:58" x14ac:dyDescent="0.25">
      <c r="A75" s="203" t="s">
        <v>316</v>
      </c>
      <c r="D75" s="204"/>
      <c r="F75" s="206"/>
      <c r="H75" s="206"/>
      <c r="I75" s="206"/>
      <c r="AQ75" s="207"/>
      <c r="AR75" s="207"/>
      <c r="AS75" s="207"/>
    </row>
    <row r="76" spans="1:58" x14ac:dyDescent="0.25">
      <c r="A76" s="203"/>
      <c r="AQ76" s="207"/>
      <c r="AR76" s="207"/>
      <c r="AS76" s="207"/>
    </row>
    <row r="77" spans="1:58" x14ac:dyDescent="0.25">
      <c r="C77" s="190">
        <f>SUMPRODUCT( L8:L13, Y8:Y13 ) / L14</f>
        <v>18.955555555555556</v>
      </c>
      <c r="E77" s="191"/>
      <c r="G77" s="353"/>
      <c r="J77" s="173"/>
      <c r="K77" s="173"/>
      <c r="AQ77" s="207"/>
      <c r="AR77" s="207"/>
      <c r="AS77" s="207"/>
    </row>
    <row r="78" spans="1:58" s="173" customFormat="1" ht="13.8" x14ac:dyDescent="0.2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127" priority="31" stopIfTrue="1">
      <formula>IF( $AH7 = 1, TRUE, FALSE )</formula>
    </cfRule>
    <cfRule type="expression" dxfId="1126" priority="32" stopIfTrue="1">
      <formula>IF( $AG7 = 1, TRUE, FALSE )</formula>
    </cfRule>
    <cfRule type="expression" dxfId="1125" priority="33" stopIfTrue="1">
      <formula>IF( $AF7 = 1, TRUE, FALSE )</formula>
    </cfRule>
  </conditionalFormatting>
  <conditionalFormatting sqref="A67:E67">
    <cfRule type="expression" dxfId="1124" priority="34" stopIfTrue="1">
      <formula>IF( $AH67 = 1, TRUE, FALSE )</formula>
    </cfRule>
    <cfRule type="expression" dxfId="1123" priority="35" stopIfTrue="1">
      <formula>IF( $AG67 = 1, TRUE, FALSE )</formula>
    </cfRule>
    <cfRule type="expression" dxfId="1122" priority="36" stopIfTrue="1">
      <formula>IF( $AF67 = 1, TRUE, FALSE )</formula>
    </cfRule>
  </conditionalFormatting>
  <conditionalFormatting sqref="A66:E66">
    <cfRule type="expression" dxfId="1121" priority="28" stopIfTrue="1">
      <formula>IF( $AH66 = 1, TRUE, FALSE )</formula>
    </cfRule>
    <cfRule type="expression" dxfId="1120" priority="29" stopIfTrue="1">
      <formula>IF( $AG66 = 1, TRUE, FALSE )</formula>
    </cfRule>
    <cfRule type="expression" dxfId="1119" priority="30" stopIfTrue="1">
      <formula>IF( $AF66 = 1, TRUE, FALSE )</formula>
    </cfRule>
  </conditionalFormatting>
  <conditionalFormatting sqref="A8:D33 B7:D7 A35:D58">
    <cfRule type="expression" dxfId="1118" priority="25" stopIfTrue="1">
      <formula>IF( $AH7 = 1, TRUE, FALSE )</formula>
    </cfRule>
    <cfRule type="expression" dxfId="1117" priority="26" stopIfTrue="1">
      <formula>IF( $AG7 = 1, TRUE, FALSE )</formula>
    </cfRule>
    <cfRule type="expression" dxfId="1116" priority="27" stopIfTrue="1">
      <formula>IF( $AF7 = 1, TRUE, FALSE )</formula>
    </cfRule>
  </conditionalFormatting>
  <conditionalFormatting sqref="A59:D59">
    <cfRule type="expression" dxfId="1115" priority="22" stopIfTrue="1">
      <formula>IF( $AH59 = 1, TRUE, FALSE )</formula>
    </cfRule>
    <cfRule type="expression" dxfId="1114" priority="23" stopIfTrue="1">
      <formula>IF( $AG59 = 1, TRUE, FALSE )</formula>
    </cfRule>
    <cfRule type="expression" dxfId="1113" priority="24" stopIfTrue="1">
      <formula>IF( $AF59 = 1, TRUE, FALSE )</formula>
    </cfRule>
  </conditionalFormatting>
  <conditionalFormatting sqref="A61:D65">
    <cfRule type="expression" dxfId="1112" priority="19" stopIfTrue="1">
      <formula>IF( $AH61 = 1, TRUE, FALSE )</formula>
    </cfRule>
    <cfRule type="expression" dxfId="1111" priority="20" stopIfTrue="1">
      <formula>IF( $AG61 = 1, TRUE, FALSE )</formula>
    </cfRule>
    <cfRule type="expression" dxfId="1110" priority="21" stopIfTrue="1">
      <formula>IF( $AF61 = 1, TRUE, FALSE )</formula>
    </cfRule>
  </conditionalFormatting>
  <conditionalFormatting sqref="U8:U12">
    <cfRule type="cellIs" dxfId="1109" priority="18" operator="equal">
      <formula>0</formula>
    </cfRule>
  </conditionalFormatting>
  <conditionalFormatting sqref="O8:O12 Q8:Q12">
    <cfRule type="cellIs" dxfId="1108" priority="17" operator="equal">
      <formula>0</formula>
    </cfRule>
  </conditionalFormatting>
  <conditionalFormatting sqref="V8:V12">
    <cfRule type="cellIs" dxfId="1107" priority="16" operator="equal">
      <formula>0</formula>
    </cfRule>
  </conditionalFormatting>
  <conditionalFormatting sqref="S8:S12">
    <cfRule type="cellIs" dxfId="1106" priority="14" operator="equal">
      <formula>0</formula>
    </cfRule>
  </conditionalFormatting>
  <conditionalFormatting sqref="R8:R12">
    <cfRule type="cellIs" dxfId="1105" priority="15" operator="equal">
      <formula>0</formula>
    </cfRule>
  </conditionalFormatting>
  <conditionalFormatting sqref="P8:P12">
    <cfRule type="cellIs" dxfId="1104" priority="13" operator="equal">
      <formula>0</formula>
    </cfRule>
  </conditionalFormatting>
  <conditionalFormatting sqref="M8:M12">
    <cfRule type="cellIs" dxfId="1103" priority="12" operator="equal">
      <formula>0</formula>
    </cfRule>
  </conditionalFormatting>
  <conditionalFormatting sqref="T8:T12">
    <cfRule type="cellIs" dxfId="1102" priority="11" operator="equal">
      <formula>0</formula>
    </cfRule>
  </conditionalFormatting>
  <conditionalFormatting sqref="N8:N12">
    <cfRule type="cellIs" dxfId="1101" priority="10" operator="equal">
      <formula>0</formula>
    </cfRule>
  </conditionalFormatting>
  <conditionalFormatting sqref="K8:K12">
    <cfRule type="cellIs" dxfId="1100" priority="9" operator="equal">
      <formula>0</formula>
    </cfRule>
  </conditionalFormatting>
  <conditionalFormatting sqref="I8:I12">
    <cfRule type="cellIs" dxfId="1099" priority="8" operator="equal">
      <formula>0</formula>
    </cfRule>
  </conditionalFormatting>
  <conditionalFormatting sqref="W8:W12">
    <cfRule type="cellIs" dxfId="1098" priority="7" operator="equal">
      <formula>0</formula>
    </cfRule>
  </conditionalFormatting>
  <conditionalFormatting sqref="A7">
    <cfRule type="expression" dxfId="1097" priority="4" stopIfTrue="1">
      <formula>IF( $AH7 = 1, TRUE, FALSE )</formula>
    </cfRule>
    <cfRule type="expression" dxfId="1096" priority="5" stopIfTrue="1">
      <formula>IF( $AG7 = 1, TRUE, FALSE )</formula>
    </cfRule>
    <cfRule type="expression" dxfId="1095" priority="6" stopIfTrue="1">
      <formula>IF( $AF7 = 1, TRUE, FALSE )</formula>
    </cfRule>
  </conditionalFormatting>
  <conditionalFormatting sqref="A34:D34">
    <cfRule type="expression" dxfId="1094" priority="1" stopIfTrue="1">
      <formula>IF( $AH34 = 1, TRUE, FALSE )</formula>
    </cfRule>
    <cfRule type="expression" dxfId="1093" priority="2" stopIfTrue="1">
      <formula>IF( $AG34 = 1, TRUE, FALSE )</formula>
    </cfRule>
    <cfRule type="expression" dxfId="1092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hidden="1" customWidth="1" outlineLevel="1"/>
    <col min="23" max="23" width="2" style="168" hidden="1" customWidth="1" outlineLevel="1"/>
    <col min="24" max="24" width="4.109375" style="168" customWidth="1" collapsed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15.88671875" style="169" hidden="1" customWidth="1" outlineLevel="1" collapsed="1"/>
    <col min="37" max="38" width="15.88671875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-- 2018 Q4</v>
      </c>
      <c r="G1" s="175" t="s">
        <v>195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 x14ac:dyDescent="0.25">
      <c r="A2" s="167"/>
      <c r="E2" s="171" t="str">
        <f>G2</f>
        <v>Reg_Percent_2017</v>
      </c>
      <c r="G2" s="172" t="s">
        <v>343</v>
      </c>
      <c r="AJ2" s="173" t="str">
        <f>AJ4 &amp; AJ3</f>
        <v>'Credit_2018Q3'!d:d</v>
      </c>
      <c r="AK2" s="173" t="str">
        <f>AK4 &amp; AK3</f>
        <v>'Credit_2018Q3'!b1</v>
      </c>
      <c r="AL2" s="173" t="str">
        <f>AL4 &amp; AL3</f>
        <v>'Credit_2018Q3'!c1</v>
      </c>
      <c r="AQ2" s="169"/>
    </row>
    <row r="3" spans="1:61" ht="18" hidden="1" outlineLevel="1" x14ac:dyDescent="0.25">
      <c r="A3" s="167"/>
      <c r="E3" s="174" t="str">
        <f>"'" &amp; E2 &amp; "'!"</f>
        <v>'Reg_Percent_2017'!</v>
      </c>
      <c r="G3" s="168" t="str">
        <f>"'" &amp; G2 &amp; "'!"</f>
        <v>'Reg_Percent_2017'!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205</v>
      </c>
      <c r="AK3" s="149" t="s">
        <v>206</v>
      </c>
      <c r="AL3" s="149" t="s">
        <v>207</v>
      </c>
      <c r="AQ3" s="169"/>
    </row>
    <row r="4" spans="1:61" ht="18" hidden="1" outlineLevel="1" x14ac:dyDescent="0.25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>$AQ$5</f>
        <v>'Credit_2018Q3'!</v>
      </c>
      <c r="AK4" s="169" t="str">
        <f t="shared" ref="AK4:AL4" si="0">$AQ$5</f>
        <v>'Credit_2018Q3'!</v>
      </c>
      <c r="AL4" s="169" t="str">
        <f t="shared" si="0"/>
        <v>'Credit_2018Q3'!</v>
      </c>
      <c r="AQ4" s="169"/>
    </row>
    <row r="5" spans="1:61" ht="13.8" collapsed="1" x14ac:dyDescent="0.25">
      <c r="E5" s="176" t="s">
        <v>209</v>
      </c>
      <c r="G5" s="170" t="s">
        <v>199</v>
      </c>
      <c r="I5" s="230"/>
      <c r="J5" s="389" t="s">
        <v>210</v>
      </c>
      <c r="K5" s="230"/>
      <c r="L5" s="391" t="str">
        <f>"All Companies" &amp; CHAR( 10 ) &amp; "("&amp; L14 &amp; ")"</f>
        <v>All Companies
(47)</v>
      </c>
      <c r="M5" s="391"/>
      <c r="N5" s="230"/>
      <c r="O5" s="389" t="str">
        <f ca="1">"Regulated" &amp; CHAR( 10 ) &amp; "(" &amp; O14 &amp; ")"</f>
        <v>Regulated
(34)</v>
      </c>
      <c r="P5" s="393"/>
      <c r="Q5" s="230"/>
      <c r="R5" s="389" t="str">
        <f ca="1">"Mostly Regulated" &amp; CHAR( 10 ) &amp; "(" &amp; R14 &amp; ")"</f>
        <v>Mostly Regulated
(13)</v>
      </c>
      <c r="S5" s="393"/>
      <c r="T5" s="230"/>
      <c r="U5" s="389" t="str">
        <f ca="1">"Diversified" &amp; CHAR( 10 ) &amp; "(" &amp; U14 &amp; ")"</f>
        <v>Diversified
(0)</v>
      </c>
      <c r="V5" s="393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344</v>
      </c>
    </row>
    <row r="6" spans="1:61" ht="28.5" customHeight="1" x14ac:dyDescent="0.25">
      <c r="A6" s="219" t="s">
        <v>212</v>
      </c>
      <c r="B6" s="220" t="s">
        <v>75</v>
      </c>
      <c r="C6" s="249" t="s">
        <v>214</v>
      </c>
      <c r="D6" s="221"/>
      <c r="E6" s="222">
        <f ca="1">INDIRECT( E3 &amp; G1 )</f>
        <v>43100</v>
      </c>
      <c r="I6" s="231"/>
      <c r="J6" s="390"/>
      <c r="K6" s="231"/>
      <c r="L6" s="392"/>
      <c r="M6" s="392"/>
      <c r="N6" s="231"/>
      <c r="O6" s="390"/>
      <c r="P6" s="390"/>
      <c r="Q6" s="231"/>
      <c r="R6" s="390" t="s">
        <v>136</v>
      </c>
      <c r="S6" s="390"/>
      <c r="T6" s="231"/>
      <c r="U6" s="390"/>
      <c r="V6" s="390"/>
      <c r="W6" s="231"/>
      <c r="AE6" s="178"/>
      <c r="AJ6" s="179"/>
    </row>
    <row r="7" spans="1:61" ht="13.8" x14ac:dyDescent="0.25">
      <c r="A7" s="223" t="s">
        <v>235</v>
      </c>
      <c r="B7" s="224" t="s">
        <v>164</v>
      </c>
      <c r="C7" s="224">
        <v>22</v>
      </c>
      <c r="D7" s="224" t="s">
        <v>236</v>
      </c>
      <c r="E7" s="225" t="str">
        <f ca="1">IF( LEN( $G7 ) = 0, "", OFFSET( INDIRECT( E$3 &amp; E$4 ), $G7 - 1, 0 ) )</f>
        <v>R</v>
      </c>
      <c r="F7" s="348"/>
      <c r="G7" s="349">
        <f t="shared" ref="G7:G62" ca="1" si="1">IF( LEN( $D7 ) = 0, "", MATCH( $D7, INDIRECT( G$3 &amp; G$4 ), 0 ) )</f>
        <v>24</v>
      </c>
      <c r="H7" s="350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A+</v>
      </c>
      <c r="AL7" s="169">
        <f ca="1">IF( ISNA( $AJ7 ), "", OFFSET( INDIRECT( AL$2 ), $AJ7-1, 0 ) )</f>
        <v>22</v>
      </c>
      <c r="AM7" s="169" t="str">
        <f t="shared" ref="AM7:AM67" ca="1" si="4">IF( B7 = AK7, "", "Change" )</f>
        <v/>
      </c>
      <c r="AQ7" s="207" t="s">
        <v>217</v>
      </c>
      <c r="AR7" s="207" t="s">
        <v>140</v>
      </c>
      <c r="AS7" s="207">
        <v>19</v>
      </c>
      <c r="AT7" s="207" t="s">
        <v>218</v>
      </c>
      <c r="AV7" s="168">
        <f>IF( LEN( AS7 ) = 0, 99, RANK( AS7, $AS$7:$AS$63 ) )</f>
        <v>16</v>
      </c>
      <c r="AW7" s="168">
        <f>COUNTIF( AV7:AV$7, AV7 )</f>
        <v>1</v>
      </c>
      <c r="AX7" s="208">
        <f>AV7 + AW7 / 10</f>
        <v>16.100000000000001</v>
      </c>
      <c r="AY7" s="168">
        <f>RANK( AX7, $AX$7:$AX$63, 1 )</f>
        <v>16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21</v>
      </c>
      <c r="BF7" s="173" t="str">
        <f t="shared" ref="BF7:BI38" ca="1" si="7">OFFSET( AQ$6, $BD7, 0 )</f>
        <v>Eversource Energy</v>
      </c>
      <c r="BG7" s="173" t="str">
        <f t="shared" ca="1" si="7"/>
        <v>A+</v>
      </c>
      <c r="BH7" s="173">
        <f t="shared" ca="1" si="7"/>
        <v>22</v>
      </c>
      <c r="BI7" s="173" t="str">
        <f t="shared" ca="1" si="7"/>
        <v>ES</v>
      </c>
    </row>
    <row r="8" spans="1:61" ht="13.8" x14ac:dyDescent="0.25">
      <c r="A8" s="223" t="s">
        <v>215</v>
      </c>
      <c r="B8" s="224" t="s">
        <v>166</v>
      </c>
      <c r="C8" s="224">
        <v>21</v>
      </c>
      <c r="D8" s="224" t="s">
        <v>216</v>
      </c>
      <c r="E8" s="225" t="str">
        <f t="shared" ref="E8:E61" ca="1" si="8">IF( LEN( $G8 ) = 0, "", OFFSET( INDIRECT( E$3 &amp; E$4 ), $G8 - 1, 0 ) )</f>
        <v>MR</v>
      </c>
      <c r="F8" s="348"/>
      <c r="G8" s="349">
        <f t="shared" ca="1" si="1"/>
        <v>56</v>
      </c>
      <c r="H8" s="350"/>
      <c r="I8" s="233"/>
      <c r="J8" s="213" t="s">
        <v>137</v>
      </c>
      <c r="K8" s="233"/>
      <c r="L8" s="213">
        <f t="shared" ref="L8:L13" si="9">COUNTIF($C$7:$C$67,$X8)</f>
        <v>3</v>
      </c>
      <c r="M8" s="214">
        <f t="shared" ref="M8:M13" si="10">IF( L8 = 0, "", L8/L$14 )</f>
        <v>6.3829787234042548E-2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2.9411764705882353E-2</v>
      </c>
      <c r="Q8" s="233"/>
      <c r="R8" s="213">
        <f t="shared" ref="R8:R13" ca="1" si="13">COUNTIFS( $E$7:$E$66, R$3, $C$7:$C$66, $X8 )</f>
        <v>2</v>
      </c>
      <c r="S8" s="214">
        <f t="shared" ref="S8:S13" ca="1" si="14">IF( R8 = 0, "", R8/R$14 )</f>
        <v>0.15384615384615385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7">SUM(O8, R8, U8)</f>
        <v>3</v>
      </c>
      <c r="AC8" s="351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7</v>
      </c>
      <c r="BF8" s="173" t="str">
        <f t="shared" ca="1" si="7"/>
        <v>Berkshire Energy Holdings Company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**BRK</v>
      </c>
    </row>
    <row r="9" spans="1:61" ht="13.8" x14ac:dyDescent="0.25">
      <c r="A9" s="223" t="s">
        <v>219</v>
      </c>
      <c r="B9" s="224" t="s">
        <v>139</v>
      </c>
      <c r="C9" s="224">
        <v>20</v>
      </c>
      <c r="D9" s="224" t="s">
        <v>220</v>
      </c>
      <c r="E9" s="225" t="str">
        <f t="shared" ca="1" si="8"/>
        <v>R</v>
      </c>
      <c r="F9" s="348"/>
      <c r="G9" s="349">
        <f t="shared" ca="1" si="1"/>
        <v>8</v>
      </c>
      <c r="H9" s="350"/>
      <c r="I9" s="234"/>
      <c r="J9" s="215" t="s">
        <v>139</v>
      </c>
      <c r="K9" s="234"/>
      <c r="L9" s="215">
        <f t="shared" si="9"/>
        <v>13</v>
      </c>
      <c r="M9" s="216">
        <f t="shared" si="10"/>
        <v>0.27659574468085107</v>
      </c>
      <c r="N9" s="234"/>
      <c r="O9" s="215">
        <f t="shared" ca="1" si="11"/>
        <v>11</v>
      </c>
      <c r="P9" s="216">
        <f t="shared" ca="1" si="12"/>
        <v>0.3235294117647059</v>
      </c>
      <c r="Q9" s="234"/>
      <c r="R9" s="215">
        <f t="shared" ca="1" si="13"/>
        <v>2</v>
      </c>
      <c r="S9" s="216">
        <f t="shared" ca="1" si="14"/>
        <v>0.15384615384615385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7"/>
        <v>13</v>
      </c>
      <c r="AC9" s="351"/>
      <c r="AE9" s="184"/>
      <c r="AF9" s="169">
        <f t="shared" si="2"/>
        <v>1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si="21"/>
        <v>16</v>
      </c>
      <c r="AW9" s="168">
        <f>COUNTIF( AV$7:AV9, AV9 )</f>
        <v>2</v>
      </c>
      <c r="AX9" s="208">
        <f t="shared" si="22"/>
        <v>16.2</v>
      </c>
      <c r="AY9" s="168">
        <f t="shared" si="23"/>
        <v>17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ht="13.8" x14ac:dyDescent="0.25">
      <c r="A10" s="223" t="s">
        <v>222</v>
      </c>
      <c r="B10" s="224" t="s">
        <v>139</v>
      </c>
      <c r="C10" s="224">
        <v>20</v>
      </c>
      <c r="D10" s="224" t="s">
        <v>223</v>
      </c>
      <c r="E10" s="225" t="str">
        <f t="shared" ca="1" si="8"/>
        <v>R</v>
      </c>
      <c r="F10" s="348"/>
      <c r="G10" s="349">
        <f t="shared" ca="1" si="1"/>
        <v>10</v>
      </c>
      <c r="H10" s="350"/>
      <c r="I10" s="234"/>
      <c r="J10" s="215" t="s">
        <v>140</v>
      </c>
      <c r="K10" s="234"/>
      <c r="L10" s="215">
        <f t="shared" si="9"/>
        <v>18</v>
      </c>
      <c r="M10" s="216">
        <f t="shared" si="10"/>
        <v>0.38297872340425532</v>
      </c>
      <c r="N10" s="234"/>
      <c r="O10" s="215">
        <f t="shared" ca="1" si="11"/>
        <v>11</v>
      </c>
      <c r="P10" s="216">
        <f t="shared" ca="1" si="12"/>
        <v>0.3235294117647059</v>
      </c>
      <c r="Q10" s="234"/>
      <c r="R10" s="215">
        <f t="shared" ca="1" si="13"/>
        <v>7</v>
      </c>
      <c r="S10" s="216">
        <f t="shared" ca="1" si="14"/>
        <v>0.53846153846153844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229</v>
      </c>
      <c r="Y10" s="186">
        <v>19</v>
      </c>
      <c r="Z10" s="186">
        <v>1</v>
      </c>
      <c r="AA10" s="185">
        <f t="shared" ca="1" si="17"/>
        <v>18</v>
      </c>
      <c r="AE10" s="184"/>
      <c r="AF10" s="169">
        <f t="shared" si="2"/>
        <v>1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222</v>
      </c>
      <c r="AR10" s="207" t="s">
        <v>139</v>
      </c>
      <c r="AS10" s="207">
        <v>20</v>
      </c>
      <c r="AT10" s="207" t="s">
        <v>223</v>
      </c>
      <c r="AV10" s="168">
        <f t="shared" si="21"/>
        <v>3</v>
      </c>
      <c r="AW10" s="168">
        <f>COUNTIF( AV$7:AV10, AV10 )</f>
        <v>2</v>
      </c>
      <c r="AX10" s="208">
        <f t="shared" si="22"/>
        <v>3.2</v>
      </c>
      <c r="AY10" s="168">
        <f t="shared" si="23"/>
        <v>4</v>
      </c>
      <c r="AZ10" s="169"/>
      <c r="BA10" s="169"/>
      <c r="BC10" s="168">
        <f t="shared" ca="1" si="24"/>
        <v>4</v>
      </c>
      <c r="BD10" s="209">
        <f t="shared" ca="1" si="6"/>
        <v>4</v>
      </c>
      <c r="BF10" s="173" t="str">
        <f t="shared" ca="1" si="7"/>
        <v>American Electric Power Company,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AEP</v>
      </c>
    </row>
    <row r="11" spans="1:61" ht="13.8" x14ac:dyDescent="0.25">
      <c r="A11" s="223" t="s">
        <v>249</v>
      </c>
      <c r="B11" s="224" t="s">
        <v>139</v>
      </c>
      <c r="C11" s="224">
        <v>20</v>
      </c>
      <c r="D11" s="224" t="s">
        <v>250</v>
      </c>
      <c r="E11" s="225" t="str">
        <f t="shared" ca="1" si="8"/>
        <v>MR</v>
      </c>
      <c r="F11" s="348"/>
      <c r="G11" s="349">
        <f t="shared" ca="1" si="1"/>
        <v>14</v>
      </c>
      <c r="H11" s="350"/>
      <c r="I11" s="234"/>
      <c r="J11" s="215" t="s">
        <v>141</v>
      </c>
      <c r="K11" s="234"/>
      <c r="L11" s="215">
        <f t="shared" si="9"/>
        <v>8</v>
      </c>
      <c r="M11" s="216">
        <f t="shared" si="10"/>
        <v>0.1702127659574468</v>
      </c>
      <c r="N11" s="234"/>
      <c r="O11" s="215">
        <f t="shared" ca="1" si="11"/>
        <v>7</v>
      </c>
      <c r="P11" s="216">
        <f t="shared" ca="1" si="12"/>
        <v>0.20588235294117646</v>
      </c>
      <c r="Q11" s="234"/>
      <c r="R11" s="215">
        <f t="shared" ca="1" si="13"/>
        <v>1</v>
      </c>
      <c r="S11" s="216">
        <f t="shared" ca="1" si="14"/>
        <v>7.6923076923076927E-2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7"/>
        <v>8</v>
      </c>
      <c r="AE11" s="184"/>
      <c r="AF11" s="169">
        <f t="shared" si="2"/>
        <v>1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233</v>
      </c>
      <c r="AR11" s="207" t="s">
        <v>140</v>
      </c>
      <c r="AS11" s="207">
        <v>19</v>
      </c>
      <c r="AT11" s="207" t="s">
        <v>234</v>
      </c>
      <c r="AV11" s="168">
        <f t="shared" si="21"/>
        <v>16</v>
      </c>
      <c r="AW11" s="168">
        <f>COUNTIF( AV$7:AV11, AV11 )</f>
        <v>3</v>
      </c>
      <c r="AX11" s="208">
        <f t="shared" si="22"/>
        <v>16.3</v>
      </c>
      <c r="AY11" s="168">
        <f t="shared" si="23"/>
        <v>18</v>
      </c>
      <c r="AZ11" s="169"/>
      <c r="BA11" s="169"/>
      <c r="BC11" s="168">
        <f t="shared" ca="1" si="24"/>
        <v>5</v>
      </c>
      <c r="BD11" s="209">
        <f t="shared" ca="1" si="6"/>
        <v>9</v>
      </c>
      <c r="BF11" s="173" t="str">
        <f t="shared" ca="1" si="7"/>
        <v>CenterPoint Energy,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CNP</v>
      </c>
    </row>
    <row r="12" spans="1:61" ht="13.8" x14ac:dyDescent="0.25">
      <c r="A12" s="223" t="s">
        <v>227</v>
      </c>
      <c r="B12" s="224" t="s">
        <v>139</v>
      </c>
      <c r="C12" s="224">
        <v>20</v>
      </c>
      <c r="D12" s="224" t="s">
        <v>228</v>
      </c>
      <c r="E12" s="225" t="str">
        <f t="shared" ca="1" si="8"/>
        <v>R</v>
      </c>
      <c r="F12" s="348"/>
      <c r="G12" s="349">
        <f t="shared" ca="1" si="1"/>
        <v>16</v>
      </c>
      <c r="H12" s="350"/>
      <c r="I12" s="234"/>
      <c r="J12" s="215" t="s">
        <v>142</v>
      </c>
      <c r="K12" s="234"/>
      <c r="L12" s="215">
        <f t="shared" si="9"/>
        <v>5</v>
      </c>
      <c r="M12" s="216">
        <f t="shared" si="10"/>
        <v>0.10638297872340426</v>
      </c>
      <c r="N12" s="234"/>
      <c r="O12" s="215">
        <f t="shared" ca="1" si="11"/>
        <v>4</v>
      </c>
      <c r="P12" s="216">
        <f t="shared" ca="1" si="12"/>
        <v>0.11764705882352941</v>
      </c>
      <c r="Q12" s="234"/>
      <c r="R12" s="215">
        <f t="shared" ca="1" si="13"/>
        <v>1</v>
      </c>
      <c r="S12" s="216">
        <f t="shared" ca="1" si="14"/>
        <v>7.6923076923076927E-2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237</v>
      </c>
      <c r="Y12" s="186">
        <v>17</v>
      </c>
      <c r="Z12" s="186">
        <v>1</v>
      </c>
      <c r="AA12" s="185">
        <f t="shared" ca="1" si="17"/>
        <v>5</v>
      </c>
      <c r="AE12" s="184"/>
      <c r="AF12" s="169">
        <f t="shared" si="2"/>
        <v>1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238</v>
      </c>
      <c r="AR12" s="207" t="s">
        <v>141</v>
      </c>
      <c r="AS12" s="207">
        <v>18</v>
      </c>
      <c r="AT12" s="207" t="s">
        <v>239</v>
      </c>
      <c r="AV12" s="168">
        <f t="shared" si="21"/>
        <v>34</v>
      </c>
      <c r="AW12" s="168">
        <f>COUNTIF( AV$7:AV12, AV12 )</f>
        <v>1</v>
      </c>
      <c r="AX12" s="208">
        <f t="shared" si="22"/>
        <v>34.1</v>
      </c>
      <c r="AY12" s="168">
        <f t="shared" si="23"/>
        <v>34</v>
      </c>
      <c r="AZ12" s="169"/>
      <c r="BA12" s="169"/>
      <c r="BC12" s="168">
        <f t="shared" ca="1" si="24"/>
        <v>6</v>
      </c>
      <c r="BD12" s="209">
        <f t="shared" ca="1" si="6"/>
        <v>12</v>
      </c>
      <c r="BF12" s="173" t="str">
        <f t="shared" ca="1" si="7"/>
        <v>Consolidated Edison,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ED</v>
      </c>
    </row>
    <row r="13" spans="1:61" ht="13.8" x14ac:dyDescent="0.25">
      <c r="A13" s="223" t="s">
        <v>263</v>
      </c>
      <c r="B13" s="224" t="s">
        <v>139</v>
      </c>
      <c r="C13" s="224">
        <v>20</v>
      </c>
      <c r="D13" s="224" t="s">
        <v>264</v>
      </c>
      <c r="E13" s="225" t="str">
        <f t="shared" ca="1" si="8"/>
        <v>R</v>
      </c>
      <c r="F13" s="348"/>
      <c r="G13" s="349">
        <f t="shared" ca="1" si="1"/>
        <v>19</v>
      </c>
      <c r="H13" s="350"/>
      <c r="I13" s="235"/>
      <c r="J13" s="217" t="s">
        <v>143</v>
      </c>
      <c r="K13" s="235"/>
      <c r="L13" s="217">
        <f t="shared" si="9"/>
        <v>0</v>
      </c>
      <c r="M13" s="218" t="str">
        <f t="shared" si="10"/>
        <v/>
      </c>
      <c r="N13" s="235"/>
      <c r="O13" s="217">
        <f t="shared" ca="1" si="11"/>
        <v>0</v>
      </c>
      <c r="P13" s="218" t="str">
        <f t="shared" ca="1" si="12"/>
        <v/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242</v>
      </c>
      <c r="Y13" s="186">
        <v>16</v>
      </c>
      <c r="Z13" s="186">
        <v>1</v>
      </c>
      <c r="AA13" s="188">
        <f t="shared" ca="1" si="17"/>
        <v>0</v>
      </c>
      <c r="AE13" s="184"/>
      <c r="AF13" s="169">
        <f t="shared" si="2"/>
        <v>1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215</v>
      </c>
      <c r="AR13" s="207" t="s">
        <v>166</v>
      </c>
      <c r="AS13" s="207">
        <v>21</v>
      </c>
      <c r="AT13" s="207" t="s">
        <v>216</v>
      </c>
      <c r="AV13" s="168">
        <f t="shared" si="21"/>
        <v>2</v>
      </c>
      <c r="AW13" s="168">
        <f>COUNTIF( AV$7:AV13, AV13 )</f>
        <v>1</v>
      </c>
      <c r="AX13" s="208">
        <f t="shared" si="22"/>
        <v>2.1</v>
      </c>
      <c r="AY13" s="168">
        <f t="shared" si="23"/>
        <v>2</v>
      </c>
      <c r="AZ13" s="169"/>
      <c r="BA13" s="169"/>
      <c r="BC13" s="168">
        <f t="shared" ca="1" si="24"/>
        <v>7</v>
      </c>
      <c r="BD13" s="209">
        <f t="shared" ca="1" si="6"/>
        <v>16</v>
      </c>
      <c r="BF13" s="173" t="str">
        <f t="shared" ca="1" si="7"/>
        <v>Duke Energy Corporation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DUK</v>
      </c>
    </row>
    <row r="14" spans="1:61" ht="13.8" x14ac:dyDescent="0.25">
      <c r="A14" s="223" t="s">
        <v>230</v>
      </c>
      <c r="B14" s="224" t="s">
        <v>139</v>
      </c>
      <c r="C14" s="224">
        <v>20</v>
      </c>
      <c r="D14" s="224" t="s">
        <v>231</v>
      </c>
      <c r="E14" s="225" t="str">
        <f t="shared" ca="1" si="8"/>
        <v>R</v>
      </c>
      <c r="F14" s="348"/>
      <c r="G14" s="349">
        <f t="shared" ca="1" si="1"/>
        <v>23</v>
      </c>
      <c r="H14" s="350"/>
      <c r="I14" s="236"/>
      <c r="J14" s="211" t="s">
        <v>144</v>
      </c>
      <c r="K14" s="236"/>
      <c r="L14" s="211">
        <f>SUM(L8:L13)</f>
        <v>47</v>
      </c>
      <c r="M14" s="212">
        <f>L14/L$14</f>
        <v>1</v>
      </c>
      <c r="N14" s="236"/>
      <c r="O14" s="211">
        <f ca="1">SUM(O8:O13)</f>
        <v>34</v>
      </c>
      <c r="P14" s="212">
        <f ca="1">O14/O$14</f>
        <v>1</v>
      </c>
      <c r="Q14" s="236"/>
      <c r="R14" s="211">
        <f ca="1">SUM(R8:R13)</f>
        <v>13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19.021276595744681</v>
      </c>
      <c r="Z14" s="190"/>
      <c r="AA14" s="189">
        <f ca="1">SUM(AA8:AA13)</f>
        <v>47</v>
      </c>
      <c r="AE14" s="184"/>
      <c r="AF14" s="169">
        <f t="shared" si="2"/>
        <v>1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245</v>
      </c>
      <c r="AR14" s="207" t="s">
        <v>140</v>
      </c>
      <c r="AS14" s="207">
        <v>19</v>
      </c>
      <c r="AT14" s="207" t="s">
        <v>246</v>
      </c>
      <c r="AV14" s="168">
        <f>IF( LEN( AS14 ) = 0, 99, RANK( AS14, $AS$7:$AS$63 ) )</f>
        <v>16</v>
      </c>
      <c r="AW14" s="168">
        <f>COUNTIF( AV$7:AV14, AV14 )</f>
        <v>4</v>
      </c>
      <c r="AX14" s="208">
        <f t="shared" si="22"/>
        <v>16.399999999999999</v>
      </c>
      <c r="AY14" s="168">
        <f t="shared" si="23"/>
        <v>19</v>
      </c>
      <c r="AZ14" s="169"/>
      <c r="BA14" s="169"/>
      <c r="BC14" s="168">
        <f t="shared" ca="1" si="24"/>
        <v>8</v>
      </c>
      <c r="BD14" s="209">
        <f t="shared" ca="1" si="6"/>
        <v>20</v>
      </c>
      <c r="BF14" s="173" t="str">
        <f t="shared" ca="1" si="7"/>
        <v>Evergy,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EVRG</v>
      </c>
    </row>
    <row r="15" spans="1:61" ht="13.8" x14ac:dyDescent="0.25">
      <c r="A15" s="223" t="s">
        <v>240</v>
      </c>
      <c r="B15" s="224" t="s">
        <v>139</v>
      </c>
      <c r="C15" s="224">
        <v>20</v>
      </c>
      <c r="D15" s="224" t="s">
        <v>241</v>
      </c>
      <c r="E15" s="225" t="str">
        <f t="shared" ca="1" si="8"/>
        <v>MR</v>
      </c>
      <c r="F15" s="348"/>
      <c r="G15" s="349">
        <f t="shared" ca="1" si="1"/>
        <v>31</v>
      </c>
      <c r="H15" s="350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1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249</v>
      </c>
      <c r="AR15" s="207" t="s">
        <v>139</v>
      </c>
      <c r="AS15" s="207">
        <v>20</v>
      </c>
      <c r="AT15" s="207" t="s">
        <v>250</v>
      </c>
      <c r="AV15" s="168">
        <f t="shared" si="21"/>
        <v>3</v>
      </c>
      <c r="AW15" s="168">
        <f>COUNTIF( AV$7:AV15, AV15 )</f>
        <v>3</v>
      </c>
      <c r="AX15" s="208">
        <f t="shared" si="22"/>
        <v>3.3</v>
      </c>
      <c r="AY15" s="168">
        <f t="shared" si="23"/>
        <v>5</v>
      </c>
      <c r="AZ15" s="169"/>
      <c r="BA15" s="169"/>
      <c r="BC15" s="168">
        <f t="shared" ca="1" si="24"/>
        <v>9</v>
      </c>
      <c r="BD15" s="209">
        <f t="shared" ca="1" si="6"/>
        <v>28</v>
      </c>
      <c r="BF15" s="173" t="str">
        <f t="shared" ca="1" si="7"/>
        <v>NextEra Energy, Inc.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NEE</v>
      </c>
    </row>
    <row r="16" spans="1:61" ht="13.8" x14ac:dyDescent="0.25">
      <c r="A16" s="223" t="s">
        <v>281</v>
      </c>
      <c r="B16" s="224" t="s">
        <v>139</v>
      </c>
      <c r="C16" s="224">
        <v>20</v>
      </c>
      <c r="D16" s="224" t="s">
        <v>282</v>
      </c>
      <c r="E16" s="225" t="str">
        <f t="shared" ca="1" si="8"/>
        <v>R</v>
      </c>
      <c r="F16" s="348"/>
      <c r="G16" s="349">
        <f t="shared" ca="1" si="1"/>
        <v>37</v>
      </c>
      <c r="H16" s="350"/>
      <c r="I16" s="232"/>
      <c r="J16" s="210" t="s">
        <v>253</v>
      </c>
      <c r="K16" s="232"/>
      <c r="L16" s="386">
        <f t="array" ref="L16">SUM( IF( LEN( $C$7:$C$65 ) = 0, 0, $C$7:$C$65 ) ) / SUM( IF( LEN( $C$7:$C$65 ) = 0, 0, 1  ) )</f>
        <v>19.085106382978722</v>
      </c>
      <c r="M16" s="387"/>
      <c r="N16" s="232"/>
      <c r="O16" s="386">
        <f t="array" aca="1" ref="O16" ca="1">SUM( IF( LEN( $C$7:$C$65 ) = 0, 0, IF( $E$7:$E$65 = O3, $C$7:$C$65, 0 ) ) ) / SUM( IF( LEN( $C$7:$C$65 ) = 0, 0, IF( $E$7:$E$65 = O3, 1, 0 ) ) )</f>
        <v>18.970588235294116</v>
      </c>
      <c r="P16" s="387"/>
      <c r="Q16" s="232"/>
      <c r="R16" s="386">
        <f t="array" aca="1" ref="R16" ca="1">SUM( IF( LEN( $C$7:$C$65 ) = 0, 0, IF( $E$7:$E$65 = R3, $C$7:$C$65, 0 ) ) ) / SUM( IF( LEN( $C$7:$C$65 ) = 0, 0, IF( $E$7:$E$65 = R3, 1, 0 ) ) )</f>
        <v>19.384615384615383</v>
      </c>
      <c r="S16" s="387"/>
      <c r="T16" s="232"/>
      <c r="U16" s="386" t="e">
        <f t="array" aca="1" ref="U16" ca="1">SUM( IF( LEN( $C$7:$C$65 ) = 0, 0, IF( $E$7:$E$65 = U3, $C$7:$C$65, 0 ) ) ) / SUM( IF( LEN( $C$7:$C$65 ) = 0, 0, IF( $E$7:$E$65 = U3, 1, 0 ) ) )</f>
        <v>#DIV/0!</v>
      </c>
      <c r="V16" s="388"/>
      <c r="W16" s="232"/>
      <c r="AE16" s="184"/>
      <c r="AF16" s="169">
        <f t="shared" si="2"/>
        <v>1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254</v>
      </c>
      <c r="AR16" s="207" t="s">
        <v>142</v>
      </c>
      <c r="AS16" s="207">
        <v>17</v>
      </c>
      <c r="AT16" s="207" t="s">
        <v>255</v>
      </c>
      <c r="AV16" s="168">
        <f t="shared" si="21"/>
        <v>42</v>
      </c>
      <c r="AW16" s="168">
        <f>COUNTIF( AV$7:AV16, AV16 )</f>
        <v>1</v>
      </c>
      <c r="AX16" s="208">
        <f t="shared" si="22"/>
        <v>42.1</v>
      </c>
      <c r="AY16" s="168">
        <f t="shared" si="23"/>
        <v>42</v>
      </c>
      <c r="AZ16" s="169"/>
      <c r="BA16" s="169"/>
      <c r="BC16" s="168">
        <f t="shared" ca="1" si="24"/>
        <v>10</v>
      </c>
      <c r="BD16" s="209">
        <f t="shared" ca="1" si="6"/>
        <v>34</v>
      </c>
      <c r="BF16" s="173" t="str">
        <f t="shared" ca="1" si="7"/>
        <v>Pinnacle West Capital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PNW</v>
      </c>
    </row>
    <row r="17" spans="1:61" ht="13.8" x14ac:dyDescent="0.25">
      <c r="A17" s="223" t="s">
        <v>243</v>
      </c>
      <c r="B17" s="224" t="s">
        <v>139</v>
      </c>
      <c r="C17" s="224">
        <v>20</v>
      </c>
      <c r="D17" s="224" t="s">
        <v>244</v>
      </c>
      <c r="E17" s="225" t="str">
        <f t="shared" ca="1" si="8"/>
        <v>R</v>
      </c>
      <c r="F17" s="348"/>
      <c r="G17" s="349">
        <f t="shared" ca="1" si="1"/>
        <v>40</v>
      </c>
      <c r="H17" s="350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1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256</v>
      </c>
      <c r="AR17" s="207" t="s">
        <v>140</v>
      </c>
      <c r="AS17" s="207">
        <v>19</v>
      </c>
      <c r="AT17" s="207" t="s">
        <v>257</v>
      </c>
      <c r="AV17" s="168">
        <f t="shared" si="21"/>
        <v>16</v>
      </c>
      <c r="AW17" s="168">
        <f>COUNTIF( AV$7:AV17, AV17 )</f>
        <v>5</v>
      </c>
      <c r="AX17" s="208">
        <f t="shared" si="22"/>
        <v>16.5</v>
      </c>
      <c r="AY17" s="168">
        <f t="shared" si="23"/>
        <v>20</v>
      </c>
      <c r="AZ17" s="169"/>
      <c r="BA17" s="169"/>
      <c r="BC17" s="168">
        <f t="shared" ca="1" si="24"/>
        <v>11</v>
      </c>
      <c r="BD17" s="209">
        <f t="shared" ca="1" si="6"/>
        <v>37</v>
      </c>
      <c r="BF17" s="173" t="str">
        <f t="shared" ca="1" si="7"/>
        <v>PPL Corporation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PPL</v>
      </c>
    </row>
    <row r="18" spans="1:61" ht="13.8" x14ac:dyDescent="0.25">
      <c r="A18" s="223" t="s">
        <v>293</v>
      </c>
      <c r="B18" s="224" t="s">
        <v>139</v>
      </c>
      <c r="C18" s="224">
        <v>20</v>
      </c>
      <c r="D18" s="224" t="s">
        <v>294</v>
      </c>
      <c r="E18" s="225" t="str">
        <f t="shared" ca="1" si="8"/>
        <v>R</v>
      </c>
      <c r="F18" s="348"/>
      <c r="G18" s="349">
        <f t="shared" ca="1" si="1"/>
        <v>44</v>
      </c>
      <c r="H18" s="350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1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227</v>
      </c>
      <c r="AR18" s="207" t="s">
        <v>139</v>
      </c>
      <c r="AS18" s="207">
        <v>20</v>
      </c>
      <c r="AT18" s="207" t="s">
        <v>228</v>
      </c>
      <c r="AV18" s="168">
        <f t="shared" si="21"/>
        <v>3</v>
      </c>
      <c r="AW18" s="168">
        <f>COUNTIF( AV$7:AV18, AV18 )</f>
        <v>4</v>
      </c>
      <c r="AX18" s="208">
        <f t="shared" si="22"/>
        <v>3.4</v>
      </c>
      <c r="AY18" s="168">
        <f t="shared" si="23"/>
        <v>6</v>
      </c>
      <c r="AZ18" s="169"/>
      <c r="BA18" s="169"/>
      <c r="BC18" s="168">
        <f t="shared" ca="1" si="24"/>
        <v>12</v>
      </c>
      <c r="BD18" s="209">
        <f t="shared" ca="1" si="6"/>
        <v>42</v>
      </c>
      <c r="BF18" s="173" t="str">
        <f t="shared" ca="1" si="7"/>
        <v>Southern Company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SO</v>
      </c>
    </row>
    <row r="19" spans="1:61" ht="13.8" x14ac:dyDescent="0.25">
      <c r="A19" s="223" t="s">
        <v>345</v>
      </c>
      <c r="B19" s="224" t="s">
        <v>139</v>
      </c>
      <c r="C19" s="224">
        <v>20</v>
      </c>
      <c r="D19" s="224" t="s">
        <v>346</v>
      </c>
      <c r="E19" s="225" t="str">
        <f t="shared" ca="1" si="8"/>
        <v>R</v>
      </c>
      <c r="F19" s="348"/>
      <c r="G19" s="349">
        <f t="shared" ca="1" si="1"/>
        <v>46</v>
      </c>
      <c r="H19" s="350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258</v>
      </c>
      <c r="AR19" s="207" t="s">
        <v>140</v>
      </c>
      <c r="AS19" s="207">
        <v>19</v>
      </c>
      <c r="AT19" s="207" t="s">
        <v>194</v>
      </c>
      <c r="AV19" s="168">
        <f t="shared" si="21"/>
        <v>16</v>
      </c>
      <c r="AW19" s="168">
        <f>COUNTIF( AV$7:AV19, AV19 )</f>
        <v>6</v>
      </c>
      <c r="AX19" s="208">
        <f t="shared" si="22"/>
        <v>16.600000000000001</v>
      </c>
      <c r="AY19" s="168">
        <f t="shared" si="23"/>
        <v>21</v>
      </c>
      <c r="AZ19" s="169"/>
      <c r="BA19" s="169"/>
      <c r="BC19" s="168">
        <f t="shared" ca="1" si="24"/>
        <v>13</v>
      </c>
      <c r="BD19" s="209">
        <f t="shared" ca="1" si="6"/>
        <v>44</v>
      </c>
      <c r="BF19" s="173" t="str">
        <f t="shared" ca="1" si="7"/>
        <v>Vectren Corporation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VVC</v>
      </c>
    </row>
    <row r="20" spans="1:61" ht="13.8" x14ac:dyDescent="0.25">
      <c r="A20" s="223" t="s">
        <v>247</v>
      </c>
      <c r="B20" s="224" t="s">
        <v>139</v>
      </c>
      <c r="C20" s="224">
        <v>20</v>
      </c>
      <c r="D20" s="224" t="s">
        <v>248</v>
      </c>
      <c r="E20" s="225" t="str">
        <f t="shared" ca="1" si="8"/>
        <v>R</v>
      </c>
      <c r="F20" s="348"/>
      <c r="G20" s="349">
        <f t="shared" ca="1" si="1"/>
        <v>47</v>
      </c>
      <c r="H20" s="350"/>
      <c r="I20" s="352"/>
      <c r="K20" s="352"/>
      <c r="N20" s="352"/>
      <c r="O20" s="173"/>
      <c r="Q20" s="352"/>
      <c r="T20" s="352"/>
      <c r="W20" s="352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259</v>
      </c>
      <c r="AR20" s="207" t="s">
        <v>142</v>
      </c>
      <c r="AS20" s="207">
        <v>17</v>
      </c>
      <c r="AT20" s="207" t="s">
        <v>260</v>
      </c>
      <c r="AV20" s="168">
        <f t="shared" si="21"/>
        <v>42</v>
      </c>
      <c r="AW20" s="168">
        <f>COUNTIF( AV$7:AV20, AV20 )</f>
        <v>2</v>
      </c>
      <c r="AX20" s="208">
        <f t="shared" si="22"/>
        <v>42.2</v>
      </c>
      <c r="AY20" s="168">
        <f t="shared" si="23"/>
        <v>43</v>
      </c>
      <c r="AZ20" s="169"/>
      <c r="BA20" s="169"/>
      <c r="BC20" s="168">
        <f t="shared" ca="1" si="24"/>
        <v>14</v>
      </c>
      <c r="BD20" s="209">
        <f t="shared" ca="1" si="6"/>
        <v>45</v>
      </c>
      <c r="BF20" s="173" t="str">
        <f t="shared" ca="1" si="7"/>
        <v>Wisconsin Energy Corporation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WEC</v>
      </c>
    </row>
    <row r="21" spans="1:61" ht="13.8" x14ac:dyDescent="0.25">
      <c r="A21" s="223" t="s">
        <v>251</v>
      </c>
      <c r="B21" s="224" t="s">
        <v>139</v>
      </c>
      <c r="C21" s="224">
        <v>20</v>
      </c>
      <c r="D21" s="224" t="s">
        <v>252</v>
      </c>
      <c r="E21" s="225" t="str">
        <f t="shared" ca="1" si="8"/>
        <v>R</v>
      </c>
      <c r="F21" s="348"/>
      <c r="G21" s="349">
        <f t="shared" ca="1" si="1"/>
        <v>48</v>
      </c>
      <c r="H21" s="350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A-</v>
      </c>
      <c r="AL21" s="169">
        <f t="shared" ca="1" si="20"/>
        <v>20</v>
      </c>
      <c r="AM21" s="169" t="str">
        <f t="shared" ca="1" si="4"/>
        <v/>
      </c>
      <c r="AQ21" s="207" t="s">
        <v>261</v>
      </c>
      <c r="AR21" s="207" t="s">
        <v>140</v>
      </c>
      <c r="AS21" s="207">
        <v>19</v>
      </c>
      <c r="AT21" s="207" t="s">
        <v>262</v>
      </c>
      <c r="AV21" s="168">
        <f t="shared" si="21"/>
        <v>16</v>
      </c>
      <c r="AW21" s="168">
        <f>COUNTIF( AV$7:AV21, AV21 )</f>
        <v>7</v>
      </c>
      <c r="AX21" s="208">
        <f t="shared" si="22"/>
        <v>16.7</v>
      </c>
      <c r="AY21" s="168">
        <f t="shared" si="23"/>
        <v>22</v>
      </c>
      <c r="AZ21" s="169"/>
      <c r="BA21" s="169"/>
      <c r="BC21" s="168">
        <f t="shared" ca="1" si="24"/>
        <v>15</v>
      </c>
      <c r="BD21" s="209">
        <f t="shared" ca="1" si="6"/>
        <v>46</v>
      </c>
      <c r="BF21" s="173" t="str">
        <f t="shared" ca="1" si="7"/>
        <v>Xcel Energy Inc.</v>
      </c>
      <c r="BG21" s="173" t="str">
        <f t="shared" ca="1" si="7"/>
        <v>A-</v>
      </c>
      <c r="BH21" s="173">
        <f t="shared" ca="1" si="7"/>
        <v>20</v>
      </c>
      <c r="BI21" s="173" t="str">
        <f t="shared" ca="1" si="7"/>
        <v>XEL</v>
      </c>
    </row>
    <row r="22" spans="1:61" ht="13.8" x14ac:dyDescent="0.25">
      <c r="A22" s="223" t="s">
        <v>217</v>
      </c>
      <c r="B22" s="224" t="s">
        <v>140</v>
      </c>
      <c r="C22" s="224">
        <v>19</v>
      </c>
      <c r="D22" s="224" t="s">
        <v>218</v>
      </c>
      <c r="E22" s="225" t="str">
        <f t="shared" ca="1" si="8"/>
        <v>MR</v>
      </c>
      <c r="F22" s="348"/>
      <c r="G22" s="349">
        <f t="shared" ca="1" si="1"/>
        <v>7</v>
      </c>
      <c r="H22" s="350"/>
      <c r="I22" s="237"/>
      <c r="K22" s="237"/>
      <c r="N22" s="237"/>
      <c r="Q22" s="237"/>
      <c r="T22" s="237"/>
      <c r="W22" s="237"/>
      <c r="AE22" s="184"/>
      <c r="AF22" s="169">
        <f t="shared" si="2"/>
        <v>0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263</v>
      </c>
      <c r="AR22" s="207" t="s">
        <v>139</v>
      </c>
      <c r="AS22" s="207">
        <v>20</v>
      </c>
      <c r="AT22" s="207" t="s">
        <v>264</v>
      </c>
      <c r="AV22" s="168">
        <f t="shared" si="21"/>
        <v>3</v>
      </c>
      <c r="AW22" s="168">
        <f>COUNTIF( AV$7:AV22, AV22 )</f>
        <v>5</v>
      </c>
      <c r="AX22" s="208">
        <f t="shared" si="22"/>
        <v>3.5</v>
      </c>
      <c r="AY22" s="168">
        <f t="shared" si="23"/>
        <v>7</v>
      </c>
      <c r="AZ22" s="169"/>
      <c r="BA22" s="169"/>
      <c r="BC22" s="168">
        <f t="shared" ca="1" si="24"/>
        <v>16</v>
      </c>
      <c r="BD22" s="209">
        <f t="shared" ca="1" si="6"/>
        <v>1</v>
      </c>
      <c r="BF22" s="173" t="str">
        <f t="shared" ca="1" si="7"/>
        <v>ALLETE, Inc.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ALE</v>
      </c>
    </row>
    <row r="23" spans="1:61" ht="13.8" x14ac:dyDescent="0.25">
      <c r="A23" s="223" t="s">
        <v>225</v>
      </c>
      <c r="B23" s="224" t="s">
        <v>140</v>
      </c>
      <c r="C23" s="224">
        <v>19</v>
      </c>
      <c r="D23" s="224" t="s">
        <v>226</v>
      </c>
      <c r="E23" s="225" t="str">
        <f t="shared" ca="1" si="8"/>
        <v>R</v>
      </c>
      <c r="F23" s="348"/>
      <c r="G23" s="349">
        <f t="shared" ca="1" si="1"/>
        <v>9</v>
      </c>
      <c r="H23" s="350"/>
      <c r="I23" s="237"/>
      <c r="K23" s="237"/>
      <c r="N23" s="237"/>
      <c r="Q23" s="237"/>
      <c r="T23" s="237"/>
      <c r="W23" s="237"/>
      <c r="AE23" s="184"/>
      <c r="AF23" s="169">
        <f t="shared" si="2"/>
        <v>0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265</v>
      </c>
      <c r="AR23" s="207" t="s">
        <v>140</v>
      </c>
      <c r="AS23" s="207">
        <v>19</v>
      </c>
      <c r="AT23" s="207" t="s">
        <v>266</v>
      </c>
      <c r="AV23" s="168">
        <f t="shared" si="21"/>
        <v>16</v>
      </c>
      <c r="AW23" s="168">
        <f>COUNTIF( AV$7:AV23, AV23 )</f>
        <v>8</v>
      </c>
      <c r="AX23" s="208">
        <f t="shared" si="22"/>
        <v>16.8</v>
      </c>
      <c r="AY23" s="168">
        <f t="shared" si="23"/>
        <v>23</v>
      </c>
      <c r="AZ23" s="169"/>
      <c r="BA23" s="169"/>
      <c r="BC23" s="168">
        <f t="shared" ca="1" si="24"/>
        <v>17</v>
      </c>
      <c r="BD23" s="209">
        <f t="shared" ca="1" si="6"/>
        <v>3</v>
      </c>
      <c r="BF23" s="173" t="str">
        <f t="shared" ca="1" si="7"/>
        <v>Ameren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AEE</v>
      </c>
    </row>
    <row r="24" spans="1:61" ht="13.8" x14ac:dyDescent="0.25">
      <c r="A24" s="223" t="s">
        <v>233</v>
      </c>
      <c r="B24" s="224" t="s">
        <v>140</v>
      </c>
      <c r="C24" s="224">
        <v>19</v>
      </c>
      <c r="D24" s="224" t="s">
        <v>234</v>
      </c>
      <c r="E24" s="225" t="str">
        <f t="shared" ca="1" si="8"/>
        <v>MR</v>
      </c>
      <c r="F24" s="348"/>
      <c r="G24" s="349">
        <f t="shared" ca="1" si="1"/>
        <v>11</v>
      </c>
      <c r="H24" s="350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0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328</v>
      </c>
      <c r="AR24" s="207" t="s">
        <v>141</v>
      </c>
      <c r="AS24" s="207">
        <v>18</v>
      </c>
      <c r="AT24" s="207" t="s">
        <v>331</v>
      </c>
      <c r="AV24" s="168">
        <f t="shared" si="21"/>
        <v>34</v>
      </c>
      <c r="AW24" s="168">
        <f>COUNTIF( AV$7:AV24, AV24 )</f>
        <v>2</v>
      </c>
      <c r="AX24" s="208">
        <f t="shared" si="22"/>
        <v>34.200000000000003</v>
      </c>
      <c r="AY24" s="168">
        <f t="shared" si="23"/>
        <v>35</v>
      </c>
      <c r="AZ24" s="169"/>
      <c r="BA24" s="169"/>
      <c r="BC24" s="168">
        <f t="shared" ca="1" si="24"/>
        <v>18</v>
      </c>
      <c r="BD24" s="209">
        <f t="shared" ca="1" si="6"/>
        <v>5</v>
      </c>
      <c r="BF24" s="173" t="str">
        <f t="shared" ca="1" si="7"/>
        <v>AVANGRID, Inc.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AGR</v>
      </c>
    </row>
    <row r="25" spans="1:61" ht="13.8" x14ac:dyDescent="0.25">
      <c r="A25" s="223" t="s">
        <v>245</v>
      </c>
      <c r="B25" s="224" t="s">
        <v>140</v>
      </c>
      <c r="C25" s="224">
        <v>19</v>
      </c>
      <c r="D25" s="224" t="s">
        <v>246</v>
      </c>
      <c r="E25" s="225" t="str">
        <f t="shared" ca="1" si="8"/>
        <v>R</v>
      </c>
      <c r="F25" s="348"/>
      <c r="G25" s="349">
        <f t="shared" ca="1" si="1"/>
        <v>13</v>
      </c>
      <c r="H25" s="350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0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267</v>
      </c>
      <c r="AR25" s="207" t="s">
        <v>140</v>
      </c>
      <c r="AS25" s="207">
        <v>19</v>
      </c>
      <c r="AT25" s="207" t="s">
        <v>268</v>
      </c>
      <c r="AV25" s="168">
        <f t="shared" si="21"/>
        <v>16</v>
      </c>
      <c r="AW25" s="168">
        <f>COUNTIF( AV$7:AV25, AV25 )</f>
        <v>9</v>
      </c>
      <c r="AX25" s="208">
        <f t="shared" si="22"/>
        <v>16.899999999999999</v>
      </c>
      <c r="AY25" s="168">
        <f t="shared" si="23"/>
        <v>24</v>
      </c>
      <c r="AZ25" s="169"/>
      <c r="BA25" s="169"/>
      <c r="BC25" s="168">
        <f t="shared" ca="1" si="24"/>
        <v>19</v>
      </c>
      <c r="BD25" s="209">
        <f t="shared" ca="1" si="6"/>
        <v>8</v>
      </c>
      <c r="BF25" s="173" t="str">
        <f t="shared" ca="1" si="7"/>
        <v>Black Hills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BKH</v>
      </c>
    </row>
    <row r="26" spans="1:61" ht="13.8" x14ac:dyDescent="0.25">
      <c r="A26" s="223" t="s">
        <v>256</v>
      </c>
      <c r="B26" s="224" t="s">
        <v>140</v>
      </c>
      <c r="C26" s="224">
        <v>19</v>
      </c>
      <c r="D26" s="224" t="s">
        <v>257</v>
      </c>
      <c r="E26" s="225" t="str">
        <f t="shared" ca="1" si="8"/>
        <v>R</v>
      </c>
      <c r="F26" s="348"/>
      <c r="G26" s="349">
        <f t="shared" ca="1" si="1"/>
        <v>15</v>
      </c>
      <c r="H26" s="350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0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230</v>
      </c>
      <c r="AR26" s="207" t="s">
        <v>139</v>
      </c>
      <c r="AS26" s="207">
        <v>20</v>
      </c>
      <c r="AT26" s="207" t="s">
        <v>231</v>
      </c>
      <c r="AV26" s="168">
        <f t="shared" si="21"/>
        <v>3</v>
      </c>
      <c r="AW26" s="168">
        <f>COUNTIF( AV$7:AV26, AV26 )</f>
        <v>6</v>
      </c>
      <c r="AX26" s="208">
        <f t="shared" si="22"/>
        <v>3.6</v>
      </c>
      <c r="AY26" s="168">
        <f t="shared" si="23"/>
        <v>8</v>
      </c>
      <c r="AZ26" s="169"/>
      <c r="BA26" s="169"/>
      <c r="BC26" s="168">
        <f t="shared" ca="1" si="24"/>
        <v>20</v>
      </c>
      <c r="BD26" s="209">
        <f t="shared" ca="1" si="6"/>
        <v>11</v>
      </c>
      <c r="BF26" s="173" t="str">
        <f t="shared" ca="1" si="7"/>
        <v>CMS Energy Corporation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CMS</v>
      </c>
    </row>
    <row r="27" spans="1:61" ht="13.8" x14ac:dyDescent="0.25">
      <c r="A27" s="223" t="s">
        <v>258</v>
      </c>
      <c r="B27" s="224" t="s">
        <v>140</v>
      </c>
      <c r="C27" s="224">
        <v>19</v>
      </c>
      <c r="D27" s="224" t="s">
        <v>194</v>
      </c>
      <c r="E27" s="225" t="str">
        <f t="shared" ca="1" si="8"/>
        <v>MR</v>
      </c>
      <c r="F27" s="348"/>
      <c r="G27" s="349">
        <f t="shared" ca="1" si="1"/>
        <v>17</v>
      </c>
      <c r="H27" s="350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0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235</v>
      </c>
      <c r="AR27" s="207" t="s">
        <v>164</v>
      </c>
      <c r="AS27" s="207">
        <v>22</v>
      </c>
      <c r="AT27" s="207" t="s">
        <v>236</v>
      </c>
      <c r="AV27" s="168">
        <f t="shared" si="21"/>
        <v>1</v>
      </c>
      <c r="AW27" s="168">
        <f>COUNTIF( AV$7:AV27, AV27 )</f>
        <v>1</v>
      </c>
      <c r="AX27" s="208">
        <f t="shared" si="22"/>
        <v>1.1000000000000001</v>
      </c>
      <c r="AY27" s="168">
        <f t="shared" si="23"/>
        <v>1</v>
      </c>
      <c r="AZ27" s="169"/>
      <c r="BA27" s="169"/>
      <c r="BC27" s="168">
        <f t="shared" ca="1" si="24"/>
        <v>21</v>
      </c>
      <c r="BD27" s="209">
        <f t="shared" ca="1" si="6"/>
        <v>13</v>
      </c>
      <c r="BF27" s="173" t="str">
        <f t="shared" ca="1" si="7"/>
        <v>Dominion Energy, Inc.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</v>
      </c>
    </row>
    <row r="28" spans="1:61" ht="13.8" x14ac:dyDescent="0.25">
      <c r="A28" s="223" t="s">
        <v>261</v>
      </c>
      <c r="B28" s="224" t="s">
        <v>140</v>
      </c>
      <c r="C28" s="224">
        <v>19</v>
      </c>
      <c r="D28" s="224" t="s">
        <v>262</v>
      </c>
      <c r="E28" s="225" t="str">
        <f t="shared" ca="1" si="8"/>
        <v>MR</v>
      </c>
      <c r="F28" s="348"/>
      <c r="G28" s="349">
        <f t="shared" ca="1" si="1"/>
        <v>18</v>
      </c>
      <c r="H28" s="350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0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269</v>
      </c>
      <c r="AR28" s="207" t="s">
        <v>141</v>
      </c>
      <c r="AS28" s="207">
        <v>18</v>
      </c>
      <c r="AT28" s="207" t="s">
        <v>270</v>
      </c>
      <c r="AV28" s="168">
        <f t="shared" si="21"/>
        <v>34</v>
      </c>
      <c r="AW28" s="168">
        <f>COUNTIF( AV$7:AV28, AV28 )</f>
        <v>3</v>
      </c>
      <c r="AX28" s="208">
        <f t="shared" si="22"/>
        <v>34.299999999999997</v>
      </c>
      <c r="AY28" s="168">
        <f t="shared" si="23"/>
        <v>36</v>
      </c>
      <c r="AZ28" s="169"/>
      <c r="BA28" s="169"/>
      <c r="BC28" s="168">
        <f t="shared" ca="1" si="24"/>
        <v>22</v>
      </c>
      <c r="BD28" s="209">
        <f t="shared" ca="1" si="6"/>
        <v>15</v>
      </c>
      <c r="BF28" s="173" t="str">
        <f t="shared" ca="1" si="7"/>
        <v>DTE Energy Company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DTE</v>
      </c>
    </row>
    <row r="29" spans="1:61" ht="13.8" x14ac:dyDescent="0.25">
      <c r="A29" s="223" t="s">
        <v>265</v>
      </c>
      <c r="B29" s="224" t="s">
        <v>140</v>
      </c>
      <c r="C29" s="224">
        <v>19</v>
      </c>
      <c r="D29" s="224" t="s">
        <v>266</v>
      </c>
      <c r="E29" s="225" t="str">
        <f t="shared" ca="1" si="8"/>
        <v>R</v>
      </c>
      <c r="F29" s="348"/>
      <c r="G29" s="349">
        <f t="shared" ca="1" si="1"/>
        <v>20</v>
      </c>
      <c r="H29" s="350"/>
      <c r="I29" s="237"/>
      <c r="J29" s="191"/>
      <c r="K29" s="237"/>
      <c r="N29" s="237"/>
      <c r="Q29" s="237"/>
      <c r="T29" s="237"/>
      <c r="W29" s="237"/>
      <c r="AF29" s="169">
        <f t="shared" si="2"/>
        <v>0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275</v>
      </c>
      <c r="AR29" s="207" t="s">
        <v>141</v>
      </c>
      <c r="AS29" s="207">
        <v>18</v>
      </c>
      <c r="AT29" s="207" t="s">
        <v>276</v>
      </c>
      <c r="AV29" s="168">
        <f t="shared" si="21"/>
        <v>34</v>
      </c>
      <c r="AW29" s="168">
        <f>COUNTIF( AV$7:AV29, AV29 )</f>
        <v>4</v>
      </c>
      <c r="AX29" s="208">
        <f t="shared" si="22"/>
        <v>34.4</v>
      </c>
      <c r="AY29" s="168">
        <f t="shared" si="23"/>
        <v>37</v>
      </c>
      <c r="AZ29" s="169"/>
      <c r="BA29" s="169"/>
      <c r="BC29" s="168">
        <f t="shared" ca="1" si="24"/>
        <v>23</v>
      </c>
      <c r="BD29" s="209">
        <f t="shared" ca="1" si="6"/>
        <v>17</v>
      </c>
      <c r="BF29" s="173" t="str">
        <f t="shared" ca="1" si="7"/>
        <v>Edison International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EIX</v>
      </c>
    </row>
    <row r="30" spans="1:61" ht="13.8" x14ac:dyDescent="0.25">
      <c r="A30" s="223" t="s">
        <v>267</v>
      </c>
      <c r="B30" s="224" t="s">
        <v>140</v>
      </c>
      <c r="C30" s="224">
        <v>19</v>
      </c>
      <c r="D30" s="224" t="s">
        <v>268</v>
      </c>
      <c r="E30" s="225" t="str">
        <f t="shared" ca="1" si="8"/>
        <v>R</v>
      </c>
      <c r="F30" s="348"/>
      <c r="G30" s="349">
        <f t="shared" ca="1" si="1"/>
        <v>22</v>
      </c>
      <c r="H30" s="350"/>
      <c r="I30" s="237"/>
      <c r="J30" s="191"/>
      <c r="K30" s="237"/>
      <c r="N30" s="237"/>
      <c r="Q30" s="237"/>
      <c r="T30" s="237"/>
      <c r="W30" s="237"/>
      <c r="AF30" s="169">
        <f t="shared" si="2"/>
        <v>0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279</v>
      </c>
      <c r="AR30" s="207" t="s">
        <v>142</v>
      </c>
      <c r="AS30" s="207">
        <v>17</v>
      </c>
      <c r="AT30" s="207" t="s">
        <v>280</v>
      </c>
      <c r="AV30" s="168">
        <f t="shared" si="21"/>
        <v>42</v>
      </c>
      <c r="AW30" s="168">
        <f>COUNTIF( AV$7:AV30, AV30 )</f>
        <v>3</v>
      </c>
      <c r="AX30" s="208">
        <f t="shared" si="22"/>
        <v>42.3</v>
      </c>
      <c r="AY30" s="168">
        <f t="shared" si="23"/>
        <v>44</v>
      </c>
      <c r="AZ30" s="169"/>
      <c r="BA30" s="169"/>
      <c r="BC30" s="168">
        <f t="shared" ca="1" si="24"/>
        <v>24</v>
      </c>
      <c r="BD30" s="209">
        <f t="shared" ca="1" si="6"/>
        <v>19</v>
      </c>
      <c r="BF30" s="173" t="str">
        <f t="shared" ca="1" si="7"/>
        <v>Entergy Corporation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ETR</v>
      </c>
    </row>
    <row r="31" spans="1:61" ht="13.8" x14ac:dyDescent="0.25">
      <c r="A31" s="223" t="s">
        <v>271</v>
      </c>
      <c r="B31" s="224" t="s">
        <v>140</v>
      </c>
      <c r="C31" s="224">
        <v>19</v>
      </c>
      <c r="D31" s="224" t="s">
        <v>272</v>
      </c>
      <c r="E31" s="225" t="str">
        <f t="shared" ca="1" si="8"/>
        <v>MR</v>
      </c>
      <c r="F31" s="348"/>
      <c r="G31" s="349">
        <f t="shared" ca="1" si="1"/>
        <v>29</v>
      </c>
      <c r="H31" s="350"/>
      <c r="I31" s="237"/>
      <c r="J31" s="191"/>
      <c r="K31" s="237"/>
      <c r="N31" s="237"/>
      <c r="O31" s="351"/>
      <c r="Q31" s="237"/>
      <c r="T31" s="237"/>
      <c r="W31" s="237"/>
      <c r="AF31" s="169">
        <f t="shared" si="2"/>
        <v>0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283</v>
      </c>
      <c r="AR31" s="207" t="s">
        <v>141</v>
      </c>
      <c r="AS31" s="207">
        <v>18</v>
      </c>
      <c r="AT31" s="207" t="s">
        <v>284</v>
      </c>
      <c r="AV31" s="168">
        <f t="shared" si="21"/>
        <v>34</v>
      </c>
      <c r="AW31" s="168">
        <f>COUNTIF( AV$7:AV31, AV31 )</f>
        <v>5</v>
      </c>
      <c r="AX31" s="208">
        <f t="shared" si="22"/>
        <v>34.5</v>
      </c>
      <c r="AY31" s="168">
        <f t="shared" si="23"/>
        <v>38</v>
      </c>
      <c r="AZ31" s="169"/>
      <c r="BA31" s="169"/>
      <c r="BC31" s="168">
        <f t="shared" ca="1" si="24"/>
        <v>25</v>
      </c>
      <c r="BD31" s="209">
        <f t="shared" ca="1" si="6"/>
        <v>27</v>
      </c>
      <c r="BF31" s="173" t="str">
        <f t="shared" ca="1" si="7"/>
        <v>MDU Resources Group,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MDU</v>
      </c>
    </row>
    <row r="32" spans="1:61" ht="13.8" x14ac:dyDescent="0.25">
      <c r="A32" s="223" t="s">
        <v>273</v>
      </c>
      <c r="B32" s="224" t="s">
        <v>140</v>
      </c>
      <c r="C32" s="224">
        <v>19</v>
      </c>
      <c r="D32" s="224" t="s">
        <v>274</v>
      </c>
      <c r="E32" s="225" t="str">
        <f t="shared" ca="1" si="8"/>
        <v>R</v>
      </c>
      <c r="F32" s="348"/>
      <c r="G32" s="349">
        <f t="shared" ca="1" si="1"/>
        <v>32</v>
      </c>
      <c r="H32" s="350"/>
      <c r="I32" s="237"/>
      <c r="J32" s="191"/>
      <c r="K32" s="237"/>
      <c r="N32" s="237"/>
      <c r="Q32" s="237"/>
      <c r="T32" s="237"/>
      <c r="W32" s="237"/>
      <c r="AF32" s="169">
        <f t="shared" si="2"/>
        <v>0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32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287</v>
      </c>
      <c r="AR32" s="207" t="s">
        <v>141</v>
      </c>
      <c r="AS32" s="207">
        <v>18</v>
      </c>
      <c r="AT32" s="207" t="s">
        <v>288</v>
      </c>
      <c r="AV32" s="168">
        <f t="shared" si="21"/>
        <v>34</v>
      </c>
      <c r="AW32" s="168">
        <f>COUNTIF( AV$7:AV32, AV32 )</f>
        <v>6</v>
      </c>
      <c r="AX32" s="208">
        <f t="shared" si="22"/>
        <v>34.6</v>
      </c>
      <c r="AY32" s="168">
        <f t="shared" si="23"/>
        <v>39</v>
      </c>
      <c r="AZ32" s="169"/>
      <c r="BA32" s="169"/>
      <c r="BC32" s="168">
        <f t="shared" ca="1" si="24"/>
        <v>26</v>
      </c>
      <c r="BD32" s="209">
        <f t="shared" ca="1" si="6"/>
        <v>29</v>
      </c>
      <c r="BF32" s="173" t="str">
        <f t="shared" ca="1" si="7"/>
        <v>NiSource Inc.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NI</v>
      </c>
    </row>
    <row r="33" spans="1:61" ht="13.8" x14ac:dyDescent="0.25">
      <c r="A33" s="223" t="s">
        <v>277</v>
      </c>
      <c r="B33" s="224" t="s">
        <v>140</v>
      </c>
      <c r="C33" s="224">
        <v>19</v>
      </c>
      <c r="D33" s="224" t="s">
        <v>278</v>
      </c>
      <c r="E33" s="225" t="str">
        <f t="shared" ca="1" si="8"/>
        <v>R</v>
      </c>
      <c r="F33" s="348"/>
      <c r="G33" s="349">
        <f t="shared" ca="1" si="1"/>
        <v>34</v>
      </c>
      <c r="H33" s="350"/>
      <c r="I33" s="237"/>
      <c r="J33" s="191"/>
      <c r="K33" s="237"/>
      <c r="N33" s="237"/>
      <c r="Q33" s="237"/>
      <c r="T33" s="237"/>
      <c r="W33" s="237"/>
      <c r="AF33" s="169">
        <f t="shared" si="2"/>
        <v>0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33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271</v>
      </c>
      <c r="AR33" s="207" t="s">
        <v>140</v>
      </c>
      <c r="AS33" s="207">
        <v>19</v>
      </c>
      <c r="AT33" s="207" t="s">
        <v>272</v>
      </c>
      <c r="AV33" s="168">
        <f t="shared" si="21"/>
        <v>16</v>
      </c>
      <c r="AW33" s="168">
        <f>COUNTIF( AV$7:AV33, AV33 )</f>
        <v>10</v>
      </c>
      <c r="AX33" s="208">
        <f t="shared" si="22"/>
        <v>17</v>
      </c>
      <c r="AY33" s="168">
        <f t="shared" si="23"/>
        <v>25</v>
      </c>
      <c r="AZ33" s="169"/>
      <c r="BA33" s="169"/>
      <c r="BC33" s="168">
        <f t="shared" ca="1" si="24"/>
        <v>27</v>
      </c>
      <c r="BD33" s="209">
        <f t="shared" ca="1" si="6"/>
        <v>31</v>
      </c>
      <c r="BF33" s="173" t="str">
        <f t="shared" ca="1" si="7"/>
        <v>OGE Energy Corp.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OGE</v>
      </c>
    </row>
    <row r="34" spans="1:61" ht="13.8" x14ac:dyDescent="0.25">
      <c r="A34" s="223" t="s">
        <v>303</v>
      </c>
      <c r="B34" s="224" t="s">
        <v>140</v>
      </c>
      <c r="C34" s="224">
        <v>19</v>
      </c>
      <c r="D34" s="224" t="s">
        <v>304</v>
      </c>
      <c r="E34" s="225" t="str">
        <f t="shared" ca="1" si="8"/>
        <v>R</v>
      </c>
      <c r="F34" s="348"/>
      <c r="G34" s="349">
        <f t="shared" ca="1" si="1"/>
        <v>38</v>
      </c>
      <c r="H34" s="350"/>
      <c r="I34" s="237"/>
      <c r="J34" s="191"/>
      <c r="K34" s="237"/>
      <c r="N34" s="237"/>
      <c r="Q34" s="237"/>
      <c r="T34" s="237"/>
      <c r="W34" s="237"/>
      <c r="AF34" s="169">
        <f t="shared" si="2"/>
        <v>0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34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240</v>
      </c>
      <c r="AR34" s="207" t="s">
        <v>139</v>
      </c>
      <c r="AS34" s="207">
        <v>20</v>
      </c>
      <c r="AT34" s="207" t="s">
        <v>241</v>
      </c>
      <c r="AV34" s="168">
        <f t="shared" si="21"/>
        <v>3</v>
      </c>
      <c r="AW34" s="168">
        <f>COUNTIF( AV$7:AV34, AV34 )</f>
        <v>7</v>
      </c>
      <c r="AX34" s="208">
        <f t="shared" si="22"/>
        <v>3.7</v>
      </c>
      <c r="AY34" s="168">
        <f t="shared" si="23"/>
        <v>9</v>
      </c>
      <c r="AZ34" s="169"/>
      <c r="BA34" s="169"/>
      <c r="BC34" s="168">
        <f t="shared" ca="1" si="24"/>
        <v>28</v>
      </c>
      <c r="BD34" s="209">
        <f t="shared" ca="1" si="6"/>
        <v>35</v>
      </c>
      <c r="BF34" s="173" t="str">
        <f t="shared" ca="1" si="7"/>
        <v>PNM Resources, Inc.</v>
      </c>
      <c r="BG34" s="173" t="str">
        <f t="shared" ca="1" si="7"/>
        <v>BBB+</v>
      </c>
      <c r="BH34" s="173">
        <f t="shared" ca="1" si="7"/>
        <v>19</v>
      </c>
      <c r="BI34" s="173" t="str">
        <f ca="1">OFFSET( AT$6, $BD34, 0 )</f>
        <v>PNM</v>
      </c>
    </row>
    <row r="35" spans="1:61" ht="13.8" x14ac:dyDescent="0.25">
      <c r="A35" s="223" t="s">
        <v>285</v>
      </c>
      <c r="B35" s="224" t="s">
        <v>140</v>
      </c>
      <c r="C35" s="224">
        <v>19</v>
      </c>
      <c r="D35" s="224" t="s">
        <v>286</v>
      </c>
      <c r="E35" s="225" t="str">
        <f t="shared" ca="1" si="8"/>
        <v>R</v>
      </c>
      <c r="F35" s="348"/>
      <c r="G35" s="349">
        <f t="shared" ca="1" si="1"/>
        <v>39</v>
      </c>
      <c r="H35" s="350"/>
      <c r="I35" s="237"/>
      <c r="K35" s="237"/>
      <c r="N35" s="237"/>
      <c r="Q35" s="237"/>
      <c r="T35" s="237"/>
      <c r="W35" s="237"/>
      <c r="AF35" s="169">
        <f t="shared" si="2"/>
        <v>0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35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273</v>
      </c>
      <c r="AR35" s="207" t="s">
        <v>140</v>
      </c>
      <c r="AS35" s="207">
        <v>19</v>
      </c>
      <c r="AT35" s="207" t="s">
        <v>274</v>
      </c>
      <c r="AV35" s="168">
        <f t="shared" si="21"/>
        <v>16</v>
      </c>
      <c r="AW35" s="168">
        <f>COUNTIF( AV$7:AV35, AV35 )</f>
        <v>11</v>
      </c>
      <c r="AX35" s="208">
        <f t="shared" si="22"/>
        <v>17.100000000000001</v>
      </c>
      <c r="AY35" s="168">
        <f t="shared" si="23"/>
        <v>26</v>
      </c>
      <c r="AZ35" s="169"/>
      <c r="BA35" s="169"/>
      <c r="BC35" s="168">
        <f t="shared" ca="1" si="24"/>
        <v>29</v>
      </c>
      <c r="BD35" s="209">
        <f t="shared" ca="1" si="6"/>
        <v>36</v>
      </c>
      <c r="BF35" s="173" t="str">
        <f t="shared" ca="1" si="7"/>
        <v>Portland General Electric Company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POR</v>
      </c>
    </row>
    <row r="36" spans="1:61" ht="13.8" x14ac:dyDescent="0.25">
      <c r="A36" s="223" t="s">
        <v>289</v>
      </c>
      <c r="B36" s="224" t="s">
        <v>140</v>
      </c>
      <c r="C36" s="224">
        <v>19</v>
      </c>
      <c r="D36" s="224" t="s">
        <v>290</v>
      </c>
      <c r="E36" s="225" t="str">
        <f t="shared" ca="1" si="8"/>
        <v>MR</v>
      </c>
      <c r="F36" s="348"/>
      <c r="G36" s="349">
        <f t="shared" ca="1" si="1"/>
        <v>41</v>
      </c>
      <c r="H36" s="350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36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297</v>
      </c>
      <c r="AR36" s="207" t="s">
        <v>141</v>
      </c>
      <c r="AS36" s="207">
        <v>18</v>
      </c>
      <c r="AT36" s="207" t="s">
        <v>298</v>
      </c>
      <c r="AV36" s="168">
        <f t="shared" si="21"/>
        <v>34</v>
      </c>
      <c r="AW36" s="168">
        <f>COUNTIF( AV$7:AV36, AV36 )</f>
        <v>7</v>
      </c>
      <c r="AX36" s="208">
        <f t="shared" si="22"/>
        <v>34.700000000000003</v>
      </c>
      <c r="AY36" s="168">
        <f t="shared" si="23"/>
        <v>40</v>
      </c>
      <c r="AZ36" s="169"/>
      <c r="BA36" s="169"/>
      <c r="BC36" s="168">
        <f t="shared" ca="1" si="24"/>
        <v>30</v>
      </c>
      <c r="BD36" s="209">
        <f t="shared" ca="1" si="6"/>
        <v>38</v>
      </c>
      <c r="BF36" s="173" t="str">
        <f t="shared" ca="1" si="7"/>
        <v>Public Service Enterprise Group Incorporated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PEG</v>
      </c>
    </row>
    <row r="37" spans="1:61" ht="13.8" x14ac:dyDescent="0.25">
      <c r="A37" s="223" t="s">
        <v>347</v>
      </c>
      <c r="B37" s="224" t="s">
        <v>140</v>
      </c>
      <c r="C37" s="224">
        <v>19</v>
      </c>
      <c r="D37" s="224" t="s">
        <v>348</v>
      </c>
      <c r="E37" s="225" t="str">
        <f t="shared" ca="1" si="8"/>
        <v>R</v>
      </c>
      <c r="F37" s="348"/>
      <c r="G37" s="349">
        <f t="shared" ca="1" si="1"/>
        <v>42</v>
      </c>
      <c r="H37" s="350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>
        <f t="shared" ca="1" si="3"/>
        <v>1</v>
      </c>
      <c r="AH37" s="169" t="str">
        <f t="shared" ca="1" si="18"/>
        <v/>
      </c>
      <c r="AJ37" s="169">
        <f t="shared" ca="1" si="19"/>
        <v>52</v>
      </c>
      <c r="AK37" s="169" t="str">
        <f t="shared" ca="1" si="20"/>
        <v>BBB-</v>
      </c>
      <c r="AL37" s="169">
        <f t="shared" ca="1" si="20"/>
        <v>17</v>
      </c>
      <c r="AM37" s="169" t="str">
        <f t="shared" ca="1" si="4"/>
        <v>Change</v>
      </c>
      <c r="AQ37" s="207" t="s">
        <v>277</v>
      </c>
      <c r="AR37" s="207" t="s">
        <v>140</v>
      </c>
      <c r="AS37" s="207">
        <v>19</v>
      </c>
      <c r="AT37" s="207" t="s">
        <v>278</v>
      </c>
      <c r="AV37" s="168">
        <f t="shared" si="21"/>
        <v>16</v>
      </c>
      <c r="AW37" s="168">
        <f>COUNTIF( AV$7:AV37, AV37 )</f>
        <v>12</v>
      </c>
      <c r="AX37" s="208">
        <f t="shared" si="22"/>
        <v>17.2</v>
      </c>
      <c r="AY37" s="168">
        <f t="shared" si="23"/>
        <v>27</v>
      </c>
      <c r="AZ37" s="169"/>
      <c r="BA37" s="169"/>
      <c r="BC37" s="168">
        <f t="shared" ca="1" si="24"/>
        <v>31</v>
      </c>
      <c r="BD37" s="209">
        <f t="shared" ca="1" si="6"/>
        <v>40</v>
      </c>
      <c r="BF37" s="173" t="str">
        <f t="shared" ca="1" si="7"/>
        <v>SCANA Corporation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SCG</v>
      </c>
    </row>
    <row r="38" spans="1:61" ht="13.8" x14ac:dyDescent="0.25">
      <c r="A38" s="223" t="s">
        <v>291</v>
      </c>
      <c r="B38" s="224" t="s">
        <v>140</v>
      </c>
      <c r="C38" s="224">
        <v>19</v>
      </c>
      <c r="D38" s="224" t="s">
        <v>292</v>
      </c>
      <c r="E38" s="225" t="str">
        <f t="shared" ca="1" si="8"/>
        <v>MR</v>
      </c>
      <c r="F38" s="348"/>
      <c r="G38" s="349">
        <f t="shared" ca="1" si="1"/>
        <v>43</v>
      </c>
      <c r="H38" s="350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37</v>
      </c>
      <c r="AK38" s="169" t="str">
        <f t="shared" ca="1" si="20"/>
        <v>BBB+</v>
      </c>
      <c r="AL38" s="169">
        <f t="shared" ca="1" si="20"/>
        <v>19</v>
      </c>
      <c r="AM38" s="169" t="str">
        <f t="shared" ca="1" si="4"/>
        <v/>
      </c>
      <c r="AQ38" s="207" t="s">
        <v>299</v>
      </c>
      <c r="AR38" s="207" t="s">
        <v>141</v>
      </c>
      <c r="AS38" s="207">
        <v>18</v>
      </c>
      <c r="AT38" s="207" t="s">
        <v>300</v>
      </c>
      <c r="AV38" s="168">
        <f t="shared" si="21"/>
        <v>34</v>
      </c>
      <c r="AW38" s="168">
        <f>COUNTIF( AV$7:AV38, AV38 )</f>
        <v>8</v>
      </c>
      <c r="AX38" s="208">
        <f t="shared" si="22"/>
        <v>34.799999999999997</v>
      </c>
      <c r="AY38" s="168">
        <f t="shared" si="23"/>
        <v>41</v>
      </c>
      <c r="AZ38" s="169"/>
      <c r="BA38" s="169"/>
      <c r="BC38" s="168">
        <f t="shared" ca="1" si="24"/>
        <v>32</v>
      </c>
      <c r="BD38" s="209">
        <f t="shared" ca="1" si="6"/>
        <v>41</v>
      </c>
      <c r="BF38" s="173" t="str">
        <f t="shared" ca="1" si="7"/>
        <v>Sempra Energy</v>
      </c>
      <c r="BG38" s="173" t="str">
        <f t="shared" ca="1" si="7"/>
        <v>BBB+</v>
      </c>
      <c r="BH38" s="173">
        <f t="shared" ca="1" si="7"/>
        <v>19</v>
      </c>
      <c r="BI38" s="173" t="str">
        <f t="shared" ca="1" si="7"/>
        <v>SRE</v>
      </c>
    </row>
    <row r="39" spans="1:61" ht="13.8" x14ac:dyDescent="0.25">
      <c r="A39" s="223" t="s">
        <v>295</v>
      </c>
      <c r="B39" s="224" t="s">
        <v>140</v>
      </c>
      <c r="C39" s="224">
        <v>19</v>
      </c>
      <c r="D39" s="224" t="s">
        <v>296</v>
      </c>
      <c r="E39" s="225" t="str">
        <f t="shared" ca="1" si="8"/>
        <v>R</v>
      </c>
      <c r="F39" s="348"/>
      <c r="G39" s="349">
        <f t="shared" ca="1" si="1"/>
        <v>45</v>
      </c>
      <c r="H39" s="350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38</v>
      </c>
      <c r="AK39" s="169" t="str">
        <f t="shared" ca="1" si="20"/>
        <v>BBB+</v>
      </c>
      <c r="AL39" s="169">
        <f t="shared" ca="1" si="20"/>
        <v>19</v>
      </c>
      <c r="AM39" s="169" t="str">
        <f t="shared" ca="1" si="4"/>
        <v/>
      </c>
      <c r="AQ39" s="207" t="s">
        <v>301</v>
      </c>
      <c r="AR39" s="207" t="s">
        <v>142</v>
      </c>
      <c r="AS39" s="207">
        <v>17</v>
      </c>
      <c r="AT39" s="207" t="s">
        <v>302</v>
      </c>
      <c r="AV39" s="168">
        <f t="shared" si="21"/>
        <v>42</v>
      </c>
      <c r="AW39" s="168">
        <f>COUNTIF( AV$7:AV39, AV39 )</f>
        <v>4</v>
      </c>
      <c r="AX39" s="208">
        <f t="shared" si="22"/>
        <v>42.4</v>
      </c>
      <c r="AY39" s="168">
        <f t="shared" si="23"/>
        <v>45</v>
      </c>
      <c r="AZ39" s="169"/>
      <c r="BA39" s="169"/>
      <c r="BC39" s="168">
        <f t="shared" ca="1" si="24"/>
        <v>33</v>
      </c>
      <c r="BD39" s="209">
        <f t="shared" ca="1" si="6"/>
        <v>43</v>
      </c>
      <c r="BF39" s="173" t="str">
        <f t="shared" ref="BF39:BI63" ca="1" si="25">OFFSET( AQ$6, $BD39, 0 )</f>
        <v>Unitil Corporation</v>
      </c>
      <c r="BG39" s="173" t="str">
        <f t="shared" ca="1" si="25"/>
        <v>BBB+</v>
      </c>
      <c r="BH39" s="173">
        <f t="shared" ca="1" si="25"/>
        <v>19</v>
      </c>
      <c r="BI39" s="173" t="str">
        <f t="shared" ca="1" si="25"/>
        <v>UTL</v>
      </c>
    </row>
    <row r="40" spans="1:61" ht="13.8" x14ac:dyDescent="0.25">
      <c r="A40" s="223" t="s">
        <v>238</v>
      </c>
      <c r="B40" s="224" t="s">
        <v>141</v>
      </c>
      <c r="C40" s="224">
        <v>18</v>
      </c>
      <c r="D40" s="224" t="s">
        <v>239</v>
      </c>
      <c r="E40" s="225" t="str">
        <f t="shared" ca="1" si="8"/>
        <v>R</v>
      </c>
      <c r="F40" s="348"/>
      <c r="G40" s="349">
        <f t="shared" ca="1" si="1"/>
        <v>12</v>
      </c>
      <c r="H40" s="350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1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39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281</v>
      </c>
      <c r="AR40" s="207" t="s">
        <v>139</v>
      </c>
      <c r="AS40" s="207">
        <v>20</v>
      </c>
      <c r="AT40" s="207" t="s">
        <v>282</v>
      </c>
      <c r="AV40" s="168">
        <f t="shared" si="21"/>
        <v>3</v>
      </c>
      <c r="AW40" s="168">
        <f>COUNTIF( AV$7:AV40, AV40 )</f>
        <v>8</v>
      </c>
      <c r="AX40" s="208">
        <f t="shared" si="22"/>
        <v>3.8</v>
      </c>
      <c r="AY40" s="168">
        <f t="shared" si="23"/>
        <v>10</v>
      </c>
      <c r="AZ40" s="169"/>
      <c r="BA40" s="169"/>
      <c r="BC40" s="168">
        <f t="shared" ca="1" si="24"/>
        <v>34</v>
      </c>
      <c r="BD40" s="209">
        <f t="shared" ca="1" si="6"/>
        <v>6</v>
      </c>
      <c r="BF40" s="173" t="str">
        <f t="shared" ca="1" si="25"/>
        <v>Avista Corporation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AVA</v>
      </c>
    </row>
    <row r="41" spans="1:61" ht="13.8" x14ac:dyDescent="0.25">
      <c r="A41" s="223" t="s">
        <v>328</v>
      </c>
      <c r="B41" s="224" t="s">
        <v>141</v>
      </c>
      <c r="C41" s="224">
        <v>18</v>
      </c>
      <c r="D41" s="224" t="s">
        <v>331</v>
      </c>
      <c r="E41" s="225" t="str">
        <f t="shared" ca="1" si="8"/>
        <v>R</v>
      </c>
      <c r="F41" s="348"/>
      <c r="G41" s="349">
        <f t="shared" ca="1" si="1"/>
        <v>21</v>
      </c>
      <c r="H41" s="350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1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40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303</v>
      </c>
      <c r="AR41" s="207" t="s">
        <v>140</v>
      </c>
      <c r="AS41" s="207">
        <v>19</v>
      </c>
      <c r="AT41" s="207" t="s">
        <v>304</v>
      </c>
      <c r="AV41" s="168">
        <f t="shared" si="21"/>
        <v>16</v>
      </c>
      <c r="AW41" s="168">
        <f>COUNTIF( AV$7:AV41, AV41 )</f>
        <v>13</v>
      </c>
      <c r="AX41" s="208">
        <f t="shared" si="22"/>
        <v>17.3</v>
      </c>
      <c r="AY41" s="168">
        <f t="shared" si="23"/>
        <v>28</v>
      </c>
      <c r="AZ41" s="169"/>
      <c r="BA41" s="169"/>
      <c r="BC41" s="168">
        <f t="shared" ca="1" si="24"/>
        <v>35</v>
      </c>
      <c r="BD41" s="209">
        <f t="shared" ca="1" si="6"/>
        <v>18</v>
      </c>
      <c r="BF41" s="173" t="str">
        <f t="shared" ca="1" si="25"/>
        <v>El Paso Electric Company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EE</v>
      </c>
    </row>
    <row r="42" spans="1:61" ht="13.8" x14ac:dyDescent="0.25">
      <c r="A42" s="223" t="s">
        <v>269</v>
      </c>
      <c r="B42" s="224" t="s">
        <v>141</v>
      </c>
      <c r="C42" s="224">
        <v>18</v>
      </c>
      <c r="D42" s="224" t="s">
        <v>270</v>
      </c>
      <c r="E42" s="225" t="str">
        <f t="shared" ca="1" si="8"/>
        <v>MR</v>
      </c>
      <c r="F42" s="348"/>
      <c r="G42" s="349">
        <f t="shared" ca="1" si="1"/>
        <v>25</v>
      </c>
      <c r="H42" s="350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1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41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285</v>
      </c>
      <c r="AR42" s="207" t="s">
        <v>140</v>
      </c>
      <c r="AS42" s="207">
        <v>19</v>
      </c>
      <c r="AT42" s="207" t="s">
        <v>286</v>
      </c>
      <c r="AV42" s="168">
        <f t="shared" si="21"/>
        <v>16</v>
      </c>
      <c r="AW42" s="168">
        <f>COUNTIF( AV$7:AV42, AV42 )</f>
        <v>14</v>
      </c>
      <c r="AX42" s="208">
        <f t="shared" si="22"/>
        <v>17.399999999999999</v>
      </c>
      <c r="AY42" s="168">
        <f t="shared" si="23"/>
        <v>29</v>
      </c>
      <c r="AZ42" s="169"/>
      <c r="BA42" s="169"/>
      <c r="BC42" s="168">
        <f t="shared" ca="1" si="24"/>
        <v>36</v>
      </c>
      <c r="BD42" s="209">
        <f t="shared" ca="1" si="6"/>
        <v>22</v>
      </c>
      <c r="BF42" s="173" t="str">
        <f t="shared" ca="1" si="25"/>
        <v>Exelon Corporation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EXC</v>
      </c>
    </row>
    <row r="43" spans="1:61" ht="13.8" x14ac:dyDescent="0.25">
      <c r="A43" s="223" t="s">
        <v>275</v>
      </c>
      <c r="B43" s="224" t="s">
        <v>141</v>
      </c>
      <c r="C43" s="224">
        <v>18</v>
      </c>
      <c r="D43" s="224" t="s">
        <v>276</v>
      </c>
      <c r="E43" s="225" t="str">
        <f t="shared" ca="1" si="8"/>
        <v>R</v>
      </c>
      <c r="F43" s="348"/>
      <c r="G43" s="349">
        <f t="shared" ca="1" si="1"/>
        <v>26</v>
      </c>
      <c r="H43" s="350"/>
      <c r="I43" s="237"/>
      <c r="J43" s="191"/>
      <c r="K43" s="237"/>
      <c r="N43" s="237"/>
      <c r="Q43" s="237"/>
      <c r="T43" s="237"/>
      <c r="W43" s="237"/>
      <c r="AF43" s="169">
        <f t="shared" si="2"/>
        <v>1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42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243</v>
      </c>
      <c r="AR43" s="207" t="s">
        <v>139</v>
      </c>
      <c r="AS43" s="207">
        <v>20</v>
      </c>
      <c r="AT43" s="207" t="s">
        <v>244</v>
      </c>
      <c r="AV43" s="168">
        <f t="shared" si="21"/>
        <v>3</v>
      </c>
      <c r="AW43" s="168">
        <f>COUNTIF( AV$7:AV43, AV43 )</f>
        <v>9</v>
      </c>
      <c r="AX43" s="208">
        <f t="shared" si="22"/>
        <v>3.9</v>
      </c>
      <c r="AY43" s="168">
        <f t="shared" si="23"/>
        <v>11</v>
      </c>
      <c r="AZ43" s="169"/>
      <c r="BA43" s="169"/>
      <c r="BC43" s="168">
        <f t="shared" ca="1" si="24"/>
        <v>37</v>
      </c>
      <c r="BD43" s="209">
        <f t="shared" ca="1" si="6"/>
        <v>23</v>
      </c>
      <c r="BF43" s="173" t="str">
        <f t="shared" ca="1" si="25"/>
        <v>FirstEnergy Corp.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FE</v>
      </c>
    </row>
    <row r="44" spans="1:61" ht="13.8" x14ac:dyDescent="0.25">
      <c r="A44" s="223" t="s">
        <v>283</v>
      </c>
      <c r="B44" s="224" t="s">
        <v>141</v>
      </c>
      <c r="C44" s="224">
        <v>18</v>
      </c>
      <c r="D44" s="224" t="s">
        <v>284</v>
      </c>
      <c r="E44" s="225" t="str">
        <f t="shared" ca="1" si="8"/>
        <v>R</v>
      </c>
      <c r="F44" s="348"/>
      <c r="G44" s="349">
        <f t="shared" ca="1" si="1"/>
        <v>28</v>
      </c>
      <c r="H44" s="350"/>
      <c r="I44" s="237"/>
      <c r="J44" s="191"/>
      <c r="K44" s="237"/>
      <c r="N44" s="237"/>
      <c r="Q44" s="237"/>
      <c r="T44" s="237"/>
      <c r="W44" s="237"/>
      <c r="AF44" s="169">
        <f t="shared" si="2"/>
        <v>1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43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289</v>
      </c>
      <c r="AR44" s="207" t="s">
        <v>140</v>
      </c>
      <c r="AS44" s="207">
        <v>19</v>
      </c>
      <c r="AT44" s="207" t="s">
        <v>290</v>
      </c>
      <c r="AV44" s="168">
        <f t="shared" si="21"/>
        <v>16</v>
      </c>
      <c r="AW44" s="168">
        <f>COUNTIF( AV$7:AV44, AV44 )</f>
        <v>15</v>
      </c>
      <c r="AX44" s="208">
        <f t="shared" si="22"/>
        <v>17.5</v>
      </c>
      <c r="AY44" s="168">
        <f t="shared" si="23"/>
        <v>30</v>
      </c>
      <c r="AZ44" s="169"/>
      <c r="BA44" s="169"/>
      <c r="BC44" s="168">
        <f t="shared" ca="1" si="24"/>
        <v>38</v>
      </c>
      <c r="BD44" s="209">
        <f t="shared" ca="1" si="6"/>
        <v>25</v>
      </c>
      <c r="BF44" s="173" t="str">
        <f t="shared" ca="1" si="25"/>
        <v>IDACORP, Inc.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IDA</v>
      </c>
    </row>
    <row r="45" spans="1:61" ht="13.8" x14ac:dyDescent="0.25">
      <c r="A45" s="223" t="s">
        <v>287</v>
      </c>
      <c r="B45" s="224" t="s">
        <v>141</v>
      </c>
      <c r="C45" s="224">
        <v>18</v>
      </c>
      <c r="D45" s="224" t="s">
        <v>288</v>
      </c>
      <c r="E45" s="225" t="str">
        <f t="shared" ca="1" si="8"/>
        <v>R</v>
      </c>
      <c r="F45" s="348"/>
      <c r="G45" s="349">
        <f t="shared" ca="1" si="1"/>
        <v>55</v>
      </c>
      <c r="H45" s="350"/>
      <c r="I45" s="237"/>
      <c r="J45" s="191"/>
      <c r="K45" s="237"/>
      <c r="N45" s="237"/>
      <c r="Q45" s="237"/>
      <c r="T45" s="237"/>
      <c r="W45" s="237"/>
      <c r="AF45" s="169">
        <f t="shared" si="2"/>
        <v>1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44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305</v>
      </c>
      <c r="AR45" s="207" t="s">
        <v>142</v>
      </c>
      <c r="AS45" s="207">
        <v>17</v>
      </c>
      <c r="AT45" s="207" t="s">
        <v>306</v>
      </c>
      <c r="AV45" s="168">
        <f t="shared" si="21"/>
        <v>42</v>
      </c>
      <c r="AW45" s="168">
        <f>COUNTIF( AV$7:AV45, AV45 )</f>
        <v>5</v>
      </c>
      <c r="AX45" s="208">
        <f t="shared" si="22"/>
        <v>42.5</v>
      </c>
      <c r="AY45" s="168">
        <f t="shared" si="23"/>
        <v>46</v>
      </c>
      <c r="AZ45" s="169"/>
      <c r="BA45" s="169"/>
      <c r="BC45" s="168">
        <f t="shared" ca="1" si="24"/>
        <v>39</v>
      </c>
      <c r="BD45" s="209">
        <f t="shared" ca="1" si="6"/>
        <v>26</v>
      </c>
      <c r="BF45" s="173" t="str">
        <f t="shared" ca="1" si="25"/>
        <v>IPALCO Enterprises, Inc.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**IPALCO</v>
      </c>
    </row>
    <row r="46" spans="1:61" ht="13.8" x14ac:dyDescent="0.25">
      <c r="A46" s="223" t="s">
        <v>297</v>
      </c>
      <c r="B46" s="224" t="s">
        <v>141</v>
      </c>
      <c r="C46" s="224">
        <v>18</v>
      </c>
      <c r="D46" s="224" t="s">
        <v>298</v>
      </c>
      <c r="E46" s="225" t="str">
        <f t="shared" ca="1" si="8"/>
        <v>R</v>
      </c>
      <c r="F46" s="348"/>
      <c r="G46" s="349">
        <f t="shared" ca="1" si="1"/>
        <v>33</v>
      </c>
      <c r="H46" s="350"/>
      <c r="I46" s="191"/>
      <c r="K46" s="191"/>
      <c r="N46" s="351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45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347</v>
      </c>
      <c r="AR46" s="207" t="s">
        <v>140</v>
      </c>
      <c r="AS46" s="207">
        <v>19</v>
      </c>
      <c r="AT46" s="207" t="s">
        <v>348</v>
      </c>
      <c r="AV46" s="168">
        <f t="shared" si="21"/>
        <v>16</v>
      </c>
      <c r="AW46" s="168">
        <f>COUNTIF( AV$7:AV46, AV46 )</f>
        <v>16</v>
      </c>
      <c r="AX46" s="208">
        <f t="shared" si="22"/>
        <v>17.600000000000001</v>
      </c>
      <c r="AY46" s="168">
        <f t="shared" si="23"/>
        <v>31</v>
      </c>
      <c r="AZ46" s="169"/>
      <c r="BA46" s="169"/>
      <c r="BC46" s="168">
        <f t="shared" ca="1" si="24"/>
        <v>40</v>
      </c>
      <c r="BD46" s="209">
        <f t="shared" ca="1" si="6"/>
        <v>30</v>
      </c>
      <c r="BF46" s="173" t="str">
        <f t="shared" ca="1" si="25"/>
        <v>NorthWestern Corporation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NWE</v>
      </c>
    </row>
    <row r="47" spans="1:61" ht="13.8" x14ac:dyDescent="0.25">
      <c r="A47" s="223" t="s">
        <v>299</v>
      </c>
      <c r="B47" s="224" t="s">
        <v>141</v>
      </c>
      <c r="C47" s="224">
        <v>18</v>
      </c>
      <c r="D47" s="224" t="s">
        <v>300</v>
      </c>
      <c r="E47" s="225" t="str">
        <f t="shared" ca="1" si="8"/>
        <v>R</v>
      </c>
      <c r="F47" s="348"/>
      <c r="G47" s="349">
        <f t="shared" ca="1" si="1"/>
        <v>35</v>
      </c>
      <c r="H47" s="350"/>
      <c r="I47" s="350"/>
      <c r="J47" s="187" t="s">
        <v>307</v>
      </c>
      <c r="K47" s="191"/>
      <c r="M47" s="351"/>
      <c r="N47" s="351"/>
      <c r="AF47" s="169">
        <f t="shared" si="2"/>
        <v>1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46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291</v>
      </c>
      <c r="AR47" s="207" t="s">
        <v>140</v>
      </c>
      <c r="AS47" s="207">
        <v>19</v>
      </c>
      <c r="AT47" s="207" t="s">
        <v>292</v>
      </c>
      <c r="AV47" s="168">
        <f t="shared" si="21"/>
        <v>16</v>
      </c>
      <c r="AW47" s="168">
        <f>COUNTIF( AV$7:AV47, AV47 )</f>
        <v>17</v>
      </c>
      <c r="AX47" s="208">
        <f t="shared" si="22"/>
        <v>17.7</v>
      </c>
      <c r="AY47" s="168">
        <f t="shared" si="23"/>
        <v>32</v>
      </c>
      <c r="AZ47" s="169"/>
      <c r="BA47" s="169"/>
      <c r="BC47" s="168">
        <f t="shared" ca="1" si="24"/>
        <v>41</v>
      </c>
      <c r="BD47" s="209">
        <f t="shared" ca="1" si="6"/>
        <v>32</v>
      </c>
      <c r="BF47" s="173" t="str">
        <f t="shared" ca="1" si="25"/>
        <v>Otter Tail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OTTR</v>
      </c>
    </row>
    <row r="48" spans="1:61" ht="13.8" x14ac:dyDescent="0.25">
      <c r="A48" s="223" t="s">
        <v>254</v>
      </c>
      <c r="B48" s="224" t="s">
        <v>142</v>
      </c>
      <c r="C48" s="224">
        <v>17</v>
      </c>
      <c r="D48" s="224" t="s">
        <v>255</v>
      </c>
      <c r="E48" s="225" t="str">
        <f t="shared" ca="1" si="8"/>
        <v>R</v>
      </c>
      <c r="F48" s="348"/>
      <c r="G48" s="349">
        <f t="shared" ca="1" si="1"/>
        <v>53</v>
      </c>
      <c r="H48" s="350"/>
      <c r="I48" s="350"/>
      <c r="K48" s="191"/>
      <c r="M48" s="351"/>
      <c r="N48" s="351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48</v>
      </c>
      <c r="AK48" s="169" t="str">
        <f t="shared" ca="1" si="20"/>
        <v>BBB-</v>
      </c>
      <c r="AL48" s="169">
        <f t="shared" ca="1" si="20"/>
        <v>17</v>
      </c>
      <c r="AM48" s="169" t="str">
        <f t="shared" ca="1" si="4"/>
        <v/>
      </c>
      <c r="AQ48" s="207" t="s">
        <v>293</v>
      </c>
      <c r="AR48" s="207" t="s">
        <v>139</v>
      </c>
      <c r="AS48" s="207">
        <v>20</v>
      </c>
      <c r="AT48" s="207" t="s">
        <v>294</v>
      </c>
      <c r="AV48" s="168">
        <f t="shared" si="21"/>
        <v>3</v>
      </c>
      <c r="AW48" s="168">
        <f>COUNTIF( AV$7:AV48, AV48 )</f>
        <v>10</v>
      </c>
      <c r="AX48" s="208">
        <f t="shared" si="22"/>
        <v>4</v>
      </c>
      <c r="AY48" s="168">
        <f t="shared" si="23"/>
        <v>12</v>
      </c>
      <c r="AZ48" s="169"/>
      <c r="BA48" s="169"/>
      <c r="BC48" s="168">
        <f t="shared" ca="1" si="24"/>
        <v>42</v>
      </c>
      <c r="BD48" s="209">
        <f t="shared" ca="1" si="6"/>
        <v>10</v>
      </c>
      <c r="BF48" s="173" t="str">
        <f t="shared" ca="1" si="25"/>
        <v>Cleco Corporation</v>
      </c>
      <c r="BG48" s="173" t="str">
        <f t="shared" ca="1" si="25"/>
        <v>BBB-</v>
      </c>
      <c r="BH48" s="173">
        <f t="shared" ca="1" si="25"/>
        <v>17</v>
      </c>
      <c r="BI48" s="173" t="str">
        <f t="shared" ca="1" si="25"/>
        <v>**CNL</v>
      </c>
    </row>
    <row r="49" spans="1:61" ht="13.8" x14ac:dyDescent="0.25">
      <c r="A49" s="223" t="s">
        <v>259</v>
      </c>
      <c r="B49" s="224" t="s">
        <v>142</v>
      </c>
      <c r="C49" s="224">
        <v>17</v>
      </c>
      <c r="D49" s="224" t="s">
        <v>260</v>
      </c>
      <c r="E49" s="225" t="str">
        <f t="shared" ca="1" si="8"/>
        <v>R</v>
      </c>
      <c r="F49" s="348"/>
      <c r="G49" s="349">
        <f t="shared" ca="1" si="1"/>
        <v>54</v>
      </c>
      <c r="H49" s="350"/>
      <c r="I49" s="350"/>
      <c r="J49" s="191"/>
      <c r="K49" s="191"/>
      <c r="M49" s="351"/>
      <c r="N49" s="351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4"/>
        <v/>
      </c>
      <c r="AQ49" s="207" t="s">
        <v>295</v>
      </c>
      <c r="AR49" s="207" t="s">
        <v>140</v>
      </c>
      <c r="AS49" s="207">
        <v>19</v>
      </c>
      <c r="AT49" s="207" t="s">
        <v>296</v>
      </c>
      <c r="AV49" s="168">
        <f t="shared" si="21"/>
        <v>16</v>
      </c>
      <c r="AW49" s="168">
        <f>COUNTIF( AV$7:AV49, AV49 )</f>
        <v>18</v>
      </c>
      <c r="AX49" s="208">
        <f t="shared" si="22"/>
        <v>17.8</v>
      </c>
      <c r="AY49" s="168">
        <f t="shared" si="23"/>
        <v>33</v>
      </c>
      <c r="AZ49" s="169"/>
      <c r="BA49" s="169"/>
      <c r="BC49" s="168">
        <f t="shared" ca="1" si="24"/>
        <v>43</v>
      </c>
      <c r="BD49" s="209">
        <f t="shared" ca="1" si="6"/>
        <v>14</v>
      </c>
      <c r="BF49" s="173" t="str">
        <f t="shared" ca="1" si="25"/>
        <v>DPL Inc.</v>
      </c>
      <c r="BG49" s="173" t="str">
        <f t="shared" ca="1" si="25"/>
        <v>BBB-</v>
      </c>
      <c r="BH49" s="173">
        <f t="shared" ca="1" si="25"/>
        <v>17</v>
      </c>
      <c r="BI49" s="173" t="str">
        <f t="shared" ca="1" si="25"/>
        <v>**DPL</v>
      </c>
    </row>
    <row r="50" spans="1:61" ht="13.8" x14ac:dyDescent="0.25">
      <c r="A50" s="223" t="s">
        <v>279</v>
      </c>
      <c r="B50" s="224" t="s">
        <v>142</v>
      </c>
      <c r="C50" s="224">
        <v>17</v>
      </c>
      <c r="D50" s="224" t="s">
        <v>280</v>
      </c>
      <c r="E50" s="225" t="str">
        <f t="shared" ca="1" si="8"/>
        <v>MR</v>
      </c>
      <c r="F50" s="348"/>
      <c r="G50" s="349">
        <f t="shared" ca="1" si="1"/>
        <v>27</v>
      </c>
      <c r="H50" s="350"/>
      <c r="I50" s="350"/>
      <c r="J50" s="191"/>
      <c r="K50" s="191"/>
      <c r="M50" s="351"/>
      <c r="N50" s="351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50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4"/>
        <v/>
      </c>
      <c r="AQ50" s="207" t="s">
        <v>345</v>
      </c>
      <c r="AR50" s="207" t="s">
        <v>139</v>
      </c>
      <c r="AS50" s="207">
        <v>20</v>
      </c>
      <c r="AT50" s="207" t="s">
        <v>346</v>
      </c>
      <c r="AV50" s="168">
        <f t="shared" si="21"/>
        <v>3</v>
      </c>
      <c r="AW50" s="168">
        <f>COUNTIF( AV$7:AV50, AV50 )</f>
        <v>11</v>
      </c>
      <c r="AX50" s="208">
        <f t="shared" si="22"/>
        <v>4.0999999999999996</v>
      </c>
      <c r="AY50" s="168">
        <f t="shared" si="23"/>
        <v>13</v>
      </c>
      <c r="AZ50" s="169"/>
      <c r="BA50" s="169"/>
      <c r="BC50" s="168">
        <f t="shared" ca="1" si="24"/>
        <v>44</v>
      </c>
      <c r="BD50" s="209">
        <f t="shared" ca="1" si="6"/>
        <v>24</v>
      </c>
      <c r="BF50" s="173" t="str">
        <f t="shared" ca="1" si="25"/>
        <v>Hawaiian Electric Industries, Inc.</v>
      </c>
      <c r="BG50" s="173" t="str">
        <f t="shared" ca="1" si="25"/>
        <v>BBB-</v>
      </c>
      <c r="BH50" s="173">
        <f t="shared" ca="1" si="25"/>
        <v>17</v>
      </c>
      <c r="BI50" s="173" t="str">
        <f t="shared" ca="1" si="25"/>
        <v>HE</v>
      </c>
    </row>
    <row r="51" spans="1:61" ht="13.8" x14ac:dyDescent="0.25">
      <c r="A51" s="223" t="s">
        <v>301</v>
      </c>
      <c r="B51" s="224" t="s">
        <v>142</v>
      </c>
      <c r="C51" s="224">
        <v>17</v>
      </c>
      <c r="D51" s="224" t="s">
        <v>302</v>
      </c>
      <c r="E51" s="225" t="str">
        <f t="shared" ca="1" si="8"/>
        <v>R</v>
      </c>
      <c r="F51" s="348"/>
      <c r="G51" s="349">
        <f t="shared" ca="1" si="1"/>
        <v>36</v>
      </c>
      <c r="H51" s="350"/>
      <c r="I51" s="350"/>
      <c r="J51" s="191"/>
      <c r="K51" s="191"/>
      <c r="M51" s="351"/>
      <c r="N51" s="351"/>
      <c r="AF51" s="169">
        <f t="shared" si="2"/>
        <v>0</v>
      </c>
      <c r="AG51" s="169" t="str">
        <f t="shared" ca="1" si="3"/>
        <v/>
      </c>
      <c r="AH51" s="169">
        <f t="shared" ca="1" si="18"/>
        <v>1</v>
      </c>
      <c r="AJ51" s="169">
        <f t="shared" ca="1" si="19"/>
        <v>47</v>
      </c>
      <c r="AK51" s="169" t="str">
        <f t="shared" ca="1" si="20"/>
        <v>BBB</v>
      </c>
      <c r="AL51" s="169">
        <f t="shared" ca="1" si="20"/>
        <v>18</v>
      </c>
      <c r="AM51" s="169" t="str">
        <f t="shared" ca="1" si="4"/>
        <v>Change</v>
      </c>
      <c r="AQ51" s="207" t="s">
        <v>247</v>
      </c>
      <c r="AR51" s="207" t="s">
        <v>139</v>
      </c>
      <c r="AS51" s="207">
        <v>20</v>
      </c>
      <c r="AT51" s="207" t="s">
        <v>248</v>
      </c>
      <c r="AV51" s="168">
        <f t="shared" si="21"/>
        <v>3</v>
      </c>
      <c r="AW51" s="168">
        <f>COUNTIF( AV$7:AV51, AV51 )</f>
        <v>12</v>
      </c>
      <c r="AX51" s="208">
        <f t="shared" si="22"/>
        <v>4.2</v>
      </c>
      <c r="AY51" s="168">
        <f t="shared" si="23"/>
        <v>14</v>
      </c>
      <c r="AZ51" s="169"/>
      <c r="BA51" s="169"/>
      <c r="BC51" s="168">
        <f t="shared" ca="1" si="24"/>
        <v>45</v>
      </c>
      <c r="BD51" s="209">
        <f t="shared" ca="1" si="6"/>
        <v>33</v>
      </c>
      <c r="BF51" s="173" t="str">
        <f t="shared" ca="1" si="25"/>
        <v>PG&amp;E Corporation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PCG</v>
      </c>
    </row>
    <row r="52" spans="1:61" ht="13.8" x14ac:dyDescent="0.25">
      <c r="A52" s="223" t="s">
        <v>305</v>
      </c>
      <c r="B52" s="224" t="s">
        <v>142</v>
      </c>
      <c r="C52" s="224">
        <v>17</v>
      </c>
      <c r="D52" s="224" t="s">
        <v>306</v>
      </c>
      <c r="E52" s="225" t="str">
        <f t="shared" ca="1" si="8"/>
        <v>R</v>
      </c>
      <c r="F52" s="348"/>
      <c r="G52" s="349">
        <f t="shared" ca="1" si="1"/>
        <v>57</v>
      </c>
      <c r="H52" s="350"/>
      <c r="I52" s="350"/>
      <c r="J52" s="191"/>
      <c r="K52" s="191"/>
      <c r="AF52" s="169">
        <f t="shared" si="2"/>
        <v>0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51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251</v>
      </c>
      <c r="AR52" s="207" t="s">
        <v>139</v>
      </c>
      <c r="AS52" s="207">
        <v>20</v>
      </c>
      <c r="AT52" s="207" t="s">
        <v>252</v>
      </c>
      <c r="AV52" s="168">
        <f t="shared" si="21"/>
        <v>3</v>
      </c>
      <c r="AW52" s="168">
        <f>COUNTIF( AV$7:AV52, AV52 )</f>
        <v>13</v>
      </c>
      <c r="AX52" s="208">
        <f t="shared" si="22"/>
        <v>4.3</v>
      </c>
      <c r="AY52" s="168">
        <f t="shared" si="23"/>
        <v>15</v>
      </c>
      <c r="AZ52" s="169"/>
      <c r="BA52" s="169"/>
      <c r="BC52" s="168">
        <f t="shared" ca="1" si="24"/>
        <v>46</v>
      </c>
      <c r="BD52" s="209">
        <f t="shared" ca="1" si="6"/>
        <v>39</v>
      </c>
      <c r="BF52" s="173" t="str">
        <f t="shared" ca="1" si="25"/>
        <v>Puget Energy, Inc.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**PSD</v>
      </c>
    </row>
    <row r="53" spans="1:61" ht="13.8" x14ac:dyDescent="0.25">
      <c r="A53" s="223"/>
      <c r="B53" s="224"/>
      <c r="C53" s="224"/>
      <c r="D53" s="224"/>
      <c r="E53" s="225"/>
      <c r="F53" s="348"/>
      <c r="G53" s="349" t="str">
        <f t="shared" ca="1" si="1"/>
        <v/>
      </c>
      <c r="H53" s="350"/>
      <c r="I53" s="350"/>
      <c r="J53" s="191"/>
      <c r="K53" s="191"/>
      <c r="AF53" s="169">
        <f t="shared" si="2"/>
        <v>0</v>
      </c>
      <c r="AG53" s="169" t="str">
        <f t="shared" si="3"/>
        <v/>
      </c>
      <c r="AH53" s="169" t="str">
        <f t="shared" si="18"/>
        <v/>
      </c>
      <c r="AJ53" s="169" t="e">
        <f t="shared" ca="1" si="19"/>
        <v>#N/A</v>
      </c>
      <c r="AK53" s="169" t="str">
        <f t="shared" ca="1" si="20"/>
        <v/>
      </c>
      <c r="AL53" s="169" t="str">
        <f t="shared" ca="1" si="20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si="21"/>
        <v>99</v>
      </c>
      <c r="AW53" s="168">
        <f>COUNTIF( AV$7:AV53, AV53 )</f>
        <v>1</v>
      </c>
      <c r="AX53" s="208">
        <f t="shared" si="22"/>
        <v>99.1</v>
      </c>
      <c r="AY53" s="168">
        <f t="shared" si="23"/>
        <v>47</v>
      </c>
      <c r="AZ53" s="169"/>
      <c r="BA53" s="169"/>
      <c r="BC53" s="168">
        <f t="shared" ca="1" si="24"/>
        <v>47</v>
      </c>
      <c r="BD53" s="209">
        <f t="shared" ca="1" si="6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ht="13.8" x14ac:dyDescent="0.25">
      <c r="A54" s="223"/>
      <c r="B54" s="224"/>
      <c r="C54" s="224"/>
      <c r="D54" s="224"/>
      <c r="E54" s="225"/>
      <c r="F54" s="348"/>
      <c r="G54" s="349" t="str">
        <f t="shared" ca="1" si="1"/>
        <v/>
      </c>
      <c r="H54" s="350"/>
      <c r="I54" s="350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8"/>
        <v/>
      </c>
      <c r="AJ54" s="169" t="e">
        <f t="shared" ca="1" si="19"/>
        <v>#N/A</v>
      </c>
      <c r="AK54" s="169" t="str">
        <f t="shared" ca="1" si="20"/>
        <v/>
      </c>
      <c r="AL54" s="169" t="str">
        <f t="shared" ca="1" si="20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21"/>
        <v>99</v>
      </c>
      <c r="AW54" s="168">
        <f>COUNTIF( AV$7:AV54, AV54 )</f>
        <v>2</v>
      </c>
      <c r="AX54" s="208">
        <f t="shared" si="22"/>
        <v>99.2</v>
      </c>
      <c r="AY54" s="168">
        <f t="shared" si="23"/>
        <v>48</v>
      </c>
      <c r="AZ54" s="169"/>
      <c r="BA54" s="169"/>
      <c r="BC54" s="168">
        <f t="shared" ca="1" si="24"/>
        <v>48</v>
      </c>
      <c r="BD54" s="209">
        <f t="shared" ca="1" si="6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3.8" x14ac:dyDescent="0.25">
      <c r="A55" s="223"/>
      <c r="B55" s="224"/>
      <c r="C55" s="224"/>
      <c r="D55" s="224"/>
      <c r="E55" s="225"/>
      <c r="F55" s="348"/>
      <c r="G55" s="349" t="str">
        <f t="shared" ca="1" si="1"/>
        <v/>
      </c>
      <c r="H55" s="350"/>
      <c r="I55" s="350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8"/>
        <v/>
      </c>
      <c r="AJ55" s="169" t="e">
        <f t="shared" ca="1" si="19"/>
        <v>#N/A</v>
      </c>
      <c r="AK55" s="169" t="str">
        <f t="shared" ca="1" si="20"/>
        <v/>
      </c>
      <c r="AL55" s="169" t="str">
        <f t="shared" ca="1" si="20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1"/>
        <v>99</v>
      </c>
      <c r="AW55" s="168">
        <f>COUNTIF( AV$7:AV55, AV55 )</f>
        <v>3</v>
      </c>
      <c r="AX55" s="208">
        <f t="shared" si="22"/>
        <v>99.3</v>
      </c>
      <c r="AY55" s="168">
        <f t="shared" si="23"/>
        <v>49</v>
      </c>
      <c r="AZ55" s="169"/>
      <c r="BA55" s="169"/>
      <c r="BC55" s="168">
        <f t="shared" ca="1" si="24"/>
        <v>49</v>
      </c>
      <c r="BD55" s="209">
        <f t="shared" ca="1" si="6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3.8" x14ac:dyDescent="0.25">
      <c r="A56" s="223"/>
      <c r="B56" s="224"/>
      <c r="C56" s="224"/>
      <c r="D56" s="224"/>
      <c r="E56" s="225"/>
      <c r="F56" s="348"/>
      <c r="G56" s="349" t="str">
        <f t="shared" ca="1" si="1"/>
        <v/>
      </c>
      <c r="H56" s="350"/>
      <c r="I56" s="350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4</v>
      </c>
      <c r="AX56" s="208">
        <f t="shared" si="22"/>
        <v>99.4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8" x14ac:dyDescent="0.25">
      <c r="A57" s="223"/>
      <c r="B57" s="224"/>
      <c r="C57" s="224"/>
      <c r="D57" s="224"/>
      <c r="E57" s="225"/>
      <c r="F57" s="348"/>
      <c r="G57" s="349" t="str">
        <f t="shared" ca="1" si="1"/>
        <v/>
      </c>
      <c r="H57" s="350"/>
      <c r="I57" s="350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5</v>
      </c>
      <c r="AX57" s="208">
        <f t="shared" si="22"/>
        <v>99.5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8" x14ac:dyDescent="0.25">
      <c r="A58" s="223"/>
      <c r="B58" s="224"/>
      <c r="C58" s="224"/>
      <c r="D58" s="224"/>
      <c r="E58" s="225"/>
      <c r="F58" s="348"/>
      <c r="G58" s="349" t="str">
        <f t="shared" ca="1" si="1"/>
        <v/>
      </c>
      <c r="H58" s="350"/>
      <c r="I58" s="350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6</v>
      </c>
      <c r="AX58" s="208">
        <f t="shared" si="22"/>
        <v>99.6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8" x14ac:dyDescent="0.25">
      <c r="A59" s="223"/>
      <c r="B59" s="224"/>
      <c r="C59" s="224"/>
      <c r="D59" s="224"/>
      <c r="E59" s="225" t="str">
        <f t="shared" ca="1" si="8"/>
        <v/>
      </c>
      <c r="F59" s="348"/>
      <c r="G59" s="349" t="str">
        <f t="shared" ca="1" si="1"/>
        <v/>
      </c>
      <c r="H59" s="350"/>
      <c r="I59" s="350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7</v>
      </c>
      <c r="AX59" s="208">
        <f t="shared" si="22"/>
        <v>99.7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" thickBot="1" x14ac:dyDescent="0.3">
      <c r="A60" s="192"/>
      <c r="B60" s="193"/>
      <c r="C60" s="193"/>
      <c r="D60" s="193"/>
      <c r="E60" s="194" t="str">
        <f t="shared" ca="1" si="8"/>
        <v/>
      </c>
      <c r="F60" s="350"/>
      <c r="G60" s="353" t="str">
        <f t="shared" ca="1" si="1"/>
        <v/>
      </c>
      <c r="H60" s="350"/>
      <c r="I60" s="350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8</v>
      </c>
      <c r="AX60" s="208">
        <f t="shared" si="22"/>
        <v>99.8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8" x14ac:dyDescent="0.25">
      <c r="A61" s="226" t="s">
        <v>308</v>
      </c>
      <c r="B61" s="227" t="s">
        <v>162</v>
      </c>
      <c r="C61" s="227">
        <v>23</v>
      </c>
      <c r="D61" s="227" t="s">
        <v>309</v>
      </c>
      <c r="E61" s="228" t="str">
        <f t="shared" ca="1" si="8"/>
        <v>MR</v>
      </c>
      <c r="F61" s="354"/>
      <c r="G61" s="355">
        <f t="shared" ca="1" si="1"/>
        <v>30</v>
      </c>
      <c r="H61" s="350"/>
      <c r="I61" s="350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9</v>
      </c>
      <c r="AX61" s="208">
        <f t="shared" si="22"/>
        <v>99.9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8" x14ac:dyDescent="0.25">
      <c r="A62" s="223"/>
      <c r="B62" s="224"/>
      <c r="C62" s="224"/>
      <c r="D62" s="224"/>
      <c r="E62" s="225"/>
      <c r="F62" s="348"/>
      <c r="G62" s="349" t="str">
        <f t="shared" ca="1" si="1"/>
        <v/>
      </c>
      <c r="H62" s="350"/>
      <c r="I62" s="350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 t="e">
        <f t="shared" ca="1" si="19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10</v>
      </c>
      <c r="AX62" s="208">
        <f t="shared" si="22"/>
        <v>100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/>
      <c r="B63" s="229"/>
      <c r="C63" s="224"/>
      <c r="D63" s="224"/>
      <c r="E63" s="225"/>
      <c r="F63" s="348"/>
      <c r="G63" s="349"/>
      <c r="H63" s="350"/>
      <c r="I63" s="350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11</v>
      </c>
      <c r="AX63" s="208">
        <f t="shared" si="22"/>
        <v>100.1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/>
      <c r="B64" s="229"/>
      <c r="C64" s="224"/>
      <c r="D64" s="224"/>
      <c r="E64" s="225"/>
      <c r="F64" s="348"/>
      <c r="G64" s="349"/>
      <c r="H64" s="350"/>
      <c r="I64" s="350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308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58" ht="13.8" x14ac:dyDescent="0.25">
      <c r="A65" s="223"/>
      <c r="B65" s="229"/>
      <c r="C65" s="224"/>
      <c r="D65" s="224"/>
      <c r="E65" s="225"/>
      <c r="F65" s="348"/>
      <c r="G65" s="349"/>
      <c r="H65" s="350"/>
      <c r="I65" s="350"/>
      <c r="N65" s="168" t="s">
        <v>310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3.8" x14ac:dyDescent="0.25">
      <c r="A66" s="195"/>
      <c r="B66" s="196"/>
      <c r="C66" s="185"/>
      <c r="D66" s="185"/>
      <c r="E66" s="182"/>
      <c r="F66" s="350"/>
      <c r="H66" s="350"/>
      <c r="I66" s="350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50"/>
      <c r="H67" s="350"/>
      <c r="I67" s="350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8" x14ac:dyDescent="0.25">
      <c r="A68" s="200" t="s">
        <v>311</v>
      </c>
      <c r="B68" s="189" t="str">
        <f ca="1">OFFSET( Scale!$H$5, ROUND( C68, 0 ) - 1, 1 )</f>
        <v>BBB+</v>
      </c>
      <c r="C68" s="201">
        <f>AVERAGE(C7:C65)</f>
        <v>19.085106382978722</v>
      </c>
      <c r="D68" s="201"/>
      <c r="E68" s="201"/>
      <c r="F68" s="350"/>
      <c r="H68" s="350"/>
      <c r="I68" s="350"/>
      <c r="J68" s="351"/>
      <c r="K68" s="351"/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50"/>
      <c r="H69" s="350"/>
      <c r="I69" s="350"/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1"/>
      <c r="K70" s="351"/>
    </row>
    <row r="71" spans="1:58" x14ac:dyDescent="0.25">
      <c r="A71" s="203" t="s">
        <v>312</v>
      </c>
      <c r="F71" s="173"/>
      <c r="H71" s="173"/>
      <c r="I71" s="173"/>
    </row>
    <row r="72" spans="1:58" x14ac:dyDescent="0.25">
      <c r="A72" s="203" t="s">
        <v>313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314</v>
      </c>
      <c r="B73" s="173"/>
      <c r="D73" s="173"/>
      <c r="E73" s="173"/>
      <c r="F73" s="204"/>
      <c r="H73" s="204"/>
      <c r="I73" s="204"/>
    </row>
    <row r="74" spans="1:58" x14ac:dyDescent="0.25">
      <c r="A74" s="203" t="s">
        <v>315</v>
      </c>
      <c r="D74" s="204"/>
      <c r="F74" s="206"/>
      <c r="H74" s="206"/>
      <c r="I74" s="206"/>
      <c r="AQ74" s="207"/>
      <c r="AR74" s="207"/>
      <c r="AS74" s="207"/>
    </row>
    <row r="75" spans="1:58" x14ac:dyDescent="0.25">
      <c r="A75" s="203" t="s">
        <v>316</v>
      </c>
      <c r="D75" s="204"/>
      <c r="F75" s="206"/>
      <c r="H75" s="206"/>
      <c r="I75" s="206"/>
      <c r="AQ75" s="207"/>
      <c r="AR75" s="207"/>
      <c r="AS75" s="207"/>
    </row>
    <row r="76" spans="1:58" x14ac:dyDescent="0.25">
      <c r="A76" s="203"/>
      <c r="AQ76" s="207"/>
      <c r="AR76" s="207"/>
      <c r="AS76" s="207"/>
    </row>
    <row r="77" spans="1:58" x14ac:dyDescent="0.25">
      <c r="C77" s="190">
        <f>SUMPRODUCT( L8:L13, Y8:Y13 ) / L14</f>
        <v>19.021276595744681</v>
      </c>
      <c r="E77" s="191"/>
      <c r="G77" s="353"/>
      <c r="J77" s="173"/>
      <c r="K77" s="173"/>
      <c r="AQ77" s="207"/>
      <c r="AR77" s="207"/>
      <c r="AS77" s="207"/>
    </row>
    <row r="78" spans="1:58" s="173" customFormat="1" ht="13.8" x14ac:dyDescent="0.2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ref="AQ7:AT52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091" priority="31" stopIfTrue="1">
      <formula>IF( $AH7 = 1, TRUE, FALSE )</formula>
    </cfRule>
    <cfRule type="expression" dxfId="1090" priority="32" stopIfTrue="1">
      <formula>IF( $AG7 = 1, TRUE, FALSE )</formula>
    </cfRule>
    <cfRule type="expression" dxfId="1089" priority="33" stopIfTrue="1">
      <formula>IF( $AF7 = 1, TRUE, FALSE )</formula>
    </cfRule>
  </conditionalFormatting>
  <conditionalFormatting sqref="A67:E67">
    <cfRule type="expression" dxfId="1088" priority="34" stopIfTrue="1">
      <formula>IF( $AH67 = 1, TRUE, FALSE )</formula>
    </cfRule>
    <cfRule type="expression" dxfId="1087" priority="35" stopIfTrue="1">
      <formula>IF( $AG67 = 1, TRUE, FALSE )</formula>
    </cfRule>
    <cfRule type="expression" dxfId="1086" priority="36" stopIfTrue="1">
      <formula>IF( $AF67 = 1, TRUE, FALSE )</formula>
    </cfRule>
  </conditionalFormatting>
  <conditionalFormatting sqref="A66:E66">
    <cfRule type="expression" dxfId="1085" priority="28" stopIfTrue="1">
      <formula>IF( $AH66 = 1, TRUE, FALSE )</formula>
    </cfRule>
    <cfRule type="expression" dxfId="1084" priority="29" stopIfTrue="1">
      <formula>IF( $AG66 = 1, TRUE, FALSE )</formula>
    </cfRule>
    <cfRule type="expression" dxfId="1083" priority="30" stopIfTrue="1">
      <formula>IF( $AF66 = 1, TRUE, FALSE )</formula>
    </cfRule>
  </conditionalFormatting>
  <conditionalFormatting sqref="A8:D33 B7:D7 A35:D58">
    <cfRule type="expression" dxfId="1082" priority="25" stopIfTrue="1">
      <formula>IF( $AH7 = 1, TRUE, FALSE )</formula>
    </cfRule>
    <cfRule type="expression" dxfId="1081" priority="26" stopIfTrue="1">
      <formula>IF( $AG7 = 1, TRUE, FALSE )</formula>
    </cfRule>
    <cfRule type="expression" dxfId="1080" priority="27" stopIfTrue="1">
      <formula>IF( $AF7 = 1, TRUE, FALSE )</formula>
    </cfRule>
  </conditionalFormatting>
  <conditionalFormatting sqref="A59:D59">
    <cfRule type="expression" dxfId="1079" priority="22" stopIfTrue="1">
      <formula>IF( $AH59 = 1, TRUE, FALSE )</formula>
    </cfRule>
    <cfRule type="expression" dxfId="1078" priority="23" stopIfTrue="1">
      <formula>IF( $AG59 = 1, TRUE, FALSE )</formula>
    </cfRule>
    <cfRule type="expression" dxfId="1077" priority="24" stopIfTrue="1">
      <formula>IF( $AF59 = 1, TRUE, FALSE )</formula>
    </cfRule>
  </conditionalFormatting>
  <conditionalFormatting sqref="A61:D65">
    <cfRule type="expression" dxfId="1076" priority="19" stopIfTrue="1">
      <formula>IF( $AH61 = 1, TRUE, FALSE )</formula>
    </cfRule>
    <cfRule type="expression" dxfId="1075" priority="20" stopIfTrue="1">
      <formula>IF( $AG61 = 1, TRUE, FALSE )</formula>
    </cfRule>
    <cfRule type="expression" dxfId="1074" priority="21" stopIfTrue="1">
      <formula>IF( $AF61 = 1, TRUE, FALSE )</formula>
    </cfRule>
  </conditionalFormatting>
  <conditionalFormatting sqref="U8:U12">
    <cfRule type="cellIs" dxfId="1073" priority="18" operator="equal">
      <formula>0</formula>
    </cfRule>
  </conditionalFormatting>
  <conditionalFormatting sqref="O8:O12 Q8:Q12">
    <cfRule type="cellIs" dxfId="1072" priority="17" operator="equal">
      <formula>0</formula>
    </cfRule>
  </conditionalFormatting>
  <conditionalFormatting sqref="V8:V12">
    <cfRule type="cellIs" dxfId="1071" priority="16" operator="equal">
      <formula>0</formula>
    </cfRule>
  </conditionalFormatting>
  <conditionalFormatting sqref="S8:S12">
    <cfRule type="cellIs" dxfId="1070" priority="14" operator="equal">
      <formula>0</formula>
    </cfRule>
  </conditionalFormatting>
  <conditionalFormatting sqref="R8:R12">
    <cfRule type="cellIs" dxfId="1069" priority="15" operator="equal">
      <formula>0</formula>
    </cfRule>
  </conditionalFormatting>
  <conditionalFormatting sqref="P8:P12">
    <cfRule type="cellIs" dxfId="1068" priority="13" operator="equal">
      <formula>0</formula>
    </cfRule>
  </conditionalFormatting>
  <conditionalFormatting sqref="M8:M12">
    <cfRule type="cellIs" dxfId="1067" priority="12" operator="equal">
      <formula>0</formula>
    </cfRule>
  </conditionalFormatting>
  <conditionalFormatting sqref="T8:T12">
    <cfRule type="cellIs" dxfId="1066" priority="11" operator="equal">
      <formula>0</formula>
    </cfRule>
  </conditionalFormatting>
  <conditionalFormatting sqref="N8:N12">
    <cfRule type="cellIs" dxfId="1065" priority="10" operator="equal">
      <formula>0</formula>
    </cfRule>
  </conditionalFormatting>
  <conditionalFormatting sqref="K8:K12">
    <cfRule type="cellIs" dxfId="1064" priority="9" operator="equal">
      <formula>0</formula>
    </cfRule>
  </conditionalFormatting>
  <conditionalFormatting sqref="I8:I12">
    <cfRule type="cellIs" dxfId="1063" priority="8" operator="equal">
      <formula>0</formula>
    </cfRule>
  </conditionalFormatting>
  <conditionalFormatting sqref="W8:W12">
    <cfRule type="cellIs" dxfId="1062" priority="7" operator="equal">
      <formula>0</formula>
    </cfRule>
  </conditionalFormatting>
  <conditionalFormatting sqref="A7">
    <cfRule type="expression" dxfId="1061" priority="4" stopIfTrue="1">
      <formula>IF( $AH7 = 1, TRUE, FALSE )</formula>
    </cfRule>
    <cfRule type="expression" dxfId="1060" priority="5" stopIfTrue="1">
      <formula>IF( $AG7 = 1, TRUE, FALSE )</formula>
    </cfRule>
    <cfRule type="expression" dxfId="1059" priority="6" stopIfTrue="1">
      <formula>IF( $AF7 = 1, TRUE, FALSE )</formula>
    </cfRule>
  </conditionalFormatting>
  <conditionalFormatting sqref="A34:D34">
    <cfRule type="expression" dxfId="1058" priority="1" stopIfTrue="1">
      <formula>IF( $AH34 = 1, TRUE, FALSE )</formula>
    </cfRule>
    <cfRule type="expression" dxfId="1057" priority="2" stopIfTrue="1">
      <formula>IF( $AG34 = 1, TRUE, FALSE )</formula>
    </cfRule>
    <cfRule type="expression" dxfId="1056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92D050"/>
    <pageSetUpPr fitToPage="1"/>
  </sheetPr>
  <dimension ref="C1:X19"/>
  <sheetViews>
    <sheetView showGridLines="0" zoomScale="90" zoomScaleNormal="90" workbookViewId="0"/>
  </sheetViews>
  <sheetFormatPr defaultColWidth="9.109375" defaultRowHeight="13.2" x14ac:dyDescent="0.25"/>
  <cols>
    <col min="1" max="2" width="2.6640625" customWidth="1"/>
    <col min="3" max="3" width="25.109375" customWidth="1"/>
    <col min="9" max="10" width="8.44140625" customWidth="1"/>
  </cols>
  <sheetData>
    <row r="1" spans="3:24" ht="17.399999999999999" x14ac:dyDescent="0.3">
      <c r="C1" s="12" t="s">
        <v>104</v>
      </c>
    </row>
    <row r="2" spans="3:24" ht="17.399999999999999" x14ac:dyDescent="0.3">
      <c r="C2" s="12"/>
    </row>
    <row r="3" spans="3:24" ht="17.399999999999999" x14ac:dyDescent="0.3">
      <c r="C3" s="12"/>
    </row>
    <row r="5" spans="3:24" x14ac:dyDescent="0.25">
      <c r="C5" s="378" t="s">
        <v>105</v>
      </c>
      <c r="D5" s="378"/>
      <c r="E5" s="378"/>
      <c r="F5" s="378"/>
      <c r="G5" s="379"/>
      <c r="H5" s="379"/>
      <c r="I5" s="379"/>
    </row>
    <row r="6" spans="3:24" x14ac:dyDescent="0.25">
      <c r="C6" s="31"/>
      <c r="D6" s="31"/>
      <c r="E6" s="31"/>
      <c r="F6" s="31"/>
      <c r="G6" s="31"/>
      <c r="H6" s="31"/>
      <c r="I6" s="31"/>
    </row>
    <row r="7" spans="3:24" x14ac:dyDescent="0.25">
      <c r="C7" s="377" t="s">
        <v>106</v>
      </c>
      <c r="D7" s="377"/>
      <c r="E7" s="377"/>
      <c r="F7" s="377"/>
      <c r="G7" s="32"/>
      <c r="H7" s="32"/>
      <c r="I7" s="31"/>
    </row>
    <row r="8" spans="3:24" x14ac:dyDescent="0.25">
      <c r="C8" s="31"/>
      <c r="D8" s="31"/>
      <c r="E8" s="31"/>
      <c r="F8" s="31"/>
      <c r="G8" s="31"/>
      <c r="H8" s="31"/>
      <c r="I8" s="31"/>
    </row>
    <row r="9" spans="3:24" x14ac:dyDescent="0.25">
      <c r="C9" s="30" t="s">
        <v>107</v>
      </c>
      <c r="D9" s="34">
        <v>2002</v>
      </c>
      <c r="E9" s="34">
        <v>2003</v>
      </c>
      <c r="F9" s="34">
        <v>2004</v>
      </c>
      <c r="G9" s="34">
        <v>2005</v>
      </c>
      <c r="H9" s="34">
        <v>2006</v>
      </c>
      <c r="I9" s="34">
        <v>2007</v>
      </c>
      <c r="J9" s="34">
        <v>2008</v>
      </c>
      <c r="K9" s="34">
        <v>2009</v>
      </c>
      <c r="L9" s="34">
        <v>2010</v>
      </c>
      <c r="M9" s="34">
        <v>2011</v>
      </c>
      <c r="N9" s="34">
        <v>2012</v>
      </c>
      <c r="O9" s="34">
        <v>2013</v>
      </c>
      <c r="P9" s="34">
        <v>2014</v>
      </c>
      <c r="Q9" s="34">
        <v>2015</v>
      </c>
      <c r="R9" s="34">
        <v>2016</v>
      </c>
      <c r="S9" s="34">
        <v>2017</v>
      </c>
      <c r="T9" s="34">
        <v>2018</v>
      </c>
      <c r="U9" s="34">
        <v>2019</v>
      </c>
      <c r="V9" s="34">
        <v>2020</v>
      </c>
      <c r="W9" s="34">
        <v>2021</v>
      </c>
      <c r="X9" s="34">
        <v>2022</v>
      </c>
    </row>
    <row r="10" spans="3:24" x14ac:dyDescent="0.25">
      <c r="C10" s="31"/>
      <c r="D10" s="34"/>
      <c r="E10" s="34"/>
      <c r="F10" s="34"/>
      <c r="G10" s="31"/>
      <c r="H10" s="31"/>
      <c r="I10" s="31"/>
      <c r="J10" s="31"/>
      <c r="K10" s="31"/>
    </row>
    <row r="11" spans="3:24" x14ac:dyDescent="0.25">
      <c r="C11" s="306" t="s">
        <v>108</v>
      </c>
      <c r="D11" s="302">
        <v>57</v>
      </c>
      <c r="E11" s="302">
        <v>62</v>
      </c>
      <c r="F11" s="302">
        <v>34</v>
      </c>
      <c r="G11" s="302">
        <v>22</v>
      </c>
      <c r="H11" s="302">
        <v>31</v>
      </c>
      <c r="I11" s="302">
        <v>41</v>
      </c>
      <c r="J11" s="302">
        <v>17</v>
      </c>
      <c r="K11" s="302">
        <v>14</v>
      </c>
      <c r="L11" s="302">
        <v>24</v>
      </c>
      <c r="M11" s="302">
        <f ca="1">'II. Upgrades &amp; Downgrades'!AS50</f>
        <v>25</v>
      </c>
      <c r="N11" s="302">
        <f ca="1">'II. Upgrades &amp; Downgrades'!AW50</f>
        <v>26</v>
      </c>
      <c r="O11" s="302">
        <f ca="1">'II. Upgrades &amp; Downgrades'!BA50</f>
        <v>23</v>
      </c>
      <c r="P11" s="302">
        <f ca="1">'II. Upgrades &amp; Downgrades'!BE50</f>
        <v>14</v>
      </c>
      <c r="Q11" s="302">
        <f ca="1">'II. Upgrades &amp; Downgrades'!BI50</f>
        <v>11</v>
      </c>
      <c r="R11" s="302">
        <f ca="1">'II. Upgrades &amp; Downgrades'!BM50</f>
        <v>16</v>
      </c>
      <c r="S11" s="302">
        <f ca="1">'II. Upgrades &amp; Downgrades'!BQ50</f>
        <v>15</v>
      </c>
      <c r="T11" s="302">
        <f ca="1">'II. Upgrades &amp; Downgrades'!BU50</f>
        <v>33</v>
      </c>
      <c r="U11" s="302">
        <f ca="1">'II. Upgrades &amp; Downgrades'!BY50</f>
        <v>36</v>
      </c>
      <c r="V11" s="302">
        <f ca="1">'II. Upgrades &amp; Downgrades'!CC50</f>
        <v>24</v>
      </c>
      <c r="W11" s="302">
        <v>6</v>
      </c>
      <c r="X11" s="376">
        <v>7</v>
      </c>
    </row>
    <row r="12" spans="3:24" x14ac:dyDescent="0.25">
      <c r="C12" s="305" t="s">
        <v>109</v>
      </c>
      <c r="D12" s="299">
        <v>118</v>
      </c>
      <c r="E12" s="299">
        <v>79</v>
      </c>
      <c r="F12" s="299">
        <v>42</v>
      </c>
      <c r="G12" s="299">
        <v>46</v>
      </c>
      <c r="H12" s="299">
        <v>39</v>
      </c>
      <c r="I12" s="299">
        <v>32</v>
      </c>
      <c r="J12" s="299">
        <v>6</v>
      </c>
      <c r="K12" s="299">
        <v>23</v>
      </c>
      <c r="L12" s="299">
        <v>20</v>
      </c>
      <c r="M12" s="299">
        <f ca="1">'II. Upgrades &amp; Downgrades'!AS51</f>
        <v>11</v>
      </c>
      <c r="N12" s="299">
        <f ca="1">'II. Upgrades &amp; Downgrades'!AW51</f>
        <v>20</v>
      </c>
      <c r="O12" s="299">
        <f ca="1">'II. Upgrades &amp; Downgrades'!BA51</f>
        <v>17</v>
      </c>
      <c r="P12" s="299">
        <f ca="1">'II. Upgrades &amp; Downgrades'!BE51</f>
        <v>85</v>
      </c>
      <c r="Q12" s="299">
        <f ca="1">'II. Upgrades &amp; Downgrades'!BI51</f>
        <v>12</v>
      </c>
      <c r="R12" s="299">
        <f ca="1">'II. Upgrades &amp; Downgrades'!BM51</f>
        <v>13</v>
      </c>
      <c r="S12" s="299">
        <f ca="1">'II. Upgrades &amp; Downgrades'!BQ51</f>
        <v>12</v>
      </c>
      <c r="T12" s="299">
        <f ca="1">'II. Upgrades &amp; Downgrades'!BU51</f>
        <v>23</v>
      </c>
      <c r="U12" s="299">
        <f ca="1">'II. Upgrades &amp; Downgrades'!BY51</f>
        <v>20</v>
      </c>
      <c r="V12" s="299">
        <f ca="1">'II. Upgrades &amp; Downgrades'!CC51</f>
        <v>12</v>
      </c>
      <c r="W12" s="299">
        <v>12</v>
      </c>
      <c r="X12" s="299">
        <v>1</v>
      </c>
    </row>
    <row r="13" spans="3:24" x14ac:dyDescent="0.25">
      <c r="C13" s="307" t="s">
        <v>110</v>
      </c>
      <c r="D13" s="304">
        <v>125</v>
      </c>
      <c r="E13" s="304">
        <v>112</v>
      </c>
      <c r="F13" s="304">
        <v>34</v>
      </c>
      <c r="G13" s="304">
        <v>53</v>
      </c>
      <c r="H13" s="304">
        <v>40</v>
      </c>
      <c r="I13" s="304">
        <v>48</v>
      </c>
      <c r="J13" s="304">
        <v>27</v>
      </c>
      <c r="K13" s="304">
        <v>20</v>
      </c>
      <c r="L13" s="304">
        <v>36</v>
      </c>
      <c r="M13" s="304">
        <f ca="1">'II. Upgrades &amp; Downgrades'!AS52</f>
        <v>24</v>
      </c>
      <c r="N13" s="304">
        <f ca="1">'II. Upgrades &amp; Downgrades'!AW52</f>
        <v>30</v>
      </c>
      <c r="O13" s="304">
        <f ca="1">'II. Upgrades &amp; Downgrades'!BA52</f>
        <v>40</v>
      </c>
      <c r="P13" s="304">
        <f ca="1">'II. Upgrades &amp; Downgrades'!BE52</f>
        <v>7</v>
      </c>
      <c r="Q13" s="304">
        <f ca="1">'II. Upgrades &amp; Downgrades'!BI52</f>
        <v>27</v>
      </c>
      <c r="R13" s="304">
        <f ca="1">'II. Upgrades &amp; Downgrades'!BM52</f>
        <v>38</v>
      </c>
      <c r="S13" s="304">
        <f ca="1">'II. Upgrades &amp; Downgrades'!BQ52</f>
        <v>25</v>
      </c>
      <c r="T13" s="304">
        <f ca="1">'II. Upgrades &amp; Downgrades'!BU52</f>
        <v>37</v>
      </c>
      <c r="U13" s="304">
        <f ca="1">'II. Upgrades &amp; Downgrades'!BY52</f>
        <v>34</v>
      </c>
      <c r="V13" s="304">
        <f ca="1">'II. Upgrades &amp; Downgrades'!CC52</f>
        <v>23</v>
      </c>
      <c r="W13" s="304">
        <v>34</v>
      </c>
      <c r="X13" s="304">
        <v>0</v>
      </c>
    </row>
    <row r="14" spans="3:24" s="11" customFormat="1" x14ac:dyDescent="0.25">
      <c r="C14" s="300" t="s">
        <v>111</v>
      </c>
      <c r="D14" s="300">
        <f t="shared" ref="D14:J14" si="0">SUM(D11:D13)</f>
        <v>300</v>
      </c>
      <c r="E14" s="300">
        <f t="shared" si="0"/>
        <v>253</v>
      </c>
      <c r="F14" s="300">
        <f t="shared" si="0"/>
        <v>110</v>
      </c>
      <c r="G14" s="300">
        <f t="shared" si="0"/>
        <v>121</v>
      </c>
      <c r="H14" s="300">
        <f t="shared" si="0"/>
        <v>110</v>
      </c>
      <c r="I14" s="300">
        <f t="shared" si="0"/>
        <v>121</v>
      </c>
      <c r="J14" s="300">
        <f t="shared" si="0"/>
        <v>50</v>
      </c>
      <c r="K14" s="300">
        <f t="shared" ref="K14:T14" si="1">SUM(K11:K13)</f>
        <v>57</v>
      </c>
      <c r="L14" s="300">
        <f t="shared" si="1"/>
        <v>80</v>
      </c>
      <c r="M14" s="300">
        <f t="shared" ca="1" si="1"/>
        <v>60</v>
      </c>
      <c r="N14" s="300">
        <f t="shared" ca="1" si="1"/>
        <v>76</v>
      </c>
      <c r="O14" s="300">
        <f t="shared" ca="1" si="1"/>
        <v>80</v>
      </c>
      <c r="P14" s="300">
        <f t="shared" ref="P14:R14" ca="1" si="2">SUM(P11:P13)</f>
        <v>106</v>
      </c>
      <c r="Q14" s="300">
        <f t="shared" ca="1" si="2"/>
        <v>50</v>
      </c>
      <c r="R14" s="300">
        <f t="shared" ca="1" si="2"/>
        <v>67</v>
      </c>
      <c r="S14" s="300">
        <f t="shared" ref="S14" ca="1" si="3">SUM(S11:S13)</f>
        <v>52</v>
      </c>
      <c r="T14" s="300">
        <f t="shared" ca="1" si="1"/>
        <v>93</v>
      </c>
      <c r="U14" s="300">
        <f ca="1">'II. Upgrades &amp; Downgrades'!BY53</f>
        <v>90</v>
      </c>
      <c r="V14" s="300">
        <f ca="1">'II. Upgrades &amp; Downgrades'!CC53</f>
        <v>59</v>
      </c>
      <c r="W14" s="300">
        <f t="shared" ref="W14:X14" ca="1" si="4">SUM(W11:W13)</f>
        <v>52</v>
      </c>
      <c r="X14" s="300">
        <f t="shared" ca="1" si="4"/>
        <v>8</v>
      </c>
    </row>
    <row r="15" spans="3:24" x14ac:dyDescent="0.25">
      <c r="C15" s="31"/>
      <c r="D15" s="31"/>
      <c r="E15" s="31"/>
      <c r="F15" s="31"/>
      <c r="G15" s="31"/>
      <c r="H15" s="31"/>
      <c r="I15" s="31"/>
    </row>
    <row r="16" spans="3:24" x14ac:dyDescent="0.25">
      <c r="C16" s="30" t="s">
        <v>2</v>
      </c>
      <c r="D16" s="31"/>
      <c r="E16" s="31"/>
      <c r="F16" s="31"/>
      <c r="G16" s="31"/>
      <c r="H16" s="31"/>
      <c r="I16" s="31"/>
    </row>
    <row r="17" spans="3:9" x14ac:dyDescent="0.25">
      <c r="C17" s="9"/>
      <c r="D17" s="31"/>
      <c r="E17" s="31"/>
      <c r="F17" s="31"/>
      <c r="G17" s="31"/>
      <c r="H17" s="31"/>
      <c r="I17" s="31"/>
    </row>
    <row r="18" spans="3:9" x14ac:dyDescent="0.25">
      <c r="C18" s="31"/>
      <c r="D18" s="31"/>
      <c r="E18" s="31"/>
      <c r="F18" s="31"/>
      <c r="G18" s="31"/>
      <c r="H18" s="31"/>
      <c r="I18" s="31"/>
    </row>
    <row r="19" spans="3:9" x14ac:dyDescent="0.25">
      <c r="C19" s="31"/>
      <c r="D19" s="31"/>
      <c r="E19" s="31"/>
      <c r="F19" s="31"/>
      <c r="G19" s="31"/>
      <c r="H19" s="31"/>
      <c r="I19" s="31"/>
    </row>
  </sheetData>
  <mergeCells count="2">
    <mergeCell ref="C7:F7"/>
    <mergeCell ref="C5:I5"/>
  </mergeCells>
  <phoneticPr fontId="3" type="noConversion"/>
  <pageMargins left="0.75" right="0.75" top="1" bottom="1" header="0.5" footer="0.5"/>
  <pageSetup scale="63" orientation="landscape" horizontalDpi="1200" verticalDpi="12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hidden="1" customWidth="1" outlineLevel="1"/>
    <col min="23" max="23" width="2" style="168" hidden="1" customWidth="1" outlineLevel="1"/>
    <col min="24" max="24" width="4.109375" style="168" customWidth="1" collapsed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15.88671875" style="169" hidden="1" customWidth="1" outlineLevel="1" collapsed="1"/>
    <col min="37" max="38" width="15.88671875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-- 2018 Q3</v>
      </c>
      <c r="G1" s="175" t="s">
        <v>195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 x14ac:dyDescent="0.25">
      <c r="A2" s="167"/>
      <c r="E2" s="171" t="str">
        <f>G2</f>
        <v>Reg_Percent_2017</v>
      </c>
      <c r="G2" s="172" t="s">
        <v>343</v>
      </c>
      <c r="AJ2" s="173" t="str">
        <f>AJ4 &amp; AJ3</f>
        <v>'Credit_2018Q2'!d:d</v>
      </c>
      <c r="AK2" s="173" t="str">
        <f>AK4 &amp; AK3</f>
        <v>'Credit_2018Q2'!b1</v>
      </c>
      <c r="AL2" s="173" t="str">
        <f>AL4 &amp; AL3</f>
        <v>'Credit_2018Q2'!c1</v>
      </c>
      <c r="AQ2" s="169"/>
    </row>
    <row r="3" spans="1:61" ht="18" hidden="1" outlineLevel="1" x14ac:dyDescent="0.25">
      <c r="A3" s="167"/>
      <c r="E3" s="174" t="str">
        <f>"'" &amp; E2 &amp; "'!"</f>
        <v>'Reg_Percent_2017'!</v>
      </c>
      <c r="G3" s="168" t="str">
        <f>"'" &amp; G2 &amp; "'!"</f>
        <v>'Reg_Percent_2017'!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205</v>
      </c>
      <c r="AK3" s="149" t="s">
        <v>206</v>
      </c>
      <c r="AL3" s="149" t="s">
        <v>207</v>
      </c>
      <c r="AQ3" s="169"/>
    </row>
    <row r="4" spans="1:61" ht="18" hidden="1" outlineLevel="1" x14ac:dyDescent="0.25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>$AQ$5</f>
        <v>'Credit_2018Q2'!</v>
      </c>
      <c r="AK4" s="169" t="str">
        <f t="shared" ref="AK4:AL4" si="0">$AQ$5</f>
        <v>'Credit_2018Q2'!</v>
      </c>
      <c r="AL4" s="169" t="str">
        <f t="shared" si="0"/>
        <v>'Credit_2018Q2'!</v>
      </c>
      <c r="AQ4" s="169"/>
    </row>
    <row r="5" spans="1:61" ht="13.8" collapsed="1" x14ac:dyDescent="0.25">
      <c r="E5" s="176" t="s">
        <v>209</v>
      </c>
      <c r="G5" s="170" t="s">
        <v>199</v>
      </c>
      <c r="I5" s="230"/>
      <c r="J5" s="389" t="s">
        <v>210</v>
      </c>
      <c r="K5" s="230"/>
      <c r="L5" s="391" t="str">
        <f>"All Companies" &amp; CHAR( 10 ) &amp; "("&amp; L14 &amp; ")"</f>
        <v>All Companies
(47)</v>
      </c>
      <c r="M5" s="391"/>
      <c r="N5" s="230"/>
      <c r="O5" s="389" t="str">
        <f ca="1">"Regulated" &amp; CHAR( 10 ) &amp; "(" &amp; O14 &amp; ")"</f>
        <v>Regulated
(34)</v>
      </c>
      <c r="P5" s="393"/>
      <c r="Q5" s="230"/>
      <c r="R5" s="389" t="str">
        <f ca="1">"Mostly Regulated" &amp; CHAR( 10 ) &amp; "(" &amp; R14 &amp; ")"</f>
        <v>Mostly Regulated
(13)</v>
      </c>
      <c r="S5" s="393"/>
      <c r="T5" s="230"/>
      <c r="U5" s="389" t="str">
        <f ca="1">"Diversified" &amp; CHAR( 10 ) &amp; "(" &amp; U14 &amp; ")"</f>
        <v>Diversified
(0)</v>
      </c>
      <c r="V5" s="393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349</v>
      </c>
    </row>
    <row r="6" spans="1:61" ht="28.5" customHeight="1" x14ac:dyDescent="0.25">
      <c r="A6" s="219" t="s">
        <v>212</v>
      </c>
      <c r="B6" s="220" t="s">
        <v>74</v>
      </c>
      <c r="C6" s="249" t="s">
        <v>214</v>
      </c>
      <c r="D6" s="221"/>
      <c r="E6" s="222">
        <f ca="1">INDIRECT( E3 &amp; G1 )</f>
        <v>43100</v>
      </c>
      <c r="I6" s="231"/>
      <c r="J6" s="390"/>
      <c r="K6" s="231"/>
      <c r="L6" s="392"/>
      <c r="M6" s="392"/>
      <c r="N6" s="231"/>
      <c r="O6" s="390"/>
      <c r="P6" s="390"/>
      <c r="Q6" s="231"/>
      <c r="R6" s="390" t="s">
        <v>136</v>
      </c>
      <c r="S6" s="390"/>
      <c r="T6" s="231"/>
      <c r="U6" s="390"/>
      <c r="V6" s="390"/>
      <c r="W6" s="231"/>
      <c r="AE6" s="178"/>
      <c r="AJ6" s="179"/>
    </row>
    <row r="7" spans="1:61" ht="13.8" x14ac:dyDescent="0.25">
      <c r="A7" s="223" t="s">
        <v>235</v>
      </c>
      <c r="B7" s="224" t="s">
        <v>164</v>
      </c>
      <c r="C7" s="224">
        <v>22</v>
      </c>
      <c r="D7" s="224" t="s">
        <v>236</v>
      </c>
      <c r="E7" s="225" t="str">
        <f ca="1">IF( LEN( $G7 ) = 0, "", OFFSET( INDIRECT( E$3 &amp; E$4 ), $G7 - 1, 0 ) )</f>
        <v>R</v>
      </c>
      <c r="F7" s="348"/>
      <c r="G7" s="349">
        <f t="shared" ref="G7:G62" ca="1" si="1">IF( LEN( $D7 ) = 0, "", MATCH( $D7, INDIRECT( G$3 &amp; G$4 ), 0 ) )</f>
        <v>24</v>
      </c>
      <c r="H7" s="350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A+</v>
      </c>
      <c r="AL7" s="169">
        <f ca="1">IF( ISNA( $AJ7 ), "", OFFSET( INDIRECT( AL$2 ), $AJ7-1, 0 ) )</f>
        <v>22</v>
      </c>
      <c r="AM7" s="169" t="str">
        <f t="shared" ref="AM7:AM67" ca="1" si="4">IF( B7 = AK7, "", "Change" )</f>
        <v/>
      </c>
      <c r="AQ7" s="207" t="s">
        <v>217</v>
      </c>
      <c r="AR7" s="207" t="s">
        <v>140</v>
      </c>
      <c r="AS7" s="207">
        <v>19</v>
      </c>
      <c r="AT7" s="207" t="s">
        <v>218</v>
      </c>
      <c r="AV7" s="168">
        <f>IF( LEN( AS7 ) = 0, 99, RANK( AS7, $AS$7:$AS$63 ) )</f>
        <v>16</v>
      </c>
      <c r="AW7" s="168">
        <f>COUNTIF( AV7:AV$7, AV7 )</f>
        <v>1</v>
      </c>
      <c r="AX7" s="208">
        <f>AV7 + AW7 / 10</f>
        <v>16.100000000000001</v>
      </c>
      <c r="AY7" s="168">
        <f>RANK( AX7, $AX$7:$AX$63, 1 )</f>
        <v>16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21</v>
      </c>
      <c r="BF7" s="173" t="str">
        <f t="shared" ref="BF7:BI38" ca="1" si="7">OFFSET( AQ$6, $BD7, 0 )</f>
        <v>Eversource Energy</v>
      </c>
      <c r="BG7" s="173" t="str">
        <f t="shared" ca="1" si="7"/>
        <v>A+</v>
      </c>
      <c r="BH7" s="173">
        <f t="shared" ca="1" si="7"/>
        <v>22</v>
      </c>
      <c r="BI7" s="173" t="str">
        <f t="shared" ca="1" si="7"/>
        <v>ES</v>
      </c>
    </row>
    <row r="8" spans="1:61" ht="13.8" x14ac:dyDescent="0.25">
      <c r="A8" s="223" t="s">
        <v>215</v>
      </c>
      <c r="B8" s="224" t="s">
        <v>166</v>
      </c>
      <c r="C8" s="224">
        <v>21</v>
      </c>
      <c r="D8" s="224" t="s">
        <v>216</v>
      </c>
      <c r="E8" s="225" t="str">
        <f t="shared" ref="E8:E61" ca="1" si="8">IF( LEN( $G8 ) = 0, "", OFFSET( INDIRECT( E$3 &amp; E$4 ), $G8 - 1, 0 ) )</f>
        <v>MR</v>
      </c>
      <c r="F8" s="348"/>
      <c r="G8" s="349">
        <f t="shared" ca="1" si="1"/>
        <v>56</v>
      </c>
      <c r="H8" s="350"/>
      <c r="I8" s="233"/>
      <c r="J8" s="213" t="s">
        <v>137</v>
      </c>
      <c r="K8" s="233"/>
      <c r="L8" s="213">
        <f t="shared" ref="L8:L13" si="9">COUNTIF($C$7:$C$67,$X8)</f>
        <v>3</v>
      </c>
      <c r="M8" s="214">
        <f t="shared" ref="M8:M13" si="10">IF( L8 = 0, "", L8/L$14 )</f>
        <v>6.3829787234042548E-2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2.9411764705882353E-2</v>
      </c>
      <c r="Q8" s="233"/>
      <c r="R8" s="213">
        <f t="shared" ref="R8:R13" ca="1" si="13">COUNTIFS( $E$7:$E$66, R$3, $C$7:$C$66, $X8 )</f>
        <v>2</v>
      </c>
      <c r="S8" s="214">
        <f t="shared" ref="S8:S13" ca="1" si="14">IF( R8 = 0, "", R8/R$14 )</f>
        <v>0.15384615384615385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7">SUM(O8, R8, U8)</f>
        <v>3</v>
      </c>
      <c r="AC8" s="351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7</v>
      </c>
      <c r="BF8" s="173" t="str">
        <f t="shared" ca="1" si="7"/>
        <v>Berkshire Energy Holdings Company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**BRK</v>
      </c>
    </row>
    <row r="9" spans="1:61" ht="13.8" x14ac:dyDescent="0.25">
      <c r="A9" s="223" t="s">
        <v>219</v>
      </c>
      <c r="B9" s="224" t="s">
        <v>139</v>
      </c>
      <c r="C9" s="224">
        <v>20</v>
      </c>
      <c r="D9" s="224" t="s">
        <v>220</v>
      </c>
      <c r="E9" s="225" t="str">
        <f t="shared" ca="1" si="8"/>
        <v>R</v>
      </c>
      <c r="F9" s="348"/>
      <c r="G9" s="349">
        <f t="shared" ca="1" si="1"/>
        <v>8</v>
      </c>
      <c r="H9" s="350"/>
      <c r="I9" s="234"/>
      <c r="J9" s="215" t="s">
        <v>139</v>
      </c>
      <c r="K9" s="234"/>
      <c r="L9" s="215">
        <f t="shared" si="9"/>
        <v>13</v>
      </c>
      <c r="M9" s="216">
        <f t="shared" si="10"/>
        <v>0.27659574468085107</v>
      </c>
      <c r="N9" s="234"/>
      <c r="O9" s="215">
        <f t="shared" ca="1" si="11"/>
        <v>11</v>
      </c>
      <c r="P9" s="216">
        <f t="shared" ca="1" si="12"/>
        <v>0.3235294117647059</v>
      </c>
      <c r="Q9" s="234"/>
      <c r="R9" s="215">
        <f t="shared" ca="1" si="13"/>
        <v>2</v>
      </c>
      <c r="S9" s="216">
        <f t="shared" ca="1" si="14"/>
        <v>0.15384615384615385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7"/>
        <v>13</v>
      </c>
      <c r="AC9" s="351"/>
      <c r="AE9" s="184"/>
      <c r="AF9" s="169">
        <f t="shared" si="2"/>
        <v>1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si="21"/>
        <v>16</v>
      </c>
      <c r="AW9" s="168">
        <f>COUNTIF( AV$7:AV9, AV9 )</f>
        <v>2</v>
      </c>
      <c r="AX9" s="208">
        <f t="shared" si="22"/>
        <v>16.2</v>
      </c>
      <c r="AY9" s="168">
        <f t="shared" si="23"/>
        <v>17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ht="13.8" x14ac:dyDescent="0.25">
      <c r="A10" s="223" t="s">
        <v>222</v>
      </c>
      <c r="B10" s="224" t="s">
        <v>139</v>
      </c>
      <c r="C10" s="224">
        <v>20</v>
      </c>
      <c r="D10" s="224" t="s">
        <v>223</v>
      </c>
      <c r="E10" s="225" t="str">
        <f t="shared" ca="1" si="8"/>
        <v>R</v>
      </c>
      <c r="F10" s="348"/>
      <c r="G10" s="349">
        <f t="shared" ca="1" si="1"/>
        <v>10</v>
      </c>
      <c r="H10" s="350"/>
      <c r="I10" s="234"/>
      <c r="J10" s="215" t="s">
        <v>140</v>
      </c>
      <c r="K10" s="234"/>
      <c r="L10" s="215">
        <f t="shared" si="9"/>
        <v>17</v>
      </c>
      <c r="M10" s="216">
        <f t="shared" si="10"/>
        <v>0.36170212765957449</v>
      </c>
      <c r="N10" s="234"/>
      <c r="O10" s="215">
        <f t="shared" ca="1" si="11"/>
        <v>10</v>
      </c>
      <c r="P10" s="216">
        <f t="shared" ca="1" si="12"/>
        <v>0.29411764705882354</v>
      </c>
      <c r="Q10" s="234"/>
      <c r="R10" s="215">
        <f t="shared" ca="1" si="13"/>
        <v>7</v>
      </c>
      <c r="S10" s="216">
        <f t="shared" ca="1" si="14"/>
        <v>0.53846153846153844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229</v>
      </c>
      <c r="Y10" s="186">
        <v>19</v>
      </c>
      <c r="Z10" s="186">
        <v>1</v>
      </c>
      <c r="AA10" s="185">
        <f t="shared" ca="1" si="17"/>
        <v>17</v>
      </c>
      <c r="AE10" s="184"/>
      <c r="AF10" s="169">
        <f t="shared" si="2"/>
        <v>1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222</v>
      </c>
      <c r="AR10" s="207" t="s">
        <v>139</v>
      </c>
      <c r="AS10" s="207">
        <v>20</v>
      </c>
      <c r="AT10" s="207" t="s">
        <v>223</v>
      </c>
      <c r="AV10" s="168">
        <f t="shared" si="21"/>
        <v>3</v>
      </c>
      <c r="AW10" s="168">
        <f>COUNTIF( AV$7:AV10, AV10 )</f>
        <v>2</v>
      </c>
      <c r="AX10" s="208">
        <f t="shared" si="22"/>
        <v>3.2</v>
      </c>
      <c r="AY10" s="168">
        <f t="shared" si="23"/>
        <v>4</v>
      </c>
      <c r="AZ10" s="169"/>
      <c r="BA10" s="169"/>
      <c r="BC10" s="168">
        <f t="shared" ca="1" si="24"/>
        <v>4</v>
      </c>
      <c r="BD10" s="209">
        <f t="shared" ca="1" si="6"/>
        <v>4</v>
      </c>
      <c r="BF10" s="173" t="str">
        <f t="shared" ca="1" si="7"/>
        <v>American Electric Power Company,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AEP</v>
      </c>
    </row>
    <row r="11" spans="1:61" ht="13.8" x14ac:dyDescent="0.25">
      <c r="A11" s="223" t="s">
        <v>249</v>
      </c>
      <c r="B11" s="224" t="s">
        <v>139</v>
      </c>
      <c r="C11" s="224">
        <v>20</v>
      </c>
      <c r="D11" s="224" t="s">
        <v>250</v>
      </c>
      <c r="E11" s="225" t="str">
        <f t="shared" ca="1" si="8"/>
        <v>MR</v>
      </c>
      <c r="F11" s="348"/>
      <c r="G11" s="349">
        <f t="shared" ca="1" si="1"/>
        <v>14</v>
      </c>
      <c r="H11" s="350"/>
      <c r="I11" s="234"/>
      <c r="J11" s="215" t="s">
        <v>141</v>
      </c>
      <c r="K11" s="234"/>
      <c r="L11" s="215">
        <f t="shared" si="9"/>
        <v>9</v>
      </c>
      <c r="M11" s="216">
        <f t="shared" si="10"/>
        <v>0.19148936170212766</v>
      </c>
      <c r="N11" s="234"/>
      <c r="O11" s="215">
        <f t="shared" ca="1" si="11"/>
        <v>8</v>
      </c>
      <c r="P11" s="216">
        <f t="shared" ca="1" si="12"/>
        <v>0.23529411764705882</v>
      </c>
      <c r="Q11" s="234"/>
      <c r="R11" s="215">
        <f t="shared" ca="1" si="13"/>
        <v>1</v>
      </c>
      <c r="S11" s="216">
        <f t="shared" ca="1" si="14"/>
        <v>7.6923076923076927E-2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7"/>
        <v>9</v>
      </c>
      <c r="AE11" s="184"/>
      <c r="AF11" s="169">
        <f t="shared" si="2"/>
        <v>1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233</v>
      </c>
      <c r="AR11" s="207" t="s">
        <v>140</v>
      </c>
      <c r="AS11" s="207">
        <v>19</v>
      </c>
      <c r="AT11" s="207" t="s">
        <v>234</v>
      </c>
      <c r="AV11" s="168">
        <f t="shared" si="21"/>
        <v>16</v>
      </c>
      <c r="AW11" s="168">
        <f>COUNTIF( AV$7:AV11, AV11 )</f>
        <v>3</v>
      </c>
      <c r="AX11" s="208">
        <f t="shared" si="22"/>
        <v>16.3</v>
      </c>
      <c r="AY11" s="168">
        <f t="shared" si="23"/>
        <v>18</v>
      </c>
      <c r="AZ11" s="169"/>
      <c r="BA11" s="169"/>
      <c r="BC11" s="168">
        <f t="shared" ca="1" si="24"/>
        <v>5</v>
      </c>
      <c r="BD11" s="209">
        <f t="shared" ca="1" si="6"/>
        <v>9</v>
      </c>
      <c r="BF11" s="173" t="str">
        <f t="shared" ca="1" si="7"/>
        <v>CenterPoint Energy,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CNP</v>
      </c>
    </row>
    <row r="12" spans="1:61" ht="13.8" x14ac:dyDescent="0.25">
      <c r="A12" s="223" t="s">
        <v>227</v>
      </c>
      <c r="B12" s="224" t="s">
        <v>139</v>
      </c>
      <c r="C12" s="224">
        <v>20</v>
      </c>
      <c r="D12" s="224" t="s">
        <v>228</v>
      </c>
      <c r="E12" s="225" t="str">
        <f t="shared" ca="1" si="8"/>
        <v>R</v>
      </c>
      <c r="F12" s="348"/>
      <c r="G12" s="349">
        <f t="shared" ca="1" si="1"/>
        <v>16</v>
      </c>
      <c r="H12" s="350"/>
      <c r="I12" s="234"/>
      <c r="J12" s="215" t="s">
        <v>142</v>
      </c>
      <c r="K12" s="234"/>
      <c r="L12" s="215">
        <f t="shared" si="9"/>
        <v>5</v>
      </c>
      <c r="M12" s="216">
        <f t="shared" si="10"/>
        <v>0.10638297872340426</v>
      </c>
      <c r="N12" s="234"/>
      <c r="O12" s="215">
        <f t="shared" ca="1" si="11"/>
        <v>4</v>
      </c>
      <c r="P12" s="216">
        <f t="shared" ca="1" si="12"/>
        <v>0.11764705882352941</v>
      </c>
      <c r="Q12" s="234"/>
      <c r="R12" s="215">
        <f t="shared" ca="1" si="13"/>
        <v>1</v>
      </c>
      <c r="S12" s="216">
        <f t="shared" ca="1" si="14"/>
        <v>7.6923076923076927E-2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237</v>
      </c>
      <c r="Y12" s="186">
        <v>17</v>
      </c>
      <c r="Z12" s="186">
        <v>1</v>
      </c>
      <c r="AA12" s="185">
        <f t="shared" ca="1" si="17"/>
        <v>5</v>
      </c>
      <c r="AE12" s="184"/>
      <c r="AF12" s="169">
        <f t="shared" si="2"/>
        <v>1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238</v>
      </c>
      <c r="AR12" s="207" t="s">
        <v>141</v>
      </c>
      <c r="AS12" s="207">
        <v>18</v>
      </c>
      <c r="AT12" s="207" t="s">
        <v>239</v>
      </c>
      <c r="AV12" s="168">
        <f t="shared" si="21"/>
        <v>33</v>
      </c>
      <c r="AW12" s="168">
        <f>COUNTIF( AV$7:AV12, AV12 )</f>
        <v>1</v>
      </c>
      <c r="AX12" s="208">
        <f t="shared" si="22"/>
        <v>33.1</v>
      </c>
      <c r="AY12" s="168">
        <f t="shared" si="23"/>
        <v>33</v>
      </c>
      <c r="AZ12" s="169"/>
      <c r="BA12" s="169"/>
      <c r="BC12" s="168">
        <f t="shared" ca="1" si="24"/>
        <v>6</v>
      </c>
      <c r="BD12" s="209">
        <f t="shared" ca="1" si="6"/>
        <v>12</v>
      </c>
      <c r="BF12" s="173" t="str">
        <f t="shared" ca="1" si="7"/>
        <v>Consolidated Edison,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ED</v>
      </c>
    </row>
    <row r="13" spans="1:61" ht="13.8" x14ac:dyDescent="0.25">
      <c r="A13" s="223" t="s">
        <v>263</v>
      </c>
      <c r="B13" s="224" t="s">
        <v>139</v>
      </c>
      <c r="C13" s="224">
        <v>20</v>
      </c>
      <c r="D13" s="224" t="s">
        <v>264</v>
      </c>
      <c r="E13" s="225" t="str">
        <f t="shared" ca="1" si="8"/>
        <v>R</v>
      </c>
      <c r="F13" s="348"/>
      <c r="G13" s="349">
        <f t="shared" ca="1" si="1"/>
        <v>19</v>
      </c>
      <c r="H13" s="350"/>
      <c r="I13" s="235"/>
      <c r="J13" s="217" t="s">
        <v>143</v>
      </c>
      <c r="K13" s="235"/>
      <c r="L13" s="217">
        <f t="shared" si="9"/>
        <v>0</v>
      </c>
      <c r="M13" s="218" t="str">
        <f t="shared" si="10"/>
        <v/>
      </c>
      <c r="N13" s="235"/>
      <c r="O13" s="217">
        <f t="shared" ca="1" si="11"/>
        <v>0</v>
      </c>
      <c r="P13" s="218" t="str">
        <f t="shared" ca="1" si="12"/>
        <v/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242</v>
      </c>
      <c r="Y13" s="186">
        <v>16</v>
      </c>
      <c r="Z13" s="186">
        <v>1</v>
      </c>
      <c r="AA13" s="188">
        <f t="shared" ca="1" si="17"/>
        <v>0</v>
      </c>
      <c r="AE13" s="184"/>
      <c r="AF13" s="169">
        <f t="shared" si="2"/>
        <v>1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215</v>
      </c>
      <c r="AR13" s="207" t="s">
        <v>166</v>
      </c>
      <c r="AS13" s="207">
        <v>21</v>
      </c>
      <c r="AT13" s="207" t="s">
        <v>216</v>
      </c>
      <c r="AV13" s="168">
        <f t="shared" si="21"/>
        <v>2</v>
      </c>
      <c r="AW13" s="168">
        <f>COUNTIF( AV$7:AV13, AV13 )</f>
        <v>1</v>
      </c>
      <c r="AX13" s="208">
        <f t="shared" si="22"/>
        <v>2.1</v>
      </c>
      <c r="AY13" s="168">
        <f t="shared" si="23"/>
        <v>2</v>
      </c>
      <c r="AZ13" s="169"/>
      <c r="BA13" s="169"/>
      <c r="BC13" s="168">
        <f t="shared" ca="1" si="24"/>
        <v>7</v>
      </c>
      <c r="BD13" s="209">
        <f t="shared" ca="1" si="6"/>
        <v>16</v>
      </c>
      <c r="BF13" s="173" t="str">
        <f t="shared" ca="1" si="7"/>
        <v>Duke Energy Corporation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DUK</v>
      </c>
    </row>
    <row r="14" spans="1:61" ht="13.8" x14ac:dyDescent="0.25">
      <c r="A14" s="223" t="s">
        <v>230</v>
      </c>
      <c r="B14" s="224" t="s">
        <v>139</v>
      </c>
      <c r="C14" s="224">
        <v>20</v>
      </c>
      <c r="D14" s="224" t="s">
        <v>231</v>
      </c>
      <c r="E14" s="225" t="str">
        <f t="shared" ca="1" si="8"/>
        <v>R</v>
      </c>
      <c r="F14" s="348"/>
      <c r="G14" s="349">
        <f t="shared" ca="1" si="1"/>
        <v>23</v>
      </c>
      <c r="H14" s="350"/>
      <c r="I14" s="236"/>
      <c r="J14" s="211" t="s">
        <v>144</v>
      </c>
      <c r="K14" s="236"/>
      <c r="L14" s="211">
        <f>SUM(L8:L13)</f>
        <v>47</v>
      </c>
      <c r="M14" s="212">
        <f>L14/L$14</f>
        <v>1</v>
      </c>
      <c r="N14" s="236"/>
      <c r="O14" s="211">
        <f ca="1">SUM(O8:O13)</f>
        <v>34</v>
      </c>
      <c r="P14" s="212">
        <f ca="1">O14/O$14</f>
        <v>1</v>
      </c>
      <c r="Q14" s="236"/>
      <c r="R14" s="211">
        <f ca="1">SUM(R8:R13)</f>
        <v>13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19</v>
      </c>
      <c r="Z14" s="190"/>
      <c r="AA14" s="189">
        <f ca="1">SUM(AA8:AA13)</f>
        <v>47</v>
      </c>
      <c r="AE14" s="184"/>
      <c r="AF14" s="169">
        <f t="shared" si="2"/>
        <v>1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245</v>
      </c>
      <c r="AR14" s="207" t="s">
        <v>140</v>
      </c>
      <c r="AS14" s="207">
        <v>19</v>
      </c>
      <c r="AT14" s="207" t="s">
        <v>246</v>
      </c>
      <c r="AV14" s="168">
        <f>IF( LEN( AS14 ) = 0, 99, RANK( AS14, $AS$7:$AS$63 ) )</f>
        <v>16</v>
      </c>
      <c r="AW14" s="168">
        <f>COUNTIF( AV$7:AV14, AV14 )</f>
        <v>4</v>
      </c>
      <c r="AX14" s="208">
        <f t="shared" si="22"/>
        <v>16.399999999999999</v>
      </c>
      <c r="AY14" s="168">
        <f t="shared" si="23"/>
        <v>19</v>
      </c>
      <c r="AZ14" s="169"/>
      <c r="BA14" s="169"/>
      <c r="BC14" s="168">
        <f t="shared" ca="1" si="24"/>
        <v>8</v>
      </c>
      <c r="BD14" s="209">
        <f t="shared" ca="1" si="6"/>
        <v>20</v>
      </c>
      <c r="BF14" s="173" t="str">
        <f t="shared" ca="1" si="7"/>
        <v>Evergy,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EVRG</v>
      </c>
    </row>
    <row r="15" spans="1:61" ht="13.8" x14ac:dyDescent="0.25">
      <c r="A15" s="223" t="s">
        <v>240</v>
      </c>
      <c r="B15" s="224" t="s">
        <v>139</v>
      </c>
      <c r="C15" s="224">
        <v>20</v>
      </c>
      <c r="D15" s="224" t="s">
        <v>241</v>
      </c>
      <c r="E15" s="225" t="str">
        <f t="shared" ca="1" si="8"/>
        <v>MR</v>
      </c>
      <c r="F15" s="348"/>
      <c r="G15" s="349">
        <f t="shared" ca="1" si="1"/>
        <v>31</v>
      </c>
      <c r="H15" s="350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1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249</v>
      </c>
      <c r="AR15" s="207" t="s">
        <v>139</v>
      </c>
      <c r="AS15" s="207">
        <v>20</v>
      </c>
      <c r="AT15" s="207" t="s">
        <v>250</v>
      </c>
      <c r="AV15" s="168">
        <f t="shared" si="21"/>
        <v>3</v>
      </c>
      <c r="AW15" s="168">
        <f>COUNTIF( AV$7:AV15, AV15 )</f>
        <v>3</v>
      </c>
      <c r="AX15" s="208">
        <f t="shared" si="22"/>
        <v>3.3</v>
      </c>
      <c r="AY15" s="168">
        <f t="shared" si="23"/>
        <v>5</v>
      </c>
      <c r="AZ15" s="169"/>
      <c r="BA15" s="169"/>
      <c r="BC15" s="168">
        <f t="shared" ca="1" si="24"/>
        <v>9</v>
      </c>
      <c r="BD15" s="209">
        <f t="shared" ca="1" si="6"/>
        <v>28</v>
      </c>
      <c r="BF15" s="173" t="str">
        <f t="shared" ca="1" si="7"/>
        <v>NextEra Energy, Inc.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NEE</v>
      </c>
    </row>
    <row r="16" spans="1:61" ht="13.8" x14ac:dyDescent="0.25">
      <c r="A16" s="223" t="s">
        <v>281</v>
      </c>
      <c r="B16" s="224" t="s">
        <v>139</v>
      </c>
      <c r="C16" s="224">
        <v>20</v>
      </c>
      <c r="D16" s="224" t="s">
        <v>282</v>
      </c>
      <c r="E16" s="225" t="str">
        <f t="shared" ca="1" si="8"/>
        <v>R</v>
      </c>
      <c r="F16" s="348"/>
      <c r="G16" s="349">
        <f t="shared" ca="1" si="1"/>
        <v>37</v>
      </c>
      <c r="H16" s="350"/>
      <c r="I16" s="232"/>
      <c r="J16" s="210" t="s">
        <v>253</v>
      </c>
      <c r="K16" s="232"/>
      <c r="L16" s="386">
        <f t="array" ref="L16">SUM( IF( LEN( $C$7:$C$65 ) = 0, 0, $C$7:$C$65 ) ) / SUM( IF( LEN( $C$7:$C$65 ) = 0, 0, 1  ) )</f>
        <v>19.063829787234042</v>
      </c>
      <c r="M16" s="387"/>
      <c r="N16" s="232"/>
      <c r="O16" s="386">
        <f t="array" aca="1" ref="O16" ca="1">SUM( IF( LEN( $C$7:$C$65 ) = 0, 0, IF( $E$7:$E$65 = O3, $C$7:$C$65, 0 ) ) ) / SUM( IF( LEN( $C$7:$C$65 ) = 0, 0, IF( $E$7:$E$65 = O3, 1, 0 ) ) )</f>
        <v>18.941176470588236</v>
      </c>
      <c r="P16" s="387"/>
      <c r="Q16" s="232"/>
      <c r="R16" s="386">
        <f t="array" aca="1" ref="R16" ca="1">SUM( IF( LEN( $C$7:$C$65 ) = 0, 0, IF( $E$7:$E$65 = R3, $C$7:$C$65, 0 ) ) ) / SUM( IF( LEN( $C$7:$C$65 ) = 0, 0, IF( $E$7:$E$65 = R3, 1, 0 ) ) )</f>
        <v>19.384615384615383</v>
      </c>
      <c r="S16" s="387"/>
      <c r="T16" s="232"/>
      <c r="U16" s="386" t="e">
        <f t="array" aca="1" ref="U16" ca="1">SUM( IF( LEN( $C$7:$C$65 ) = 0, 0, IF( $E$7:$E$65 = U3, $C$7:$C$65, 0 ) ) ) / SUM( IF( LEN( $C$7:$C$65 ) = 0, 0, IF( $E$7:$E$65 = U3, 1, 0 ) ) )</f>
        <v>#DIV/0!</v>
      </c>
      <c r="V16" s="388"/>
      <c r="W16" s="232"/>
      <c r="AE16" s="184"/>
      <c r="AF16" s="169">
        <f t="shared" si="2"/>
        <v>1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254</v>
      </c>
      <c r="AR16" s="207" t="s">
        <v>142</v>
      </c>
      <c r="AS16" s="207">
        <v>17</v>
      </c>
      <c r="AT16" s="207" t="s">
        <v>255</v>
      </c>
      <c r="AV16" s="168">
        <f t="shared" si="21"/>
        <v>42</v>
      </c>
      <c r="AW16" s="168">
        <f>COUNTIF( AV$7:AV16, AV16 )</f>
        <v>1</v>
      </c>
      <c r="AX16" s="208">
        <f t="shared" si="22"/>
        <v>42.1</v>
      </c>
      <c r="AY16" s="168">
        <f t="shared" si="23"/>
        <v>42</v>
      </c>
      <c r="AZ16" s="169"/>
      <c r="BA16" s="169"/>
      <c r="BC16" s="168">
        <f t="shared" ca="1" si="24"/>
        <v>10</v>
      </c>
      <c r="BD16" s="209">
        <f t="shared" ca="1" si="6"/>
        <v>34</v>
      </c>
      <c r="BF16" s="173" t="str">
        <f t="shared" ca="1" si="7"/>
        <v>Pinnacle West Capital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PNW</v>
      </c>
    </row>
    <row r="17" spans="1:61" ht="13.8" x14ac:dyDescent="0.25">
      <c r="A17" s="223" t="s">
        <v>243</v>
      </c>
      <c r="B17" s="224" t="s">
        <v>139</v>
      </c>
      <c r="C17" s="224">
        <v>20</v>
      </c>
      <c r="D17" s="224" t="s">
        <v>244</v>
      </c>
      <c r="E17" s="225" t="str">
        <f t="shared" ca="1" si="8"/>
        <v>R</v>
      </c>
      <c r="F17" s="348"/>
      <c r="G17" s="349">
        <f t="shared" ca="1" si="1"/>
        <v>40</v>
      </c>
      <c r="H17" s="350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1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256</v>
      </c>
      <c r="AR17" s="207" t="s">
        <v>140</v>
      </c>
      <c r="AS17" s="207">
        <v>19</v>
      </c>
      <c r="AT17" s="207" t="s">
        <v>257</v>
      </c>
      <c r="AV17" s="168">
        <f t="shared" si="21"/>
        <v>16</v>
      </c>
      <c r="AW17" s="168">
        <f>COUNTIF( AV$7:AV17, AV17 )</f>
        <v>5</v>
      </c>
      <c r="AX17" s="208">
        <f t="shared" si="22"/>
        <v>16.5</v>
      </c>
      <c r="AY17" s="168">
        <f t="shared" si="23"/>
        <v>20</v>
      </c>
      <c r="AZ17" s="169"/>
      <c r="BA17" s="169"/>
      <c r="BC17" s="168">
        <f t="shared" ca="1" si="24"/>
        <v>11</v>
      </c>
      <c r="BD17" s="209">
        <f t="shared" ca="1" si="6"/>
        <v>37</v>
      </c>
      <c r="BF17" s="173" t="str">
        <f t="shared" ca="1" si="7"/>
        <v>PPL Corporation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PPL</v>
      </c>
    </row>
    <row r="18" spans="1:61" ht="13.8" x14ac:dyDescent="0.25">
      <c r="A18" s="223" t="s">
        <v>293</v>
      </c>
      <c r="B18" s="224" t="s">
        <v>139</v>
      </c>
      <c r="C18" s="224">
        <v>20</v>
      </c>
      <c r="D18" s="224" t="s">
        <v>294</v>
      </c>
      <c r="E18" s="225" t="str">
        <f t="shared" ca="1" si="8"/>
        <v>R</v>
      </c>
      <c r="F18" s="348"/>
      <c r="G18" s="349">
        <f t="shared" ca="1" si="1"/>
        <v>44</v>
      </c>
      <c r="H18" s="350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1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227</v>
      </c>
      <c r="AR18" s="207" t="s">
        <v>139</v>
      </c>
      <c r="AS18" s="207">
        <v>20</v>
      </c>
      <c r="AT18" s="207" t="s">
        <v>228</v>
      </c>
      <c r="AV18" s="168">
        <f t="shared" si="21"/>
        <v>3</v>
      </c>
      <c r="AW18" s="168">
        <f>COUNTIF( AV$7:AV18, AV18 )</f>
        <v>4</v>
      </c>
      <c r="AX18" s="208">
        <f t="shared" si="22"/>
        <v>3.4</v>
      </c>
      <c r="AY18" s="168">
        <f t="shared" si="23"/>
        <v>6</v>
      </c>
      <c r="AZ18" s="169"/>
      <c r="BA18" s="169"/>
      <c r="BC18" s="168">
        <f t="shared" ca="1" si="24"/>
        <v>12</v>
      </c>
      <c r="BD18" s="209">
        <f t="shared" ca="1" si="6"/>
        <v>42</v>
      </c>
      <c r="BF18" s="173" t="str">
        <f t="shared" ca="1" si="7"/>
        <v>Southern Company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SO</v>
      </c>
    </row>
    <row r="19" spans="1:61" ht="13.8" x14ac:dyDescent="0.25">
      <c r="A19" s="223" t="s">
        <v>345</v>
      </c>
      <c r="B19" s="224" t="s">
        <v>139</v>
      </c>
      <c r="C19" s="224">
        <v>20</v>
      </c>
      <c r="D19" s="224" t="s">
        <v>346</v>
      </c>
      <c r="E19" s="225" t="str">
        <f t="shared" ca="1" si="8"/>
        <v>R</v>
      </c>
      <c r="F19" s="348"/>
      <c r="G19" s="349">
        <f t="shared" ca="1" si="1"/>
        <v>46</v>
      </c>
      <c r="H19" s="350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258</v>
      </c>
      <c r="AR19" s="207" t="s">
        <v>140</v>
      </c>
      <c r="AS19" s="207">
        <v>19</v>
      </c>
      <c r="AT19" s="207" t="s">
        <v>194</v>
      </c>
      <c r="AV19" s="168">
        <f t="shared" si="21"/>
        <v>16</v>
      </c>
      <c r="AW19" s="168">
        <f>COUNTIF( AV$7:AV19, AV19 )</f>
        <v>6</v>
      </c>
      <c r="AX19" s="208">
        <f t="shared" si="22"/>
        <v>16.600000000000001</v>
      </c>
      <c r="AY19" s="168">
        <f t="shared" si="23"/>
        <v>21</v>
      </c>
      <c r="AZ19" s="169"/>
      <c r="BA19" s="169"/>
      <c r="BC19" s="168">
        <f t="shared" ca="1" si="24"/>
        <v>13</v>
      </c>
      <c r="BD19" s="209">
        <f t="shared" ca="1" si="6"/>
        <v>44</v>
      </c>
      <c r="BF19" s="173" t="str">
        <f t="shared" ca="1" si="7"/>
        <v>Vectren Corporation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VVC</v>
      </c>
    </row>
    <row r="20" spans="1:61" ht="13.8" x14ac:dyDescent="0.25">
      <c r="A20" s="223" t="s">
        <v>247</v>
      </c>
      <c r="B20" s="224" t="s">
        <v>139</v>
      </c>
      <c r="C20" s="224">
        <v>20</v>
      </c>
      <c r="D20" s="224" t="s">
        <v>248</v>
      </c>
      <c r="E20" s="225" t="str">
        <f t="shared" ca="1" si="8"/>
        <v>R</v>
      </c>
      <c r="F20" s="348"/>
      <c r="G20" s="349">
        <f t="shared" ca="1" si="1"/>
        <v>47</v>
      </c>
      <c r="H20" s="350"/>
      <c r="I20" s="352"/>
      <c r="K20" s="352"/>
      <c r="N20" s="352"/>
      <c r="O20" s="173"/>
      <c r="Q20" s="352"/>
      <c r="T20" s="352"/>
      <c r="W20" s="352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259</v>
      </c>
      <c r="AR20" s="207" t="s">
        <v>142</v>
      </c>
      <c r="AS20" s="207">
        <v>17</v>
      </c>
      <c r="AT20" s="207" t="s">
        <v>260</v>
      </c>
      <c r="AV20" s="168">
        <f t="shared" si="21"/>
        <v>42</v>
      </c>
      <c r="AW20" s="168">
        <f>COUNTIF( AV$7:AV20, AV20 )</f>
        <v>2</v>
      </c>
      <c r="AX20" s="208">
        <f t="shared" si="22"/>
        <v>42.2</v>
      </c>
      <c r="AY20" s="168">
        <f t="shared" si="23"/>
        <v>43</v>
      </c>
      <c r="AZ20" s="169"/>
      <c r="BA20" s="169"/>
      <c r="BC20" s="168">
        <f t="shared" ca="1" si="24"/>
        <v>14</v>
      </c>
      <c r="BD20" s="209">
        <f t="shared" ca="1" si="6"/>
        <v>45</v>
      </c>
      <c r="BF20" s="173" t="str">
        <f t="shared" ca="1" si="7"/>
        <v>Wisconsin Energy Corporation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WEC</v>
      </c>
    </row>
    <row r="21" spans="1:61" ht="13.8" x14ac:dyDescent="0.25">
      <c r="A21" s="223" t="s">
        <v>251</v>
      </c>
      <c r="B21" s="224" t="s">
        <v>139</v>
      </c>
      <c r="C21" s="224">
        <v>20</v>
      </c>
      <c r="D21" s="224" t="s">
        <v>252</v>
      </c>
      <c r="E21" s="225" t="str">
        <f t="shared" ca="1" si="8"/>
        <v>R</v>
      </c>
      <c r="F21" s="348"/>
      <c r="G21" s="349">
        <f t="shared" ca="1" si="1"/>
        <v>48</v>
      </c>
      <c r="H21" s="350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A-</v>
      </c>
      <c r="AL21" s="169">
        <f t="shared" ca="1" si="20"/>
        <v>20</v>
      </c>
      <c r="AM21" s="169" t="str">
        <f t="shared" ca="1" si="4"/>
        <v/>
      </c>
      <c r="AQ21" s="207" t="s">
        <v>261</v>
      </c>
      <c r="AR21" s="207" t="s">
        <v>140</v>
      </c>
      <c r="AS21" s="207">
        <v>19</v>
      </c>
      <c r="AT21" s="207" t="s">
        <v>262</v>
      </c>
      <c r="AV21" s="168">
        <f t="shared" si="21"/>
        <v>16</v>
      </c>
      <c r="AW21" s="168">
        <f>COUNTIF( AV$7:AV21, AV21 )</f>
        <v>7</v>
      </c>
      <c r="AX21" s="208">
        <f t="shared" si="22"/>
        <v>16.7</v>
      </c>
      <c r="AY21" s="168">
        <f t="shared" si="23"/>
        <v>22</v>
      </c>
      <c r="AZ21" s="169"/>
      <c r="BA21" s="169"/>
      <c r="BC21" s="168">
        <f t="shared" ca="1" si="24"/>
        <v>15</v>
      </c>
      <c r="BD21" s="209">
        <f t="shared" ca="1" si="6"/>
        <v>46</v>
      </c>
      <c r="BF21" s="173" t="str">
        <f t="shared" ca="1" si="7"/>
        <v>Xcel Energy Inc.</v>
      </c>
      <c r="BG21" s="173" t="str">
        <f t="shared" ca="1" si="7"/>
        <v>A-</v>
      </c>
      <c r="BH21" s="173">
        <f t="shared" ca="1" si="7"/>
        <v>20</v>
      </c>
      <c r="BI21" s="173" t="str">
        <f t="shared" ca="1" si="7"/>
        <v>XEL</v>
      </c>
    </row>
    <row r="22" spans="1:61" ht="13.8" x14ac:dyDescent="0.25">
      <c r="A22" s="223" t="s">
        <v>217</v>
      </c>
      <c r="B22" s="224" t="s">
        <v>140</v>
      </c>
      <c r="C22" s="224">
        <v>19</v>
      </c>
      <c r="D22" s="224" t="s">
        <v>218</v>
      </c>
      <c r="E22" s="225" t="str">
        <f t="shared" ca="1" si="8"/>
        <v>MR</v>
      </c>
      <c r="F22" s="348"/>
      <c r="G22" s="349">
        <f t="shared" ca="1" si="1"/>
        <v>7</v>
      </c>
      <c r="H22" s="350"/>
      <c r="I22" s="237"/>
      <c r="K22" s="237"/>
      <c r="N22" s="237"/>
      <c r="Q22" s="237"/>
      <c r="T22" s="237"/>
      <c r="W22" s="237"/>
      <c r="AE22" s="184"/>
      <c r="AF22" s="169">
        <f t="shared" si="2"/>
        <v>0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263</v>
      </c>
      <c r="AR22" s="207" t="s">
        <v>139</v>
      </c>
      <c r="AS22" s="207">
        <v>20</v>
      </c>
      <c r="AT22" s="207" t="s">
        <v>264</v>
      </c>
      <c r="AV22" s="168">
        <f t="shared" si="21"/>
        <v>3</v>
      </c>
      <c r="AW22" s="168">
        <f>COUNTIF( AV$7:AV22, AV22 )</f>
        <v>5</v>
      </c>
      <c r="AX22" s="208">
        <f t="shared" si="22"/>
        <v>3.5</v>
      </c>
      <c r="AY22" s="168">
        <f t="shared" si="23"/>
        <v>7</v>
      </c>
      <c r="AZ22" s="169"/>
      <c r="BA22" s="169"/>
      <c r="BC22" s="168">
        <f t="shared" ca="1" si="24"/>
        <v>16</v>
      </c>
      <c r="BD22" s="209">
        <f t="shared" ca="1" si="6"/>
        <v>1</v>
      </c>
      <c r="BF22" s="173" t="str">
        <f t="shared" ca="1" si="7"/>
        <v>ALLETE, Inc.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ALE</v>
      </c>
    </row>
    <row r="23" spans="1:61" ht="13.8" x14ac:dyDescent="0.25">
      <c r="A23" s="223" t="s">
        <v>225</v>
      </c>
      <c r="B23" s="224" t="s">
        <v>140</v>
      </c>
      <c r="C23" s="224">
        <v>19</v>
      </c>
      <c r="D23" s="224" t="s">
        <v>226</v>
      </c>
      <c r="E23" s="225" t="str">
        <f t="shared" ca="1" si="8"/>
        <v>R</v>
      </c>
      <c r="F23" s="348"/>
      <c r="G23" s="349">
        <f t="shared" ca="1" si="1"/>
        <v>9</v>
      </c>
      <c r="H23" s="350"/>
      <c r="I23" s="237"/>
      <c r="K23" s="237"/>
      <c r="N23" s="237"/>
      <c r="Q23" s="237"/>
      <c r="T23" s="237"/>
      <c r="W23" s="237"/>
      <c r="AE23" s="184"/>
      <c r="AF23" s="169">
        <f t="shared" si="2"/>
        <v>0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265</v>
      </c>
      <c r="AR23" s="207" t="s">
        <v>140</v>
      </c>
      <c r="AS23" s="207">
        <v>19</v>
      </c>
      <c r="AT23" s="207" t="s">
        <v>266</v>
      </c>
      <c r="AV23" s="168">
        <f t="shared" si="21"/>
        <v>16</v>
      </c>
      <c r="AW23" s="168">
        <f>COUNTIF( AV$7:AV23, AV23 )</f>
        <v>8</v>
      </c>
      <c r="AX23" s="208">
        <f t="shared" si="22"/>
        <v>16.8</v>
      </c>
      <c r="AY23" s="168">
        <f t="shared" si="23"/>
        <v>23</v>
      </c>
      <c r="AZ23" s="169"/>
      <c r="BA23" s="169"/>
      <c r="BC23" s="168">
        <f t="shared" ca="1" si="24"/>
        <v>17</v>
      </c>
      <c r="BD23" s="209">
        <f t="shared" ca="1" si="6"/>
        <v>3</v>
      </c>
      <c r="BF23" s="173" t="str">
        <f t="shared" ca="1" si="7"/>
        <v>Ameren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AEE</v>
      </c>
    </row>
    <row r="24" spans="1:61" ht="13.8" x14ac:dyDescent="0.25">
      <c r="A24" s="223" t="s">
        <v>233</v>
      </c>
      <c r="B24" s="224" t="s">
        <v>140</v>
      </c>
      <c r="C24" s="224">
        <v>19</v>
      </c>
      <c r="D24" s="224" t="s">
        <v>234</v>
      </c>
      <c r="E24" s="225" t="str">
        <f t="shared" ca="1" si="8"/>
        <v>MR</v>
      </c>
      <c r="F24" s="348"/>
      <c r="G24" s="349">
        <f t="shared" ca="1" si="1"/>
        <v>11</v>
      </c>
      <c r="H24" s="350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0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328</v>
      </c>
      <c r="AR24" s="207" t="s">
        <v>141</v>
      </c>
      <c r="AS24" s="207">
        <v>18</v>
      </c>
      <c r="AT24" s="207" t="s">
        <v>331</v>
      </c>
      <c r="AV24" s="168">
        <f t="shared" si="21"/>
        <v>33</v>
      </c>
      <c r="AW24" s="168">
        <f>COUNTIF( AV$7:AV24, AV24 )</f>
        <v>2</v>
      </c>
      <c r="AX24" s="208">
        <f t="shared" si="22"/>
        <v>33.200000000000003</v>
      </c>
      <c r="AY24" s="168">
        <f t="shared" si="23"/>
        <v>34</v>
      </c>
      <c r="AZ24" s="169"/>
      <c r="BA24" s="169"/>
      <c r="BC24" s="168">
        <f t="shared" ca="1" si="24"/>
        <v>18</v>
      </c>
      <c r="BD24" s="209">
        <f t="shared" ca="1" si="6"/>
        <v>5</v>
      </c>
      <c r="BF24" s="173" t="str">
        <f t="shared" ca="1" si="7"/>
        <v>AVANGRID, Inc.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AGR</v>
      </c>
    </row>
    <row r="25" spans="1:61" ht="13.8" x14ac:dyDescent="0.25">
      <c r="A25" s="223" t="s">
        <v>245</v>
      </c>
      <c r="B25" s="224" t="s">
        <v>140</v>
      </c>
      <c r="C25" s="224">
        <v>19</v>
      </c>
      <c r="D25" s="224" t="s">
        <v>246</v>
      </c>
      <c r="E25" s="225" t="str">
        <f t="shared" ca="1" si="8"/>
        <v>R</v>
      </c>
      <c r="F25" s="348"/>
      <c r="G25" s="349">
        <f t="shared" ca="1" si="1"/>
        <v>13</v>
      </c>
      <c r="H25" s="350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0</v>
      </c>
      <c r="AG25" s="169">
        <f t="shared" ca="1" si="3"/>
        <v>1</v>
      </c>
      <c r="AH25" s="169" t="str">
        <f t="shared" ca="1" si="18"/>
        <v/>
      </c>
      <c r="AJ25" s="169">
        <f t="shared" ca="1" si="19"/>
        <v>38</v>
      </c>
      <c r="AK25" s="169" t="str">
        <f t="shared" ca="1" si="20"/>
        <v>BBB</v>
      </c>
      <c r="AL25" s="169">
        <f t="shared" ca="1" si="20"/>
        <v>18</v>
      </c>
      <c r="AM25" s="169" t="str">
        <f t="shared" ca="1" si="4"/>
        <v>Change</v>
      </c>
      <c r="AQ25" s="207" t="s">
        <v>267</v>
      </c>
      <c r="AR25" s="207" t="s">
        <v>140</v>
      </c>
      <c r="AS25" s="207">
        <v>19</v>
      </c>
      <c r="AT25" s="207" t="s">
        <v>268</v>
      </c>
      <c r="AV25" s="168">
        <f t="shared" si="21"/>
        <v>16</v>
      </c>
      <c r="AW25" s="168">
        <f>COUNTIF( AV$7:AV25, AV25 )</f>
        <v>9</v>
      </c>
      <c r="AX25" s="208">
        <f t="shared" si="22"/>
        <v>16.899999999999999</v>
      </c>
      <c r="AY25" s="168">
        <f t="shared" si="23"/>
        <v>24</v>
      </c>
      <c r="AZ25" s="169"/>
      <c r="BA25" s="169"/>
      <c r="BC25" s="168">
        <f t="shared" ca="1" si="24"/>
        <v>19</v>
      </c>
      <c r="BD25" s="209">
        <f t="shared" ca="1" si="6"/>
        <v>8</v>
      </c>
      <c r="BF25" s="173" t="str">
        <f t="shared" ca="1" si="7"/>
        <v>Black Hills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BKH</v>
      </c>
    </row>
    <row r="26" spans="1:61" ht="13.8" x14ac:dyDescent="0.25">
      <c r="A26" s="223" t="s">
        <v>256</v>
      </c>
      <c r="B26" s="224" t="s">
        <v>140</v>
      </c>
      <c r="C26" s="224">
        <v>19</v>
      </c>
      <c r="D26" s="224" t="s">
        <v>257</v>
      </c>
      <c r="E26" s="225" t="str">
        <f t="shared" ca="1" si="8"/>
        <v>R</v>
      </c>
      <c r="F26" s="348"/>
      <c r="G26" s="349">
        <f t="shared" ca="1" si="1"/>
        <v>15</v>
      </c>
      <c r="H26" s="350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0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25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230</v>
      </c>
      <c r="AR26" s="207" t="s">
        <v>139</v>
      </c>
      <c r="AS26" s="207">
        <v>20</v>
      </c>
      <c r="AT26" s="207" t="s">
        <v>231</v>
      </c>
      <c r="AV26" s="168">
        <f t="shared" si="21"/>
        <v>3</v>
      </c>
      <c r="AW26" s="168">
        <f>COUNTIF( AV$7:AV26, AV26 )</f>
        <v>6</v>
      </c>
      <c r="AX26" s="208">
        <f t="shared" si="22"/>
        <v>3.6</v>
      </c>
      <c r="AY26" s="168">
        <f t="shared" si="23"/>
        <v>8</v>
      </c>
      <c r="AZ26" s="169"/>
      <c r="BA26" s="169"/>
      <c r="BC26" s="168">
        <f t="shared" ca="1" si="24"/>
        <v>20</v>
      </c>
      <c r="BD26" s="209">
        <f t="shared" ca="1" si="6"/>
        <v>11</v>
      </c>
      <c r="BF26" s="173" t="str">
        <f t="shared" ca="1" si="7"/>
        <v>CMS Energy Corporation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CMS</v>
      </c>
    </row>
    <row r="27" spans="1:61" ht="13.8" x14ac:dyDescent="0.25">
      <c r="A27" s="223" t="s">
        <v>258</v>
      </c>
      <c r="B27" s="224" t="s">
        <v>140</v>
      </c>
      <c r="C27" s="224">
        <v>19</v>
      </c>
      <c r="D27" s="224" t="s">
        <v>194</v>
      </c>
      <c r="E27" s="225" t="str">
        <f t="shared" ca="1" si="8"/>
        <v>MR</v>
      </c>
      <c r="F27" s="348"/>
      <c r="G27" s="349">
        <f t="shared" ca="1" si="1"/>
        <v>17</v>
      </c>
      <c r="H27" s="350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0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26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235</v>
      </c>
      <c r="AR27" s="207" t="s">
        <v>164</v>
      </c>
      <c r="AS27" s="207">
        <v>22</v>
      </c>
      <c r="AT27" s="207" t="s">
        <v>236</v>
      </c>
      <c r="AV27" s="168">
        <f t="shared" si="21"/>
        <v>1</v>
      </c>
      <c r="AW27" s="168">
        <f>COUNTIF( AV$7:AV27, AV27 )</f>
        <v>1</v>
      </c>
      <c r="AX27" s="208">
        <f t="shared" si="22"/>
        <v>1.1000000000000001</v>
      </c>
      <c r="AY27" s="168">
        <f t="shared" si="23"/>
        <v>1</v>
      </c>
      <c r="AZ27" s="169"/>
      <c r="BA27" s="169"/>
      <c r="BC27" s="168">
        <f t="shared" ca="1" si="24"/>
        <v>21</v>
      </c>
      <c r="BD27" s="209">
        <f t="shared" ca="1" si="6"/>
        <v>13</v>
      </c>
      <c r="BF27" s="173" t="str">
        <f t="shared" ca="1" si="7"/>
        <v>Dominion Energy, Inc.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</v>
      </c>
    </row>
    <row r="28" spans="1:61" ht="13.8" x14ac:dyDescent="0.25">
      <c r="A28" s="223" t="s">
        <v>261</v>
      </c>
      <c r="B28" s="224" t="s">
        <v>140</v>
      </c>
      <c r="C28" s="224">
        <v>19</v>
      </c>
      <c r="D28" s="224" t="s">
        <v>262</v>
      </c>
      <c r="E28" s="225" t="str">
        <f t="shared" ca="1" si="8"/>
        <v>MR</v>
      </c>
      <c r="F28" s="348"/>
      <c r="G28" s="349">
        <f t="shared" ca="1" si="1"/>
        <v>18</v>
      </c>
      <c r="H28" s="350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0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27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269</v>
      </c>
      <c r="AR28" s="207" t="s">
        <v>141</v>
      </c>
      <c r="AS28" s="207">
        <v>18</v>
      </c>
      <c r="AT28" s="207" t="s">
        <v>270</v>
      </c>
      <c r="AV28" s="168">
        <f t="shared" si="21"/>
        <v>33</v>
      </c>
      <c r="AW28" s="168">
        <f>COUNTIF( AV$7:AV28, AV28 )</f>
        <v>3</v>
      </c>
      <c r="AX28" s="208">
        <f t="shared" si="22"/>
        <v>33.299999999999997</v>
      </c>
      <c r="AY28" s="168">
        <f t="shared" si="23"/>
        <v>35</v>
      </c>
      <c r="AZ28" s="169"/>
      <c r="BA28" s="169"/>
      <c r="BC28" s="168">
        <f t="shared" ca="1" si="24"/>
        <v>22</v>
      </c>
      <c r="BD28" s="209">
        <f t="shared" ca="1" si="6"/>
        <v>15</v>
      </c>
      <c r="BF28" s="173" t="str">
        <f t="shared" ca="1" si="7"/>
        <v>DTE Energy Company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DTE</v>
      </c>
    </row>
    <row r="29" spans="1:61" ht="13.8" x14ac:dyDescent="0.25">
      <c r="A29" s="223" t="s">
        <v>265</v>
      </c>
      <c r="B29" s="224" t="s">
        <v>140</v>
      </c>
      <c r="C29" s="224">
        <v>19</v>
      </c>
      <c r="D29" s="224" t="s">
        <v>266</v>
      </c>
      <c r="E29" s="225" t="str">
        <f t="shared" ca="1" si="8"/>
        <v>R</v>
      </c>
      <c r="F29" s="348"/>
      <c r="G29" s="349">
        <f t="shared" ca="1" si="1"/>
        <v>20</v>
      </c>
      <c r="H29" s="350"/>
      <c r="I29" s="237"/>
      <c r="J29" s="191"/>
      <c r="K29" s="237"/>
      <c r="N29" s="237"/>
      <c r="Q29" s="237"/>
      <c r="T29" s="237"/>
      <c r="W29" s="237"/>
      <c r="AF29" s="169">
        <f t="shared" si="2"/>
        <v>0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28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275</v>
      </c>
      <c r="AR29" s="207" t="s">
        <v>141</v>
      </c>
      <c r="AS29" s="207">
        <v>18</v>
      </c>
      <c r="AT29" s="207" t="s">
        <v>276</v>
      </c>
      <c r="AV29" s="168">
        <f t="shared" si="21"/>
        <v>33</v>
      </c>
      <c r="AW29" s="168">
        <f>COUNTIF( AV$7:AV29, AV29 )</f>
        <v>4</v>
      </c>
      <c r="AX29" s="208">
        <f t="shared" si="22"/>
        <v>33.4</v>
      </c>
      <c r="AY29" s="168">
        <f t="shared" si="23"/>
        <v>36</v>
      </c>
      <c r="AZ29" s="169"/>
      <c r="BA29" s="169"/>
      <c r="BC29" s="168">
        <f t="shared" ca="1" si="24"/>
        <v>23</v>
      </c>
      <c r="BD29" s="209">
        <f t="shared" ca="1" si="6"/>
        <v>17</v>
      </c>
      <c r="BF29" s="173" t="str">
        <f t="shared" ca="1" si="7"/>
        <v>Edison International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EIX</v>
      </c>
    </row>
    <row r="30" spans="1:61" ht="13.8" x14ac:dyDescent="0.25">
      <c r="A30" s="223" t="s">
        <v>267</v>
      </c>
      <c r="B30" s="224" t="s">
        <v>140</v>
      </c>
      <c r="C30" s="224">
        <v>19</v>
      </c>
      <c r="D30" s="224" t="s">
        <v>268</v>
      </c>
      <c r="E30" s="225" t="str">
        <f t="shared" ca="1" si="8"/>
        <v>R</v>
      </c>
      <c r="F30" s="348"/>
      <c r="G30" s="349">
        <f t="shared" ca="1" si="1"/>
        <v>22</v>
      </c>
      <c r="H30" s="350"/>
      <c r="I30" s="237"/>
      <c r="J30" s="191"/>
      <c r="K30" s="237"/>
      <c r="N30" s="237"/>
      <c r="Q30" s="237"/>
      <c r="T30" s="237"/>
      <c r="W30" s="237"/>
      <c r="AF30" s="169">
        <f t="shared" si="2"/>
        <v>0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29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279</v>
      </c>
      <c r="AR30" s="207" t="s">
        <v>142</v>
      </c>
      <c r="AS30" s="207">
        <v>17</v>
      </c>
      <c r="AT30" s="207" t="s">
        <v>280</v>
      </c>
      <c r="AV30" s="168">
        <f t="shared" si="21"/>
        <v>42</v>
      </c>
      <c r="AW30" s="168">
        <f>COUNTIF( AV$7:AV30, AV30 )</f>
        <v>3</v>
      </c>
      <c r="AX30" s="208">
        <f t="shared" si="22"/>
        <v>42.3</v>
      </c>
      <c r="AY30" s="168">
        <f t="shared" si="23"/>
        <v>44</v>
      </c>
      <c r="AZ30" s="169"/>
      <c r="BA30" s="169"/>
      <c r="BC30" s="168">
        <f t="shared" ca="1" si="24"/>
        <v>24</v>
      </c>
      <c r="BD30" s="209">
        <f t="shared" ca="1" si="6"/>
        <v>19</v>
      </c>
      <c r="BF30" s="173" t="str">
        <f t="shared" ca="1" si="7"/>
        <v>Entergy Corporation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ETR</v>
      </c>
    </row>
    <row r="31" spans="1:61" ht="13.8" x14ac:dyDescent="0.25">
      <c r="A31" s="223" t="s">
        <v>271</v>
      </c>
      <c r="B31" s="224" t="s">
        <v>140</v>
      </c>
      <c r="C31" s="224">
        <v>19</v>
      </c>
      <c r="D31" s="224" t="s">
        <v>272</v>
      </c>
      <c r="E31" s="225" t="str">
        <f t="shared" ca="1" si="8"/>
        <v>MR</v>
      </c>
      <c r="F31" s="348"/>
      <c r="G31" s="349">
        <f t="shared" ca="1" si="1"/>
        <v>29</v>
      </c>
      <c r="H31" s="350"/>
      <c r="I31" s="237"/>
      <c r="J31" s="191"/>
      <c r="K31" s="237"/>
      <c r="N31" s="237"/>
      <c r="O31" s="351"/>
      <c r="Q31" s="237"/>
      <c r="T31" s="237"/>
      <c r="W31" s="237"/>
      <c r="AF31" s="169">
        <f t="shared" si="2"/>
        <v>0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30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283</v>
      </c>
      <c r="AR31" s="207" t="s">
        <v>141</v>
      </c>
      <c r="AS31" s="207">
        <v>18</v>
      </c>
      <c r="AT31" s="207" t="s">
        <v>284</v>
      </c>
      <c r="AV31" s="168">
        <f t="shared" si="21"/>
        <v>33</v>
      </c>
      <c r="AW31" s="168">
        <f>COUNTIF( AV$7:AV31, AV31 )</f>
        <v>5</v>
      </c>
      <c r="AX31" s="208">
        <f t="shared" si="22"/>
        <v>33.5</v>
      </c>
      <c r="AY31" s="168">
        <f t="shared" si="23"/>
        <v>37</v>
      </c>
      <c r="AZ31" s="169"/>
      <c r="BA31" s="169"/>
      <c r="BC31" s="168">
        <f t="shared" ca="1" si="24"/>
        <v>25</v>
      </c>
      <c r="BD31" s="209">
        <f t="shared" ca="1" si="6"/>
        <v>27</v>
      </c>
      <c r="BF31" s="173" t="str">
        <f t="shared" ca="1" si="7"/>
        <v>MDU Resources Group,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MDU</v>
      </c>
    </row>
    <row r="32" spans="1:61" ht="13.8" x14ac:dyDescent="0.25">
      <c r="A32" s="223" t="s">
        <v>273</v>
      </c>
      <c r="B32" s="224" t="s">
        <v>140</v>
      </c>
      <c r="C32" s="224">
        <v>19</v>
      </c>
      <c r="D32" s="224" t="s">
        <v>274</v>
      </c>
      <c r="E32" s="225" t="str">
        <f t="shared" ca="1" si="8"/>
        <v>R</v>
      </c>
      <c r="F32" s="348"/>
      <c r="G32" s="349">
        <f t="shared" ca="1" si="1"/>
        <v>32</v>
      </c>
      <c r="H32" s="350"/>
      <c r="I32" s="237"/>
      <c r="J32" s="191"/>
      <c r="K32" s="237"/>
      <c r="N32" s="237"/>
      <c r="Q32" s="237"/>
      <c r="T32" s="237"/>
      <c r="W32" s="237"/>
      <c r="AF32" s="169">
        <f t="shared" si="2"/>
        <v>0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31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287</v>
      </c>
      <c r="AR32" s="207" t="s">
        <v>141</v>
      </c>
      <c r="AS32" s="207">
        <v>18</v>
      </c>
      <c r="AT32" s="207" t="s">
        <v>288</v>
      </c>
      <c r="AV32" s="168">
        <f t="shared" si="21"/>
        <v>33</v>
      </c>
      <c r="AW32" s="168">
        <f>COUNTIF( AV$7:AV32, AV32 )</f>
        <v>6</v>
      </c>
      <c r="AX32" s="208">
        <f t="shared" si="22"/>
        <v>33.6</v>
      </c>
      <c r="AY32" s="168">
        <f t="shared" si="23"/>
        <v>38</v>
      </c>
      <c r="AZ32" s="169"/>
      <c r="BA32" s="169"/>
      <c r="BC32" s="168">
        <f t="shared" ca="1" si="24"/>
        <v>26</v>
      </c>
      <c r="BD32" s="209">
        <f t="shared" ca="1" si="6"/>
        <v>29</v>
      </c>
      <c r="BF32" s="173" t="str">
        <f t="shared" ca="1" si="7"/>
        <v>NiSource Inc.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NI</v>
      </c>
    </row>
    <row r="33" spans="1:61" ht="13.8" x14ac:dyDescent="0.25">
      <c r="A33" s="223" t="s">
        <v>277</v>
      </c>
      <c r="B33" s="224" t="s">
        <v>140</v>
      </c>
      <c r="C33" s="224">
        <v>19</v>
      </c>
      <c r="D33" s="224" t="s">
        <v>278</v>
      </c>
      <c r="E33" s="225" t="str">
        <f t="shared" ca="1" si="8"/>
        <v>R</v>
      </c>
      <c r="F33" s="348"/>
      <c r="G33" s="349">
        <f t="shared" ca="1" si="1"/>
        <v>34</v>
      </c>
      <c r="H33" s="350"/>
      <c r="I33" s="237"/>
      <c r="J33" s="191"/>
      <c r="K33" s="237"/>
      <c r="N33" s="237"/>
      <c r="Q33" s="237"/>
      <c r="T33" s="237"/>
      <c r="W33" s="237"/>
      <c r="AF33" s="169">
        <f t="shared" si="2"/>
        <v>0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32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271</v>
      </c>
      <c r="AR33" s="207" t="s">
        <v>140</v>
      </c>
      <c r="AS33" s="207">
        <v>19</v>
      </c>
      <c r="AT33" s="207" t="s">
        <v>272</v>
      </c>
      <c r="AV33" s="168">
        <f t="shared" si="21"/>
        <v>16</v>
      </c>
      <c r="AW33" s="168">
        <f>COUNTIF( AV$7:AV33, AV33 )</f>
        <v>10</v>
      </c>
      <c r="AX33" s="208">
        <f t="shared" si="22"/>
        <v>17</v>
      </c>
      <c r="AY33" s="168">
        <f t="shared" si="23"/>
        <v>25</v>
      </c>
      <c r="AZ33" s="169"/>
      <c r="BA33" s="169"/>
      <c r="BC33" s="168">
        <f t="shared" ca="1" si="24"/>
        <v>27</v>
      </c>
      <c r="BD33" s="209">
        <f t="shared" ca="1" si="6"/>
        <v>31</v>
      </c>
      <c r="BF33" s="173" t="str">
        <f t="shared" ca="1" si="7"/>
        <v>OGE Energy Corp.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OGE</v>
      </c>
    </row>
    <row r="34" spans="1:61" ht="13.8" x14ac:dyDescent="0.25">
      <c r="A34" s="223" t="s">
        <v>303</v>
      </c>
      <c r="B34" s="224" t="s">
        <v>140</v>
      </c>
      <c r="C34" s="224">
        <v>19</v>
      </c>
      <c r="D34" s="224" t="s">
        <v>304</v>
      </c>
      <c r="E34" s="225" t="str">
        <f t="shared" ca="1" si="8"/>
        <v>R</v>
      </c>
      <c r="F34" s="348"/>
      <c r="G34" s="349">
        <f t="shared" ca="1" si="1"/>
        <v>38</v>
      </c>
      <c r="H34" s="350"/>
      <c r="I34" s="237"/>
      <c r="J34" s="191"/>
      <c r="K34" s="237"/>
      <c r="N34" s="237"/>
      <c r="Q34" s="237"/>
      <c r="T34" s="237"/>
      <c r="W34" s="237"/>
      <c r="AF34" s="169">
        <f t="shared" si="2"/>
        <v>0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33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240</v>
      </c>
      <c r="AR34" s="207" t="s">
        <v>139</v>
      </c>
      <c r="AS34" s="207">
        <v>20</v>
      </c>
      <c r="AT34" s="207" t="s">
        <v>241</v>
      </c>
      <c r="AV34" s="168">
        <f t="shared" si="21"/>
        <v>3</v>
      </c>
      <c r="AW34" s="168">
        <f>COUNTIF( AV$7:AV34, AV34 )</f>
        <v>7</v>
      </c>
      <c r="AX34" s="208">
        <f t="shared" si="22"/>
        <v>3.7</v>
      </c>
      <c r="AY34" s="168">
        <f t="shared" si="23"/>
        <v>9</v>
      </c>
      <c r="AZ34" s="169"/>
      <c r="BA34" s="169"/>
      <c r="BC34" s="168">
        <f t="shared" ca="1" si="24"/>
        <v>28</v>
      </c>
      <c r="BD34" s="209">
        <f t="shared" ca="1" si="6"/>
        <v>35</v>
      </c>
      <c r="BF34" s="173" t="str">
        <f t="shared" ca="1" si="7"/>
        <v>PNM Resources, Inc.</v>
      </c>
      <c r="BG34" s="173" t="str">
        <f t="shared" ca="1" si="7"/>
        <v>BBB+</v>
      </c>
      <c r="BH34" s="173">
        <f t="shared" ca="1" si="7"/>
        <v>19</v>
      </c>
      <c r="BI34" s="173" t="str">
        <f ca="1">OFFSET( AT$6, $BD34, 0 )</f>
        <v>PNM</v>
      </c>
    </row>
    <row r="35" spans="1:61" ht="13.8" x14ac:dyDescent="0.25">
      <c r="A35" s="223" t="s">
        <v>285</v>
      </c>
      <c r="B35" s="224" t="s">
        <v>140</v>
      </c>
      <c r="C35" s="224">
        <v>19</v>
      </c>
      <c r="D35" s="224" t="s">
        <v>286</v>
      </c>
      <c r="E35" s="225" t="str">
        <f t="shared" ca="1" si="8"/>
        <v>R</v>
      </c>
      <c r="F35" s="348"/>
      <c r="G35" s="349">
        <f t="shared" ca="1" si="1"/>
        <v>39</v>
      </c>
      <c r="H35" s="350"/>
      <c r="I35" s="237"/>
      <c r="K35" s="237"/>
      <c r="N35" s="237"/>
      <c r="Q35" s="237"/>
      <c r="T35" s="237"/>
      <c r="W35" s="237"/>
      <c r="AF35" s="169">
        <f t="shared" si="2"/>
        <v>0</v>
      </c>
      <c r="AG35" s="169">
        <f t="shared" ca="1" si="3"/>
        <v>1</v>
      </c>
      <c r="AH35" s="169" t="str">
        <f t="shared" ca="1" si="18"/>
        <v/>
      </c>
      <c r="AJ35" s="169">
        <f t="shared" ca="1" si="19"/>
        <v>46</v>
      </c>
      <c r="AK35" s="169" t="str">
        <f t="shared" ca="1" si="20"/>
        <v>BBB</v>
      </c>
      <c r="AL35" s="169">
        <f t="shared" ca="1" si="20"/>
        <v>18</v>
      </c>
      <c r="AM35" s="169" t="str">
        <f t="shared" ca="1" si="4"/>
        <v>Change</v>
      </c>
      <c r="AQ35" s="207" t="s">
        <v>273</v>
      </c>
      <c r="AR35" s="207" t="s">
        <v>140</v>
      </c>
      <c r="AS35" s="207">
        <v>19</v>
      </c>
      <c r="AT35" s="207" t="s">
        <v>274</v>
      </c>
      <c r="AV35" s="168">
        <f t="shared" si="21"/>
        <v>16</v>
      </c>
      <c r="AW35" s="168">
        <f>COUNTIF( AV$7:AV35, AV35 )</f>
        <v>11</v>
      </c>
      <c r="AX35" s="208">
        <f t="shared" si="22"/>
        <v>17.100000000000001</v>
      </c>
      <c r="AY35" s="168">
        <f t="shared" si="23"/>
        <v>26</v>
      </c>
      <c r="AZ35" s="169"/>
      <c r="BA35" s="169"/>
      <c r="BC35" s="168">
        <f t="shared" ca="1" si="24"/>
        <v>29</v>
      </c>
      <c r="BD35" s="209">
        <f t="shared" ca="1" si="6"/>
        <v>36</v>
      </c>
      <c r="BF35" s="173" t="str">
        <f t="shared" ca="1" si="7"/>
        <v>Portland General Electric Company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POR</v>
      </c>
    </row>
    <row r="36" spans="1:61" ht="13.8" x14ac:dyDescent="0.25">
      <c r="A36" s="223" t="s">
        <v>289</v>
      </c>
      <c r="B36" s="224" t="s">
        <v>140</v>
      </c>
      <c r="C36" s="224">
        <v>19</v>
      </c>
      <c r="D36" s="224" t="s">
        <v>290</v>
      </c>
      <c r="E36" s="225" t="str">
        <f t="shared" ca="1" si="8"/>
        <v>MR</v>
      </c>
      <c r="F36" s="348"/>
      <c r="G36" s="349">
        <f t="shared" ca="1" si="1"/>
        <v>41</v>
      </c>
      <c r="H36" s="350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34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297</v>
      </c>
      <c r="AR36" s="207" t="s">
        <v>141</v>
      </c>
      <c r="AS36" s="207">
        <v>18</v>
      </c>
      <c r="AT36" s="207" t="s">
        <v>298</v>
      </c>
      <c r="AV36" s="168">
        <f t="shared" si="21"/>
        <v>33</v>
      </c>
      <c r="AW36" s="168">
        <f>COUNTIF( AV$7:AV36, AV36 )</f>
        <v>7</v>
      </c>
      <c r="AX36" s="208">
        <f t="shared" si="22"/>
        <v>33.700000000000003</v>
      </c>
      <c r="AY36" s="168">
        <f t="shared" si="23"/>
        <v>39</v>
      </c>
      <c r="AZ36" s="169"/>
      <c r="BA36" s="169"/>
      <c r="BC36" s="168">
        <f t="shared" ca="1" si="24"/>
        <v>30</v>
      </c>
      <c r="BD36" s="209">
        <f t="shared" ca="1" si="6"/>
        <v>38</v>
      </c>
      <c r="BF36" s="173" t="str">
        <f t="shared" ca="1" si="7"/>
        <v>Public Service Enterprise Group Incorporated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PEG</v>
      </c>
    </row>
    <row r="37" spans="1:61" ht="13.8" x14ac:dyDescent="0.25">
      <c r="A37" s="223" t="s">
        <v>291</v>
      </c>
      <c r="B37" s="224" t="s">
        <v>140</v>
      </c>
      <c r="C37" s="224">
        <v>19</v>
      </c>
      <c r="D37" s="224" t="s">
        <v>292</v>
      </c>
      <c r="E37" s="225" t="str">
        <f t="shared" ca="1" si="8"/>
        <v>MR</v>
      </c>
      <c r="F37" s="348"/>
      <c r="G37" s="349">
        <f t="shared" ca="1" si="1"/>
        <v>43</v>
      </c>
      <c r="H37" s="350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35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277</v>
      </c>
      <c r="AR37" s="207" t="s">
        <v>140</v>
      </c>
      <c r="AS37" s="207">
        <v>19</v>
      </c>
      <c r="AT37" s="207" t="s">
        <v>278</v>
      </c>
      <c r="AV37" s="168">
        <f t="shared" si="21"/>
        <v>16</v>
      </c>
      <c r="AW37" s="168">
        <f>COUNTIF( AV$7:AV37, AV37 )</f>
        <v>12</v>
      </c>
      <c r="AX37" s="208">
        <f t="shared" si="22"/>
        <v>17.2</v>
      </c>
      <c r="AY37" s="168">
        <f t="shared" si="23"/>
        <v>27</v>
      </c>
      <c r="AZ37" s="169"/>
      <c r="BA37" s="169"/>
      <c r="BC37" s="168">
        <f t="shared" ca="1" si="24"/>
        <v>31</v>
      </c>
      <c r="BD37" s="209">
        <f t="shared" ca="1" si="6"/>
        <v>41</v>
      </c>
      <c r="BF37" s="173" t="str">
        <f t="shared" ca="1" si="7"/>
        <v>Sempra Energy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SRE</v>
      </c>
    </row>
    <row r="38" spans="1:61" ht="13.8" x14ac:dyDescent="0.25">
      <c r="A38" s="223" t="s">
        <v>295</v>
      </c>
      <c r="B38" s="224" t="s">
        <v>140</v>
      </c>
      <c r="C38" s="224">
        <v>19</v>
      </c>
      <c r="D38" s="224" t="s">
        <v>296</v>
      </c>
      <c r="E38" s="225" t="str">
        <f t="shared" ca="1" si="8"/>
        <v>R</v>
      </c>
      <c r="F38" s="348"/>
      <c r="G38" s="349">
        <f t="shared" ca="1" si="1"/>
        <v>45</v>
      </c>
      <c r="H38" s="350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36</v>
      </c>
      <c r="AK38" s="169" t="str">
        <f t="shared" ca="1" si="20"/>
        <v>BBB+</v>
      </c>
      <c r="AL38" s="169">
        <f t="shared" ca="1" si="20"/>
        <v>19</v>
      </c>
      <c r="AM38" s="169" t="str">
        <f t="shared" ca="1" si="4"/>
        <v/>
      </c>
      <c r="AQ38" s="207" t="s">
        <v>299</v>
      </c>
      <c r="AR38" s="207" t="s">
        <v>141</v>
      </c>
      <c r="AS38" s="207">
        <v>18</v>
      </c>
      <c r="AT38" s="207" t="s">
        <v>300</v>
      </c>
      <c r="AV38" s="168">
        <f t="shared" si="21"/>
        <v>33</v>
      </c>
      <c r="AW38" s="168">
        <f>COUNTIF( AV$7:AV38, AV38 )</f>
        <v>8</v>
      </c>
      <c r="AX38" s="208">
        <f t="shared" si="22"/>
        <v>33.799999999999997</v>
      </c>
      <c r="AY38" s="168">
        <f t="shared" si="23"/>
        <v>40</v>
      </c>
      <c r="AZ38" s="169"/>
      <c r="BA38" s="169"/>
      <c r="BC38" s="168">
        <f t="shared" ca="1" si="24"/>
        <v>32</v>
      </c>
      <c r="BD38" s="209">
        <f t="shared" ca="1" si="6"/>
        <v>43</v>
      </c>
      <c r="BF38" s="173" t="str">
        <f t="shared" ca="1" si="7"/>
        <v>Unitil Corporation</v>
      </c>
      <c r="BG38" s="173" t="str">
        <f t="shared" ca="1" si="7"/>
        <v>BBB+</v>
      </c>
      <c r="BH38" s="173">
        <f t="shared" ca="1" si="7"/>
        <v>19</v>
      </c>
      <c r="BI38" s="173" t="str">
        <f t="shared" ca="1" si="7"/>
        <v>UTL</v>
      </c>
    </row>
    <row r="39" spans="1:61" ht="13.8" x14ac:dyDescent="0.25">
      <c r="A39" s="223" t="s">
        <v>238</v>
      </c>
      <c r="B39" s="224" t="s">
        <v>141</v>
      </c>
      <c r="C39" s="224">
        <v>18</v>
      </c>
      <c r="D39" s="224" t="s">
        <v>239</v>
      </c>
      <c r="E39" s="225" t="str">
        <f t="shared" ca="1" si="8"/>
        <v>R</v>
      </c>
      <c r="F39" s="348"/>
      <c r="G39" s="349">
        <f t="shared" ca="1" si="1"/>
        <v>12</v>
      </c>
      <c r="H39" s="350"/>
      <c r="I39" s="237"/>
      <c r="K39" s="237"/>
      <c r="L39" s="173"/>
      <c r="N39" s="237"/>
      <c r="Q39" s="237"/>
      <c r="T39" s="237"/>
      <c r="W39" s="237"/>
      <c r="AF39" s="169">
        <f t="shared" si="2"/>
        <v>1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37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301</v>
      </c>
      <c r="AR39" s="207" t="s">
        <v>141</v>
      </c>
      <c r="AS39" s="207">
        <v>18</v>
      </c>
      <c r="AT39" s="207" t="s">
        <v>302</v>
      </c>
      <c r="AV39" s="168">
        <f t="shared" si="21"/>
        <v>33</v>
      </c>
      <c r="AW39" s="168">
        <f>COUNTIF( AV$7:AV39, AV39 )</f>
        <v>9</v>
      </c>
      <c r="AX39" s="208">
        <f t="shared" si="22"/>
        <v>33.9</v>
      </c>
      <c r="AY39" s="168">
        <f t="shared" si="23"/>
        <v>41</v>
      </c>
      <c r="AZ39" s="169"/>
      <c r="BA39" s="169"/>
      <c r="BC39" s="168">
        <f t="shared" ca="1" si="24"/>
        <v>33</v>
      </c>
      <c r="BD39" s="209">
        <f t="shared" ca="1" si="6"/>
        <v>6</v>
      </c>
      <c r="BF39" s="173" t="str">
        <f t="shared" ref="BF39:BI63" ca="1" si="25">OFFSET( AQ$6, $BD39, 0 )</f>
        <v>Avista Corporation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AVA</v>
      </c>
    </row>
    <row r="40" spans="1:61" ht="13.8" x14ac:dyDescent="0.25">
      <c r="A40" s="223" t="s">
        <v>328</v>
      </c>
      <c r="B40" s="224" t="s">
        <v>141</v>
      </c>
      <c r="C40" s="224">
        <v>18</v>
      </c>
      <c r="D40" s="224" t="s">
        <v>331</v>
      </c>
      <c r="E40" s="225" t="str">
        <f t="shared" ca="1" si="8"/>
        <v>R</v>
      </c>
      <c r="F40" s="348"/>
      <c r="G40" s="349">
        <f t="shared" ca="1" si="1"/>
        <v>21</v>
      </c>
      <c r="H40" s="350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1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39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281</v>
      </c>
      <c r="AR40" s="207" t="s">
        <v>139</v>
      </c>
      <c r="AS40" s="207">
        <v>20</v>
      </c>
      <c r="AT40" s="207" t="s">
        <v>282</v>
      </c>
      <c r="AV40" s="168">
        <f t="shared" si="21"/>
        <v>3</v>
      </c>
      <c r="AW40" s="168">
        <f>COUNTIF( AV$7:AV40, AV40 )</f>
        <v>8</v>
      </c>
      <c r="AX40" s="208">
        <f t="shared" si="22"/>
        <v>3.8</v>
      </c>
      <c r="AY40" s="168">
        <f t="shared" si="23"/>
        <v>10</v>
      </c>
      <c r="AZ40" s="169"/>
      <c r="BA40" s="169"/>
      <c r="BC40" s="168">
        <f t="shared" ca="1" si="24"/>
        <v>34</v>
      </c>
      <c r="BD40" s="209">
        <f t="shared" ca="1" si="6"/>
        <v>18</v>
      </c>
      <c r="BF40" s="173" t="str">
        <f t="shared" ca="1" si="25"/>
        <v>El Paso Electric Company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EE</v>
      </c>
    </row>
    <row r="41" spans="1:61" ht="13.8" x14ac:dyDescent="0.25">
      <c r="A41" s="223" t="s">
        <v>269</v>
      </c>
      <c r="B41" s="224" t="s">
        <v>141</v>
      </c>
      <c r="C41" s="224">
        <v>18</v>
      </c>
      <c r="D41" s="224" t="s">
        <v>270</v>
      </c>
      <c r="E41" s="225" t="str">
        <f t="shared" ca="1" si="8"/>
        <v>MR</v>
      </c>
      <c r="F41" s="348"/>
      <c r="G41" s="349">
        <f t="shared" ca="1" si="1"/>
        <v>25</v>
      </c>
      <c r="H41" s="350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1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40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303</v>
      </c>
      <c r="AR41" s="207" t="s">
        <v>140</v>
      </c>
      <c r="AS41" s="207">
        <v>19</v>
      </c>
      <c r="AT41" s="207" t="s">
        <v>304</v>
      </c>
      <c r="AV41" s="168">
        <f t="shared" si="21"/>
        <v>16</v>
      </c>
      <c r="AW41" s="168">
        <f>COUNTIF( AV$7:AV41, AV41 )</f>
        <v>13</v>
      </c>
      <c r="AX41" s="208">
        <f t="shared" si="22"/>
        <v>17.3</v>
      </c>
      <c r="AY41" s="168">
        <f t="shared" si="23"/>
        <v>28</v>
      </c>
      <c r="AZ41" s="169"/>
      <c r="BA41" s="169"/>
      <c r="BC41" s="168">
        <f t="shared" ca="1" si="24"/>
        <v>35</v>
      </c>
      <c r="BD41" s="209">
        <f t="shared" ca="1" si="6"/>
        <v>22</v>
      </c>
      <c r="BF41" s="173" t="str">
        <f t="shared" ca="1" si="25"/>
        <v>Exelon Corporation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EXC</v>
      </c>
    </row>
    <row r="42" spans="1:61" ht="13.8" x14ac:dyDescent="0.25">
      <c r="A42" s="223" t="s">
        <v>275</v>
      </c>
      <c r="B42" s="224" t="s">
        <v>141</v>
      </c>
      <c r="C42" s="224">
        <v>18</v>
      </c>
      <c r="D42" s="224" t="s">
        <v>276</v>
      </c>
      <c r="E42" s="225" t="str">
        <f t="shared" ca="1" si="8"/>
        <v>R</v>
      </c>
      <c r="F42" s="348"/>
      <c r="G42" s="349">
        <f t="shared" ca="1" si="1"/>
        <v>26</v>
      </c>
      <c r="H42" s="350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1</v>
      </c>
      <c r="AG42" s="169">
        <f t="shared" ca="1" si="3"/>
        <v>1</v>
      </c>
      <c r="AH42" s="169" t="str">
        <f t="shared" ca="1" si="18"/>
        <v/>
      </c>
      <c r="AJ42" s="169">
        <f t="shared" ca="1" si="19"/>
        <v>50</v>
      </c>
      <c r="AK42" s="169" t="str">
        <f t="shared" ca="1" si="20"/>
        <v>BBB-</v>
      </c>
      <c r="AL42" s="169">
        <f t="shared" ca="1" si="20"/>
        <v>17</v>
      </c>
      <c r="AM42" s="169" t="str">
        <f t="shared" ca="1" si="4"/>
        <v>Change</v>
      </c>
      <c r="AQ42" s="207" t="s">
        <v>285</v>
      </c>
      <c r="AR42" s="207" t="s">
        <v>140</v>
      </c>
      <c r="AS42" s="207">
        <v>19</v>
      </c>
      <c r="AT42" s="207" t="s">
        <v>286</v>
      </c>
      <c r="AV42" s="168">
        <f t="shared" si="21"/>
        <v>16</v>
      </c>
      <c r="AW42" s="168">
        <f>COUNTIF( AV$7:AV42, AV42 )</f>
        <v>14</v>
      </c>
      <c r="AX42" s="208">
        <f t="shared" si="22"/>
        <v>17.399999999999999</v>
      </c>
      <c r="AY42" s="168">
        <f t="shared" si="23"/>
        <v>29</v>
      </c>
      <c r="AZ42" s="169"/>
      <c r="BA42" s="169"/>
      <c r="BC42" s="168">
        <f t="shared" ca="1" si="24"/>
        <v>36</v>
      </c>
      <c r="BD42" s="209">
        <f t="shared" ca="1" si="6"/>
        <v>23</v>
      </c>
      <c r="BF42" s="173" t="str">
        <f t="shared" ca="1" si="25"/>
        <v>FirstEnergy Corp.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FE</v>
      </c>
    </row>
    <row r="43" spans="1:61" ht="13.8" x14ac:dyDescent="0.25">
      <c r="A43" s="223" t="s">
        <v>283</v>
      </c>
      <c r="B43" s="224" t="s">
        <v>141</v>
      </c>
      <c r="C43" s="224">
        <v>18</v>
      </c>
      <c r="D43" s="224" t="s">
        <v>284</v>
      </c>
      <c r="E43" s="225" t="str">
        <f t="shared" ca="1" si="8"/>
        <v>R</v>
      </c>
      <c r="F43" s="348"/>
      <c r="G43" s="349">
        <f t="shared" ca="1" si="1"/>
        <v>28</v>
      </c>
      <c r="H43" s="350"/>
      <c r="I43" s="237"/>
      <c r="J43" s="191"/>
      <c r="K43" s="237"/>
      <c r="N43" s="237"/>
      <c r="Q43" s="237"/>
      <c r="T43" s="237"/>
      <c r="W43" s="237"/>
      <c r="AF43" s="169">
        <f t="shared" si="2"/>
        <v>1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41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243</v>
      </c>
      <c r="AR43" s="207" t="s">
        <v>139</v>
      </c>
      <c r="AS43" s="207">
        <v>20</v>
      </c>
      <c r="AT43" s="207" t="s">
        <v>244</v>
      </c>
      <c r="AV43" s="168">
        <f t="shared" si="21"/>
        <v>3</v>
      </c>
      <c r="AW43" s="168">
        <f>COUNTIF( AV$7:AV43, AV43 )</f>
        <v>9</v>
      </c>
      <c r="AX43" s="208">
        <f t="shared" si="22"/>
        <v>3.9</v>
      </c>
      <c r="AY43" s="168">
        <f t="shared" si="23"/>
        <v>11</v>
      </c>
      <c r="AZ43" s="169"/>
      <c r="BA43" s="169"/>
      <c r="BC43" s="168">
        <f t="shared" ca="1" si="24"/>
        <v>37</v>
      </c>
      <c r="BD43" s="209">
        <f t="shared" ca="1" si="6"/>
        <v>25</v>
      </c>
      <c r="BF43" s="173" t="str">
        <f t="shared" ca="1" si="25"/>
        <v>IDACORP, Inc.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IDA</v>
      </c>
    </row>
    <row r="44" spans="1:61" ht="13.8" x14ac:dyDescent="0.25">
      <c r="A44" s="223" t="s">
        <v>287</v>
      </c>
      <c r="B44" s="224" t="s">
        <v>141</v>
      </c>
      <c r="C44" s="224">
        <v>18</v>
      </c>
      <c r="D44" s="224" t="s">
        <v>288</v>
      </c>
      <c r="E44" s="225" t="str">
        <f t="shared" ca="1" si="8"/>
        <v>R</v>
      </c>
      <c r="F44" s="348"/>
      <c r="G44" s="349">
        <f t="shared" ca="1" si="1"/>
        <v>55</v>
      </c>
      <c r="H44" s="350"/>
      <c r="I44" s="237"/>
      <c r="J44" s="191"/>
      <c r="K44" s="237"/>
      <c r="N44" s="237"/>
      <c r="Q44" s="237"/>
      <c r="T44" s="237"/>
      <c r="W44" s="237"/>
      <c r="AF44" s="169">
        <f t="shared" si="2"/>
        <v>1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42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289</v>
      </c>
      <c r="AR44" s="207" t="s">
        <v>140</v>
      </c>
      <c r="AS44" s="207">
        <v>19</v>
      </c>
      <c r="AT44" s="207" t="s">
        <v>290</v>
      </c>
      <c r="AV44" s="168">
        <f t="shared" si="21"/>
        <v>16</v>
      </c>
      <c r="AW44" s="168">
        <f>COUNTIF( AV$7:AV44, AV44 )</f>
        <v>15</v>
      </c>
      <c r="AX44" s="208">
        <f t="shared" si="22"/>
        <v>17.5</v>
      </c>
      <c r="AY44" s="168">
        <f t="shared" si="23"/>
        <v>30</v>
      </c>
      <c r="AZ44" s="169"/>
      <c r="BA44" s="169"/>
      <c r="BC44" s="168">
        <f t="shared" ca="1" si="24"/>
        <v>38</v>
      </c>
      <c r="BD44" s="209">
        <f t="shared" ca="1" si="6"/>
        <v>26</v>
      </c>
      <c r="BF44" s="173" t="str">
        <f t="shared" ca="1" si="25"/>
        <v>IPALCO Enterprises, Inc.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**IPALCO</v>
      </c>
    </row>
    <row r="45" spans="1:61" ht="13.8" x14ac:dyDescent="0.25">
      <c r="A45" s="223" t="s">
        <v>297</v>
      </c>
      <c r="B45" s="224" t="s">
        <v>141</v>
      </c>
      <c r="C45" s="224">
        <v>18</v>
      </c>
      <c r="D45" s="224" t="s">
        <v>298</v>
      </c>
      <c r="E45" s="225" t="str">
        <f t="shared" ca="1" si="8"/>
        <v>R</v>
      </c>
      <c r="F45" s="348"/>
      <c r="G45" s="349">
        <f t="shared" ca="1" si="1"/>
        <v>33</v>
      </c>
      <c r="H45" s="350"/>
      <c r="I45" s="237"/>
      <c r="J45" s="191"/>
      <c r="K45" s="237"/>
      <c r="N45" s="237"/>
      <c r="Q45" s="237"/>
      <c r="T45" s="237"/>
      <c r="W45" s="237"/>
      <c r="AF45" s="169">
        <f t="shared" si="2"/>
        <v>1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43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305</v>
      </c>
      <c r="AR45" s="207" t="s">
        <v>142</v>
      </c>
      <c r="AS45" s="207">
        <v>17</v>
      </c>
      <c r="AT45" s="207" t="s">
        <v>306</v>
      </c>
      <c r="AV45" s="168">
        <f t="shared" si="21"/>
        <v>42</v>
      </c>
      <c r="AW45" s="168">
        <f>COUNTIF( AV$7:AV45, AV45 )</f>
        <v>4</v>
      </c>
      <c r="AX45" s="208">
        <f t="shared" si="22"/>
        <v>42.4</v>
      </c>
      <c r="AY45" s="168">
        <f t="shared" si="23"/>
        <v>45</v>
      </c>
      <c r="AZ45" s="169"/>
      <c r="BA45" s="169"/>
      <c r="BC45" s="168">
        <f t="shared" ca="1" si="24"/>
        <v>39</v>
      </c>
      <c r="BD45" s="209">
        <f t="shared" ca="1" si="6"/>
        <v>30</v>
      </c>
      <c r="BF45" s="173" t="str">
        <f t="shared" ca="1" si="25"/>
        <v>NorthWestern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NWE</v>
      </c>
    </row>
    <row r="46" spans="1:61" ht="13.8" x14ac:dyDescent="0.25">
      <c r="A46" s="223" t="s">
        <v>299</v>
      </c>
      <c r="B46" s="224" t="s">
        <v>141</v>
      </c>
      <c r="C46" s="224">
        <v>18</v>
      </c>
      <c r="D46" s="224" t="s">
        <v>300</v>
      </c>
      <c r="E46" s="225" t="str">
        <f t="shared" ca="1" si="8"/>
        <v>R</v>
      </c>
      <c r="F46" s="348"/>
      <c r="G46" s="349">
        <f t="shared" ca="1" si="1"/>
        <v>35</v>
      </c>
      <c r="H46" s="350"/>
      <c r="I46" s="191"/>
      <c r="K46" s="191"/>
      <c r="N46" s="351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44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347</v>
      </c>
      <c r="AR46" s="207" t="s">
        <v>142</v>
      </c>
      <c r="AS46" s="207">
        <v>17</v>
      </c>
      <c r="AT46" s="207" t="s">
        <v>348</v>
      </c>
      <c r="AV46" s="168">
        <f t="shared" si="21"/>
        <v>42</v>
      </c>
      <c r="AW46" s="168">
        <f>COUNTIF( AV$7:AV46, AV46 )</f>
        <v>5</v>
      </c>
      <c r="AX46" s="208">
        <f t="shared" si="22"/>
        <v>42.5</v>
      </c>
      <c r="AY46" s="168">
        <f t="shared" si="23"/>
        <v>46</v>
      </c>
      <c r="AZ46" s="169"/>
      <c r="BA46" s="169"/>
      <c r="BC46" s="168">
        <f t="shared" ca="1" si="24"/>
        <v>40</v>
      </c>
      <c r="BD46" s="209">
        <f t="shared" ca="1" si="6"/>
        <v>32</v>
      </c>
      <c r="BF46" s="173" t="str">
        <f t="shared" ca="1" si="25"/>
        <v>Otter Tail Corporation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OTTR</v>
      </c>
    </row>
    <row r="47" spans="1:61" ht="13.8" x14ac:dyDescent="0.25">
      <c r="A47" s="223" t="s">
        <v>301</v>
      </c>
      <c r="B47" s="224" t="s">
        <v>141</v>
      </c>
      <c r="C47" s="224">
        <v>18</v>
      </c>
      <c r="D47" s="224" t="s">
        <v>302</v>
      </c>
      <c r="E47" s="225" t="str">
        <f t="shared" ca="1" si="8"/>
        <v>R</v>
      </c>
      <c r="F47" s="348"/>
      <c r="G47" s="349">
        <f t="shared" ca="1" si="1"/>
        <v>36</v>
      </c>
      <c r="H47" s="350"/>
      <c r="I47" s="350"/>
      <c r="J47" s="187" t="s">
        <v>307</v>
      </c>
      <c r="K47" s="191"/>
      <c r="M47" s="351"/>
      <c r="N47" s="351"/>
      <c r="AF47" s="169">
        <f t="shared" si="2"/>
        <v>1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45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291</v>
      </c>
      <c r="AR47" s="207" t="s">
        <v>140</v>
      </c>
      <c r="AS47" s="207">
        <v>19</v>
      </c>
      <c r="AT47" s="207" t="s">
        <v>292</v>
      </c>
      <c r="AV47" s="168">
        <f t="shared" si="21"/>
        <v>16</v>
      </c>
      <c r="AW47" s="168">
        <f>COUNTIF( AV$7:AV47, AV47 )</f>
        <v>16</v>
      </c>
      <c r="AX47" s="208">
        <f t="shared" si="22"/>
        <v>17.600000000000001</v>
      </c>
      <c r="AY47" s="168">
        <f t="shared" si="23"/>
        <v>31</v>
      </c>
      <c r="AZ47" s="169"/>
      <c r="BA47" s="169"/>
      <c r="BC47" s="168">
        <f t="shared" ca="1" si="24"/>
        <v>41</v>
      </c>
      <c r="BD47" s="209">
        <f t="shared" ca="1" si="6"/>
        <v>33</v>
      </c>
      <c r="BF47" s="173" t="str">
        <f t="shared" ca="1" si="25"/>
        <v>PG&amp;E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PCG</v>
      </c>
    </row>
    <row r="48" spans="1:61" ht="13.8" x14ac:dyDescent="0.25">
      <c r="A48" s="223" t="s">
        <v>254</v>
      </c>
      <c r="B48" s="224" t="s">
        <v>142</v>
      </c>
      <c r="C48" s="224">
        <v>17</v>
      </c>
      <c r="D48" s="224" t="s">
        <v>255</v>
      </c>
      <c r="E48" s="225" t="str">
        <f t="shared" ca="1" si="8"/>
        <v>R</v>
      </c>
      <c r="F48" s="348"/>
      <c r="G48" s="349">
        <f t="shared" ca="1" si="1"/>
        <v>53</v>
      </c>
      <c r="H48" s="350"/>
      <c r="I48" s="350"/>
      <c r="K48" s="191"/>
      <c r="M48" s="351"/>
      <c r="N48" s="351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48</v>
      </c>
      <c r="AK48" s="169" t="str">
        <f t="shared" ca="1" si="20"/>
        <v>BBB-</v>
      </c>
      <c r="AL48" s="169">
        <f t="shared" ca="1" si="20"/>
        <v>17</v>
      </c>
      <c r="AM48" s="169" t="str">
        <f t="shared" ca="1" si="4"/>
        <v/>
      </c>
      <c r="AQ48" s="207" t="s">
        <v>293</v>
      </c>
      <c r="AR48" s="207" t="s">
        <v>139</v>
      </c>
      <c r="AS48" s="207">
        <v>20</v>
      </c>
      <c r="AT48" s="207" t="s">
        <v>294</v>
      </c>
      <c r="AV48" s="168">
        <f t="shared" si="21"/>
        <v>3</v>
      </c>
      <c r="AW48" s="168">
        <f>COUNTIF( AV$7:AV48, AV48 )</f>
        <v>10</v>
      </c>
      <c r="AX48" s="208">
        <f t="shared" si="22"/>
        <v>4</v>
      </c>
      <c r="AY48" s="168">
        <f t="shared" si="23"/>
        <v>12</v>
      </c>
      <c r="AZ48" s="169"/>
      <c r="BA48" s="169"/>
      <c r="BC48" s="168">
        <f t="shared" ca="1" si="24"/>
        <v>42</v>
      </c>
      <c r="BD48" s="209">
        <f t="shared" ca="1" si="6"/>
        <v>10</v>
      </c>
      <c r="BF48" s="173" t="str">
        <f t="shared" ca="1" si="25"/>
        <v>Cleco Corporation</v>
      </c>
      <c r="BG48" s="173" t="str">
        <f t="shared" ca="1" si="25"/>
        <v>BBB-</v>
      </c>
      <c r="BH48" s="173">
        <f t="shared" ca="1" si="25"/>
        <v>17</v>
      </c>
      <c r="BI48" s="173" t="str">
        <f t="shared" ca="1" si="25"/>
        <v>**CNL</v>
      </c>
    </row>
    <row r="49" spans="1:61" ht="13.8" x14ac:dyDescent="0.25">
      <c r="A49" s="223" t="s">
        <v>259</v>
      </c>
      <c r="B49" s="224" t="s">
        <v>142</v>
      </c>
      <c r="C49" s="224">
        <v>17</v>
      </c>
      <c r="D49" s="224" t="s">
        <v>260</v>
      </c>
      <c r="E49" s="225" t="str">
        <f t="shared" ca="1" si="8"/>
        <v>R</v>
      </c>
      <c r="F49" s="348"/>
      <c r="G49" s="349">
        <f t="shared" ca="1" si="1"/>
        <v>54</v>
      </c>
      <c r="H49" s="350"/>
      <c r="I49" s="350"/>
      <c r="J49" s="191"/>
      <c r="K49" s="191"/>
      <c r="M49" s="351"/>
      <c r="N49" s="351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4"/>
        <v/>
      </c>
      <c r="AQ49" s="207" t="s">
        <v>295</v>
      </c>
      <c r="AR49" s="207" t="s">
        <v>140</v>
      </c>
      <c r="AS49" s="207">
        <v>19</v>
      </c>
      <c r="AT49" s="207" t="s">
        <v>296</v>
      </c>
      <c r="AV49" s="168">
        <f t="shared" si="21"/>
        <v>16</v>
      </c>
      <c r="AW49" s="168">
        <f>COUNTIF( AV$7:AV49, AV49 )</f>
        <v>17</v>
      </c>
      <c r="AX49" s="208">
        <f t="shared" si="22"/>
        <v>17.7</v>
      </c>
      <c r="AY49" s="168">
        <f t="shared" si="23"/>
        <v>32</v>
      </c>
      <c r="AZ49" s="169"/>
      <c r="BA49" s="169"/>
      <c r="BC49" s="168">
        <f t="shared" ca="1" si="24"/>
        <v>43</v>
      </c>
      <c r="BD49" s="209">
        <f t="shared" ca="1" si="6"/>
        <v>14</v>
      </c>
      <c r="BF49" s="173" t="str">
        <f t="shared" ca="1" si="25"/>
        <v>DPL Inc.</v>
      </c>
      <c r="BG49" s="173" t="str">
        <f t="shared" ca="1" si="25"/>
        <v>BBB-</v>
      </c>
      <c r="BH49" s="173">
        <f t="shared" ca="1" si="25"/>
        <v>17</v>
      </c>
      <c r="BI49" s="173" t="str">
        <f t="shared" ca="1" si="25"/>
        <v>**DPL</v>
      </c>
    </row>
    <row r="50" spans="1:61" ht="13.8" x14ac:dyDescent="0.25">
      <c r="A50" s="223" t="s">
        <v>279</v>
      </c>
      <c r="B50" s="224" t="s">
        <v>142</v>
      </c>
      <c r="C50" s="224">
        <v>17</v>
      </c>
      <c r="D50" s="224" t="s">
        <v>280</v>
      </c>
      <c r="E50" s="225" t="str">
        <f t="shared" ca="1" si="8"/>
        <v>MR</v>
      </c>
      <c r="F50" s="348"/>
      <c r="G50" s="349">
        <f t="shared" ca="1" si="1"/>
        <v>27</v>
      </c>
      <c r="H50" s="350"/>
      <c r="I50" s="350"/>
      <c r="J50" s="191"/>
      <c r="K50" s="191"/>
      <c r="M50" s="351"/>
      <c r="N50" s="351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51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4"/>
        <v/>
      </c>
      <c r="AQ50" s="207" t="s">
        <v>345</v>
      </c>
      <c r="AR50" s="207" t="s">
        <v>139</v>
      </c>
      <c r="AS50" s="207">
        <v>20</v>
      </c>
      <c r="AT50" s="207" t="s">
        <v>346</v>
      </c>
      <c r="AV50" s="168">
        <f t="shared" si="21"/>
        <v>3</v>
      </c>
      <c r="AW50" s="168">
        <f>COUNTIF( AV$7:AV50, AV50 )</f>
        <v>11</v>
      </c>
      <c r="AX50" s="208">
        <f t="shared" si="22"/>
        <v>4.0999999999999996</v>
      </c>
      <c r="AY50" s="168">
        <f t="shared" si="23"/>
        <v>13</v>
      </c>
      <c r="AZ50" s="169"/>
      <c r="BA50" s="169"/>
      <c r="BC50" s="168">
        <f t="shared" ca="1" si="24"/>
        <v>44</v>
      </c>
      <c r="BD50" s="209">
        <f t="shared" ca="1" si="6"/>
        <v>24</v>
      </c>
      <c r="BF50" s="173" t="str">
        <f t="shared" ca="1" si="25"/>
        <v>Hawaiian Electric Industries, Inc.</v>
      </c>
      <c r="BG50" s="173" t="str">
        <f t="shared" ca="1" si="25"/>
        <v>BBB-</v>
      </c>
      <c r="BH50" s="173">
        <f t="shared" ca="1" si="25"/>
        <v>17</v>
      </c>
      <c r="BI50" s="173" t="str">
        <f t="shared" ca="1" si="25"/>
        <v>HE</v>
      </c>
    </row>
    <row r="51" spans="1:61" ht="13.8" x14ac:dyDescent="0.25">
      <c r="A51" s="223" t="s">
        <v>305</v>
      </c>
      <c r="B51" s="224" t="s">
        <v>142</v>
      </c>
      <c r="C51" s="224">
        <v>17</v>
      </c>
      <c r="D51" s="224" t="s">
        <v>306</v>
      </c>
      <c r="E51" s="225" t="str">
        <f t="shared" ca="1" si="8"/>
        <v>R</v>
      </c>
      <c r="F51" s="348"/>
      <c r="G51" s="349">
        <f t="shared" ca="1" si="1"/>
        <v>57</v>
      </c>
      <c r="H51" s="350"/>
      <c r="I51" s="350"/>
      <c r="J51" s="191"/>
      <c r="K51" s="191"/>
      <c r="M51" s="351"/>
      <c r="N51" s="351"/>
      <c r="AF51" s="169">
        <f t="shared" si="2"/>
        <v>0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52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4"/>
        <v/>
      </c>
      <c r="AQ51" s="207" t="s">
        <v>247</v>
      </c>
      <c r="AR51" s="207" t="s">
        <v>139</v>
      </c>
      <c r="AS51" s="207">
        <v>20</v>
      </c>
      <c r="AT51" s="207" t="s">
        <v>248</v>
      </c>
      <c r="AV51" s="168">
        <f t="shared" si="21"/>
        <v>3</v>
      </c>
      <c r="AW51" s="168">
        <f>COUNTIF( AV$7:AV51, AV51 )</f>
        <v>12</v>
      </c>
      <c r="AX51" s="208">
        <f t="shared" si="22"/>
        <v>4.2</v>
      </c>
      <c r="AY51" s="168">
        <f t="shared" si="23"/>
        <v>14</v>
      </c>
      <c r="AZ51" s="169"/>
      <c r="BA51" s="169"/>
      <c r="BC51" s="168">
        <f t="shared" ca="1" si="24"/>
        <v>45</v>
      </c>
      <c r="BD51" s="209">
        <f t="shared" ca="1" si="6"/>
        <v>39</v>
      </c>
      <c r="BF51" s="173" t="str">
        <f t="shared" ca="1" si="25"/>
        <v>Puget Energy, Inc.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**PSD</v>
      </c>
    </row>
    <row r="52" spans="1:61" ht="13.8" x14ac:dyDescent="0.25">
      <c r="A52" s="223" t="s">
        <v>347</v>
      </c>
      <c r="B52" s="224" t="s">
        <v>142</v>
      </c>
      <c r="C52" s="224">
        <v>17</v>
      </c>
      <c r="D52" s="224" t="s">
        <v>348</v>
      </c>
      <c r="E52" s="225" t="str">
        <f t="shared" ca="1" si="8"/>
        <v>R</v>
      </c>
      <c r="F52" s="348"/>
      <c r="G52" s="349">
        <f t="shared" ca="1" si="1"/>
        <v>42</v>
      </c>
      <c r="H52" s="350"/>
      <c r="I52" s="350"/>
      <c r="J52" s="191"/>
      <c r="K52" s="191"/>
      <c r="AF52" s="169">
        <f t="shared" si="2"/>
        <v>0</v>
      </c>
      <c r="AG52" s="169" t="str">
        <f t="shared" ca="1" si="3"/>
        <v/>
      </c>
      <c r="AH52" s="169">
        <f t="shared" ca="1" si="18"/>
        <v>1</v>
      </c>
      <c r="AJ52" s="169">
        <f t="shared" ca="1" si="19"/>
        <v>47</v>
      </c>
      <c r="AK52" s="169" t="str">
        <f t="shared" ca="1" si="20"/>
        <v>BBB</v>
      </c>
      <c r="AL52" s="169">
        <f t="shared" ca="1" si="20"/>
        <v>18</v>
      </c>
      <c r="AM52" s="169" t="str">
        <f t="shared" ca="1" si="4"/>
        <v>Change</v>
      </c>
      <c r="AQ52" s="207" t="s">
        <v>251</v>
      </c>
      <c r="AR52" s="207" t="s">
        <v>139</v>
      </c>
      <c r="AS52" s="207">
        <v>20</v>
      </c>
      <c r="AT52" s="207" t="s">
        <v>252</v>
      </c>
      <c r="AV52" s="168">
        <f t="shared" si="21"/>
        <v>3</v>
      </c>
      <c r="AW52" s="168">
        <f>COUNTIF( AV$7:AV52, AV52 )</f>
        <v>13</v>
      </c>
      <c r="AX52" s="208">
        <f t="shared" si="22"/>
        <v>4.3</v>
      </c>
      <c r="AY52" s="168">
        <f t="shared" si="23"/>
        <v>15</v>
      </c>
      <c r="AZ52" s="169"/>
      <c r="BA52" s="169"/>
      <c r="BC52" s="168">
        <f t="shared" ca="1" si="24"/>
        <v>46</v>
      </c>
      <c r="BD52" s="209">
        <f t="shared" ca="1" si="6"/>
        <v>40</v>
      </c>
      <c r="BF52" s="173" t="str">
        <f t="shared" ca="1" si="25"/>
        <v>SCANA Corporation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SCG</v>
      </c>
    </row>
    <row r="53" spans="1:61" ht="13.8" x14ac:dyDescent="0.25">
      <c r="A53" s="223"/>
      <c r="B53" s="224"/>
      <c r="C53" s="224"/>
      <c r="D53" s="224"/>
      <c r="E53" s="225"/>
      <c r="F53" s="348"/>
      <c r="G53" s="349" t="str">
        <f t="shared" ca="1" si="1"/>
        <v/>
      </c>
      <c r="H53" s="350"/>
      <c r="I53" s="350"/>
      <c r="J53" s="191"/>
      <c r="K53" s="191"/>
      <c r="AF53" s="169">
        <f t="shared" si="2"/>
        <v>0</v>
      </c>
      <c r="AG53" s="169" t="str">
        <f t="shared" si="3"/>
        <v/>
      </c>
      <c r="AH53" s="169" t="str">
        <f t="shared" si="18"/>
        <v/>
      </c>
      <c r="AJ53" s="169" t="e">
        <f t="shared" ca="1" si="19"/>
        <v>#N/A</v>
      </c>
      <c r="AK53" s="169" t="str">
        <f t="shared" ca="1" si="20"/>
        <v/>
      </c>
      <c r="AL53" s="169" t="str">
        <f t="shared" ca="1" si="20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si="21"/>
        <v>99</v>
      </c>
      <c r="AW53" s="168">
        <f>COUNTIF( AV$7:AV53, AV53 )</f>
        <v>1</v>
      </c>
      <c r="AX53" s="208">
        <f t="shared" si="22"/>
        <v>99.1</v>
      </c>
      <c r="AY53" s="168">
        <f t="shared" si="23"/>
        <v>47</v>
      </c>
      <c r="AZ53" s="169"/>
      <c r="BA53" s="169"/>
      <c r="BC53" s="168">
        <f t="shared" ca="1" si="24"/>
        <v>47</v>
      </c>
      <c r="BD53" s="209">
        <f t="shared" ca="1" si="6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ht="13.8" x14ac:dyDescent="0.25">
      <c r="A54" s="223"/>
      <c r="B54" s="224"/>
      <c r="C54" s="224"/>
      <c r="D54" s="224"/>
      <c r="E54" s="225"/>
      <c r="F54" s="348"/>
      <c r="G54" s="349" t="str">
        <f t="shared" ca="1" si="1"/>
        <v/>
      </c>
      <c r="H54" s="350"/>
      <c r="I54" s="350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8"/>
        <v/>
      </c>
      <c r="AJ54" s="169" t="e">
        <f t="shared" ca="1" si="19"/>
        <v>#N/A</v>
      </c>
      <c r="AK54" s="169" t="str">
        <f t="shared" ca="1" si="20"/>
        <v/>
      </c>
      <c r="AL54" s="169" t="str">
        <f t="shared" ca="1" si="20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21"/>
        <v>99</v>
      </c>
      <c r="AW54" s="168">
        <f>COUNTIF( AV$7:AV54, AV54 )</f>
        <v>2</v>
      </c>
      <c r="AX54" s="208">
        <f t="shared" si="22"/>
        <v>99.2</v>
      </c>
      <c r="AY54" s="168">
        <f t="shared" si="23"/>
        <v>48</v>
      </c>
      <c r="AZ54" s="169"/>
      <c r="BA54" s="169"/>
      <c r="BC54" s="168">
        <f t="shared" ca="1" si="24"/>
        <v>48</v>
      </c>
      <c r="BD54" s="209">
        <f t="shared" ca="1" si="6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3.8" x14ac:dyDescent="0.25">
      <c r="A55" s="223"/>
      <c r="B55" s="224"/>
      <c r="C55" s="224"/>
      <c r="D55" s="224"/>
      <c r="E55" s="225"/>
      <c r="F55" s="348"/>
      <c r="G55" s="349" t="str">
        <f t="shared" ca="1" si="1"/>
        <v/>
      </c>
      <c r="H55" s="350"/>
      <c r="I55" s="350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8"/>
        <v/>
      </c>
      <c r="AJ55" s="169" t="e">
        <f t="shared" ca="1" si="19"/>
        <v>#N/A</v>
      </c>
      <c r="AK55" s="169" t="str">
        <f t="shared" ca="1" si="20"/>
        <v/>
      </c>
      <c r="AL55" s="169" t="str">
        <f t="shared" ca="1" si="20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1"/>
        <v>99</v>
      </c>
      <c r="AW55" s="168">
        <f>COUNTIF( AV$7:AV55, AV55 )</f>
        <v>3</v>
      </c>
      <c r="AX55" s="208">
        <f t="shared" si="22"/>
        <v>99.3</v>
      </c>
      <c r="AY55" s="168">
        <f t="shared" si="23"/>
        <v>49</v>
      </c>
      <c r="AZ55" s="169"/>
      <c r="BA55" s="169"/>
      <c r="BC55" s="168">
        <f t="shared" ca="1" si="24"/>
        <v>49</v>
      </c>
      <c r="BD55" s="209">
        <f t="shared" ca="1" si="6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3.8" x14ac:dyDescent="0.25">
      <c r="A56" s="223"/>
      <c r="B56" s="224"/>
      <c r="C56" s="224"/>
      <c r="D56" s="224"/>
      <c r="E56" s="225"/>
      <c r="F56" s="348"/>
      <c r="G56" s="349" t="str">
        <f t="shared" ca="1" si="1"/>
        <v/>
      </c>
      <c r="H56" s="350"/>
      <c r="I56" s="350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4</v>
      </c>
      <c r="AX56" s="208">
        <f t="shared" si="22"/>
        <v>99.4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8" x14ac:dyDescent="0.25">
      <c r="A57" s="223"/>
      <c r="B57" s="224"/>
      <c r="C57" s="224"/>
      <c r="D57" s="224"/>
      <c r="E57" s="225"/>
      <c r="F57" s="348"/>
      <c r="G57" s="349" t="str">
        <f t="shared" ca="1" si="1"/>
        <v/>
      </c>
      <c r="H57" s="350"/>
      <c r="I57" s="350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5</v>
      </c>
      <c r="AX57" s="208">
        <f t="shared" si="22"/>
        <v>99.5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8" x14ac:dyDescent="0.25">
      <c r="A58" s="223"/>
      <c r="B58" s="224"/>
      <c r="C58" s="224"/>
      <c r="D58" s="224"/>
      <c r="E58" s="225"/>
      <c r="F58" s="348"/>
      <c r="G58" s="349" t="str">
        <f t="shared" ca="1" si="1"/>
        <v/>
      </c>
      <c r="H58" s="350"/>
      <c r="I58" s="350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6</v>
      </c>
      <c r="AX58" s="208">
        <f t="shared" si="22"/>
        <v>99.6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8" x14ac:dyDescent="0.25">
      <c r="A59" s="223"/>
      <c r="B59" s="224"/>
      <c r="C59" s="224"/>
      <c r="D59" s="224"/>
      <c r="E59" s="225" t="str">
        <f t="shared" ca="1" si="8"/>
        <v/>
      </c>
      <c r="F59" s="348"/>
      <c r="G59" s="349" t="str">
        <f t="shared" ca="1" si="1"/>
        <v/>
      </c>
      <c r="H59" s="350"/>
      <c r="I59" s="350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7</v>
      </c>
      <c r="AX59" s="208">
        <f t="shared" si="22"/>
        <v>99.7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" thickBot="1" x14ac:dyDescent="0.3">
      <c r="A60" s="192"/>
      <c r="B60" s="193"/>
      <c r="C60" s="193"/>
      <c r="D60" s="193"/>
      <c r="E60" s="194" t="str">
        <f t="shared" ca="1" si="8"/>
        <v/>
      </c>
      <c r="F60" s="350"/>
      <c r="G60" s="353" t="str">
        <f t="shared" ca="1" si="1"/>
        <v/>
      </c>
      <c r="H60" s="350"/>
      <c r="I60" s="350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8</v>
      </c>
      <c r="AX60" s="208">
        <f t="shared" si="22"/>
        <v>99.8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8" x14ac:dyDescent="0.25">
      <c r="A61" s="226" t="s">
        <v>308</v>
      </c>
      <c r="B61" s="227" t="s">
        <v>162</v>
      </c>
      <c r="C61" s="227">
        <v>23</v>
      </c>
      <c r="D61" s="227" t="s">
        <v>309</v>
      </c>
      <c r="E61" s="228" t="str">
        <f t="shared" ca="1" si="8"/>
        <v>MR</v>
      </c>
      <c r="F61" s="354"/>
      <c r="G61" s="355">
        <f t="shared" ca="1" si="1"/>
        <v>30</v>
      </c>
      <c r="H61" s="350"/>
      <c r="I61" s="350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9</v>
      </c>
      <c r="AX61" s="208">
        <f t="shared" si="22"/>
        <v>99.9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8" x14ac:dyDescent="0.25">
      <c r="A62" s="223"/>
      <c r="B62" s="224"/>
      <c r="C62" s="224"/>
      <c r="D62" s="224"/>
      <c r="E62" s="225"/>
      <c r="F62" s="348"/>
      <c r="G62" s="349" t="str">
        <f t="shared" ca="1" si="1"/>
        <v/>
      </c>
      <c r="H62" s="350"/>
      <c r="I62" s="350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 t="e">
        <f t="shared" ca="1" si="19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10</v>
      </c>
      <c r="AX62" s="208">
        <f t="shared" si="22"/>
        <v>100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/>
      <c r="B63" s="229"/>
      <c r="C63" s="224"/>
      <c r="D63" s="224"/>
      <c r="E63" s="225"/>
      <c r="F63" s="348"/>
      <c r="G63" s="349"/>
      <c r="H63" s="350"/>
      <c r="I63" s="350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11</v>
      </c>
      <c r="AX63" s="208">
        <f t="shared" si="22"/>
        <v>100.1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/>
      <c r="B64" s="229"/>
      <c r="C64" s="224"/>
      <c r="D64" s="224"/>
      <c r="E64" s="225"/>
      <c r="F64" s="348"/>
      <c r="G64" s="349"/>
      <c r="H64" s="350"/>
      <c r="I64" s="350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308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58" ht="13.8" x14ac:dyDescent="0.25">
      <c r="A65" s="223"/>
      <c r="B65" s="229"/>
      <c r="C65" s="224"/>
      <c r="D65" s="224"/>
      <c r="E65" s="225"/>
      <c r="F65" s="348"/>
      <c r="G65" s="349"/>
      <c r="H65" s="350"/>
      <c r="I65" s="350"/>
      <c r="N65" s="168" t="s">
        <v>310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3.8" x14ac:dyDescent="0.25">
      <c r="A66" s="195"/>
      <c r="B66" s="196"/>
      <c r="C66" s="185"/>
      <c r="D66" s="185"/>
      <c r="E66" s="182"/>
      <c r="F66" s="350"/>
      <c r="H66" s="350"/>
      <c r="I66" s="350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50"/>
      <c r="H67" s="350"/>
      <c r="I67" s="350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8" x14ac:dyDescent="0.25">
      <c r="A68" s="200" t="s">
        <v>311</v>
      </c>
      <c r="B68" s="189" t="str">
        <f ca="1">OFFSET( Scale!$H$5, ROUND( C68, 0 ) - 1, 1 )</f>
        <v>BBB+</v>
      </c>
      <c r="C68" s="201">
        <f>AVERAGE(C7:C65)</f>
        <v>19.063829787234042</v>
      </c>
      <c r="D68" s="201"/>
      <c r="E68" s="201"/>
      <c r="F68" s="350"/>
      <c r="H68" s="350"/>
      <c r="I68" s="350"/>
      <c r="J68" s="351"/>
      <c r="K68" s="351"/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50"/>
      <c r="H69" s="350"/>
      <c r="I69" s="350"/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1"/>
      <c r="K70" s="351"/>
    </row>
    <row r="71" spans="1:58" x14ac:dyDescent="0.25">
      <c r="A71" s="203" t="s">
        <v>312</v>
      </c>
      <c r="F71" s="173"/>
      <c r="H71" s="173"/>
      <c r="I71" s="173"/>
    </row>
    <row r="72" spans="1:58" x14ac:dyDescent="0.25">
      <c r="A72" s="203" t="s">
        <v>313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314</v>
      </c>
      <c r="B73" s="173"/>
      <c r="D73" s="173"/>
      <c r="E73" s="173"/>
      <c r="F73" s="204"/>
      <c r="H73" s="204"/>
      <c r="I73" s="204"/>
    </row>
    <row r="74" spans="1:58" x14ac:dyDescent="0.25">
      <c r="A74" s="203" t="s">
        <v>315</v>
      </c>
      <c r="D74" s="204"/>
      <c r="F74" s="206"/>
      <c r="H74" s="206"/>
      <c r="I74" s="206"/>
      <c r="AQ74" s="207"/>
      <c r="AR74" s="207"/>
      <c r="AS74" s="207"/>
    </row>
    <row r="75" spans="1:58" x14ac:dyDescent="0.25">
      <c r="A75" s="203" t="s">
        <v>316</v>
      </c>
      <c r="D75" s="204"/>
      <c r="F75" s="206"/>
      <c r="H75" s="206"/>
      <c r="I75" s="206"/>
      <c r="AQ75" s="207"/>
      <c r="AR75" s="207"/>
      <c r="AS75" s="207"/>
    </row>
    <row r="76" spans="1:58" x14ac:dyDescent="0.25">
      <c r="A76" s="203"/>
      <c r="AQ76" s="207"/>
      <c r="AR76" s="207"/>
      <c r="AS76" s="207"/>
    </row>
    <row r="77" spans="1:58" x14ac:dyDescent="0.25">
      <c r="C77" s="190">
        <f>SUMPRODUCT( L8:L13, Y8:Y13 ) / L14</f>
        <v>19</v>
      </c>
      <c r="E77" s="191"/>
      <c r="G77" s="353"/>
      <c r="J77" s="173"/>
      <c r="K77" s="173"/>
      <c r="AQ77" s="207"/>
      <c r="AR77" s="207"/>
      <c r="AS77" s="207"/>
    </row>
    <row r="78" spans="1:58" s="173" customFormat="1" ht="13.8" x14ac:dyDescent="0.2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055" priority="31" stopIfTrue="1">
      <formula>IF( $AH7 = 1, TRUE, FALSE )</formula>
    </cfRule>
    <cfRule type="expression" dxfId="1054" priority="32" stopIfTrue="1">
      <formula>IF( $AG7 = 1, TRUE, FALSE )</formula>
    </cfRule>
    <cfRule type="expression" dxfId="1053" priority="33" stopIfTrue="1">
      <formula>IF( $AF7 = 1, TRUE, FALSE )</formula>
    </cfRule>
  </conditionalFormatting>
  <conditionalFormatting sqref="A67:E67">
    <cfRule type="expression" dxfId="1052" priority="34" stopIfTrue="1">
      <formula>IF( $AH67 = 1, TRUE, FALSE )</formula>
    </cfRule>
    <cfRule type="expression" dxfId="1051" priority="35" stopIfTrue="1">
      <formula>IF( $AG67 = 1, TRUE, FALSE )</formula>
    </cfRule>
    <cfRule type="expression" dxfId="1050" priority="36" stopIfTrue="1">
      <formula>IF( $AF67 = 1, TRUE, FALSE )</formula>
    </cfRule>
  </conditionalFormatting>
  <conditionalFormatting sqref="A66:E66">
    <cfRule type="expression" dxfId="1049" priority="28" stopIfTrue="1">
      <formula>IF( $AH66 = 1, TRUE, FALSE )</formula>
    </cfRule>
    <cfRule type="expression" dxfId="1048" priority="29" stopIfTrue="1">
      <formula>IF( $AG66 = 1, TRUE, FALSE )</formula>
    </cfRule>
    <cfRule type="expression" dxfId="1047" priority="30" stopIfTrue="1">
      <formula>IF( $AF66 = 1, TRUE, FALSE )</formula>
    </cfRule>
  </conditionalFormatting>
  <conditionalFormatting sqref="A8:D33 B7:D7 A35:D58">
    <cfRule type="expression" dxfId="1046" priority="25" stopIfTrue="1">
      <formula>IF( $AH7 = 1, TRUE, FALSE )</formula>
    </cfRule>
    <cfRule type="expression" dxfId="1045" priority="26" stopIfTrue="1">
      <formula>IF( $AG7 = 1, TRUE, FALSE )</formula>
    </cfRule>
    <cfRule type="expression" dxfId="1044" priority="27" stopIfTrue="1">
      <formula>IF( $AF7 = 1, TRUE, FALSE )</formula>
    </cfRule>
  </conditionalFormatting>
  <conditionalFormatting sqref="A59:D59">
    <cfRule type="expression" dxfId="1043" priority="22" stopIfTrue="1">
      <formula>IF( $AH59 = 1, TRUE, FALSE )</formula>
    </cfRule>
    <cfRule type="expression" dxfId="1042" priority="23" stopIfTrue="1">
      <formula>IF( $AG59 = 1, TRUE, FALSE )</formula>
    </cfRule>
    <cfRule type="expression" dxfId="1041" priority="24" stopIfTrue="1">
      <formula>IF( $AF59 = 1, TRUE, FALSE )</formula>
    </cfRule>
  </conditionalFormatting>
  <conditionalFormatting sqref="A61:D65">
    <cfRule type="expression" dxfId="1040" priority="19" stopIfTrue="1">
      <formula>IF( $AH61 = 1, TRUE, FALSE )</formula>
    </cfRule>
    <cfRule type="expression" dxfId="1039" priority="20" stopIfTrue="1">
      <formula>IF( $AG61 = 1, TRUE, FALSE )</formula>
    </cfRule>
    <cfRule type="expression" dxfId="1038" priority="21" stopIfTrue="1">
      <formula>IF( $AF61 = 1, TRUE, FALSE )</formula>
    </cfRule>
  </conditionalFormatting>
  <conditionalFormatting sqref="U8:U12">
    <cfRule type="cellIs" dxfId="1037" priority="18" operator="equal">
      <formula>0</formula>
    </cfRule>
  </conditionalFormatting>
  <conditionalFormatting sqref="O8:O12 Q8:Q12">
    <cfRule type="cellIs" dxfId="1036" priority="17" operator="equal">
      <formula>0</formula>
    </cfRule>
  </conditionalFormatting>
  <conditionalFormatting sqref="V8:V12">
    <cfRule type="cellIs" dxfId="1035" priority="16" operator="equal">
      <formula>0</formula>
    </cfRule>
  </conditionalFormatting>
  <conditionalFormatting sqref="S8:S12">
    <cfRule type="cellIs" dxfId="1034" priority="14" operator="equal">
      <formula>0</formula>
    </cfRule>
  </conditionalFormatting>
  <conditionalFormatting sqref="R8:R12">
    <cfRule type="cellIs" dxfId="1033" priority="15" operator="equal">
      <formula>0</formula>
    </cfRule>
  </conditionalFormatting>
  <conditionalFormatting sqref="P8:P12">
    <cfRule type="cellIs" dxfId="1032" priority="13" operator="equal">
      <formula>0</formula>
    </cfRule>
  </conditionalFormatting>
  <conditionalFormatting sqref="M8:M12">
    <cfRule type="cellIs" dxfId="1031" priority="12" operator="equal">
      <formula>0</formula>
    </cfRule>
  </conditionalFormatting>
  <conditionalFormatting sqref="T8:T12">
    <cfRule type="cellIs" dxfId="1030" priority="11" operator="equal">
      <formula>0</formula>
    </cfRule>
  </conditionalFormatting>
  <conditionalFormatting sqref="N8:N12">
    <cfRule type="cellIs" dxfId="1029" priority="10" operator="equal">
      <formula>0</formula>
    </cfRule>
  </conditionalFormatting>
  <conditionalFormatting sqref="K8:K12">
    <cfRule type="cellIs" dxfId="1028" priority="9" operator="equal">
      <formula>0</formula>
    </cfRule>
  </conditionalFormatting>
  <conditionalFormatting sqref="I8:I12">
    <cfRule type="cellIs" dxfId="1027" priority="8" operator="equal">
      <formula>0</formula>
    </cfRule>
  </conditionalFormatting>
  <conditionalFormatting sqref="W8:W12">
    <cfRule type="cellIs" dxfId="1026" priority="7" operator="equal">
      <formula>0</formula>
    </cfRule>
  </conditionalFormatting>
  <conditionalFormatting sqref="A7">
    <cfRule type="expression" dxfId="1025" priority="4" stopIfTrue="1">
      <formula>IF( $AH7 = 1, TRUE, FALSE )</formula>
    </cfRule>
    <cfRule type="expression" dxfId="1024" priority="5" stopIfTrue="1">
      <formula>IF( $AG7 = 1, TRUE, FALSE )</formula>
    </cfRule>
    <cfRule type="expression" dxfId="1023" priority="6" stopIfTrue="1">
      <formula>IF( $AF7 = 1, TRUE, FALSE )</formula>
    </cfRule>
  </conditionalFormatting>
  <conditionalFormatting sqref="A34:D34">
    <cfRule type="expression" dxfId="1022" priority="1" stopIfTrue="1">
      <formula>IF( $AH34 = 1, TRUE, FALSE )</formula>
    </cfRule>
    <cfRule type="expression" dxfId="1021" priority="2" stopIfTrue="1">
      <formula>IF( $AG34 = 1, TRUE, FALSE )</formula>
    </cfRule>
    <cfRule type="expression" dxfId="1020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hidden="1" customWidth="1" outlineLevel="1"/>
    <col min="23" max="23" width="2" style="168" hidden="1" customWidth="1" outlineLevel="1"/>
    <col min="24" max="24" width="4.109375" style="168" customWidth="1" collapsed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15.88671875" style="169" hidden="1" customWidth="1" outlineLevel="1" collapsed="1"/>
    <col min="37" max="38" width="15.88671875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-- 2018 Q2</v>
      </c>
      <c r="G1" s="175" t="s">
        <v>195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 x14ac:dyDescent="0.25">
      <c r="A2" s="167"/>
      <c r="E2" s="171" t="str">
        <f>G2</f>
        <v>Reg_Percent_2017</v>
      </c>
      <c r="G2" s="172" t="s">
        <v>343</v>
      </c>
      <c r="AJ2" s="173" t="str">
        <f>AJ4 &amp; AJ3</f>
        <v>'Credit_2018Q1'!d:d</v>
      </c>
      <c r="AK2" s="173" t="str">
        <f>AK4 &amp; AK3</f>
        <v>'Credit_2018Q1'!b1</v>
      </c>
      <c r="AL2" s="173" t="str">
        <f>AL4 &amp; AL3</f>
        <v>'Credit_2018Q1'!c1</v>
      </c>
      <c r="AQ2" s="169"/>
    </row>
    <row r="3" spans="1:61" ht="18" hidden="1" outlineLevel="1" x14ac:dyDescent="0.25">
      <c r="A3" s="167"/>
      <c r="E3" s="174" t="str">
        <f>"'" &amp; E2 &amp; "'!"</f>
        <v>'Reg_Percent_2017'!</v>
      </c>
      <c r="G3" s="168" t="str">
        <f>"'" &amp; G2 &amp; "'!"</f>
        <v>'Reg_Percent_2017'!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205</v>
      </c>
      <c r="AK3" s="149" t="s">
        <v>206</v>
      </c>
      <c r="AL3" s="149" t="s">
        <v>207</v>
      </c>
      <c r="AQ3" s="169"/>
    </row>
    <row r="4" spans="1:61" ht="18" hidden="1" outlineLevel="1" x14ac:dyDescent="0.25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>$AQ$5</f>
        <v>'Credit_2018Q1'!</v>
      </c>
      <c r="AK4" s="169" t="str">
        <f t="shared" ref="AK4:AL4" si="0">$AQ$5</f>
        <v>'Credit_2018Q1'!</v>
      </c>
      <c r="AL4" s="169" t="str">
        <f t="shared" si="0"/>
        <v>'Credit_2018Q1'!</v>
      </c>
      <c r="AQ4" s="169"/>
    </row>
    <row r="5" spans="1:61" ht="13.8" collapsed="1" x14ac:dyDescent="0.25">
      <c r="E5" s="176" t="s">
        <v>209</v>
      </c>
      <c r="G5" s="170" t="s">
        <v>199</v>
      </c>
      <c r="I5" s="230"/>
      <c r="J5" s="389" t="s">
        <v>210</v>
      </c>
      <c r="K5" s="230"/>
      <c r="L5" s="391" t="str">
        <f>"All Companies" &amp; CHAR( 10 ) &amp; "("&amp; L14 &amp; ")"</f>
        <v>All Companies
(47)</v>
      </c>
      <c r="M5" s="391"/>
      <c r="N5" s="230"/>
      <c r="O5" s="389" t="str">
        <f ca="1">"Regulated" &amp; CHAR( 10 ) &amp; "(" &amp; O14 &amp; ")"</f>
        <v>Regulated
(34)</v>
      </c>
      <c r="P5" s="393"/>
      <c r="Q5" s="230"/>
      <c r="R5" s="389" t="str">
        <f ca="1">"Mostly Regulated" &amp; CHAR( 10 ) &amp; "(" &amp; R14 &amp; ")"</f>
        <v>Mostly Regulated
(13)</v>
      </c>
      <c r="S5" s="393"/>
      <c r="T5" s="230"/>
      <c r="U5" s="389" t="str">
        <f ca="1">"Diversified" &amp; CHAR( 10 ) &amp; "(" &amp; U14 &amp; ")"</f>
        <v>Diversified
(0)</v>
      </c>
      <c r="V5" s="393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350</v>
      </c>
    </row>
    <row r="6" spans="1:61" ht="28.5" customHeight="1" x14ac:dyDescent="0.25">
      <c r="A6" s="219" t="s">
        <v>212</v>
      </c>
      <c r="B6" s="220" t="s">
        <v>73</v>
      </c>
      <c r="C6" s="249" t="s">
        <v>214</v>
      </c>
      <c r="D6" s="221"/>
      <c r="E6" s="222">
        <f ca="1">INDIRECT( E3 &amp; G1 )</f>
        <v>43100</v>
      </c>
      <c r="I6" s="231"/>
      <c r="J6" s="390"/>
      <c r="K6" s="231"/>
      <c r="L6" s="392"/>
      <c r="M6" s="392"/>
      <c r="N6" s="231"/>
      <c r="O6" s="390"/>
      <c r="P6" s="390"/>
      <c r="Q6" s="231"/>
      <c r="R6" s="390" t="s">
        <v>136</v>
      </c>
      <c r="S6" s="390"/>
      <c r="T6" s="231"/>
      <c r="U6" s="390"/>
      <c r="V6" s="390"/>
      <c r="W6" s="231"/>
      <c r="AE6" s="178"/>
      <c r="AJ6" s="179"/>
    </row>
    <row r="7" spans="1:61" ht="13.8" x14ac:dyDescent="0.25">
      <c r="A7" s="223" t="s">
        <v>235</v>
      </c>
      <c r="B7" s="224" t="s">
        <v>164</v>
      </c>
      <c r="C7" s="224">
        <v>22</v>
      </c>
      <c r="D7" s="224" t="s">
        <v>236</v>
      </c>
      <c r="E7" s="225" t="str">
        <f ca="1">IF( LEN( $G7 ) = 0, "", OFFSET( INDIRECT( E$3 &amp; E$4 ), $G7 - 1, 0 ) )</f>
        <v>R</v>
      </c>
      <c r="F7" s="348"/>
      <c r="G7" s="349">
        <f t="shared" ref="G7:G62" ca="1" si="1">IF( LEN( $D7 ) = 0, "", MATCH( $D7, INDIRECT( G$3 &amp; G$4 ), 0 ) )</f>
        <v>24</v>
      </c>
      <c r="H7" s="350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A+</v>
      </c>
      <c r="AL7" s="169">
        <f ca="1">IF( ISNA( $AJ7 ), "", OFFSET( INDIRECT( AL$2 ), $AJ7-1, 0 ) )</f>
        <v>22</v>
      </c>
      <c r="AM7" s="169" t="str">
        <f t="shared" ref="AM7:AM67" ca="1" si="4">IF( B7 = AK7, "", "Change" )</f>
        <v/>
      </c>
      <c r="AQ7" s="207" t="s">
        <v>217</v>
      </c>
      <c r="AR7" s="207" t="s">
        <v>140</v>
      </c>
      <c r="AS7" s="207">
        <v>19</v>
      </c>
      <c r="AT7" s="207" t="s">
        <v>218</v>
      </c>
      <c r="AV7" s="168">
        <f>IF( LEN( AS7 ) = 0, 99, RANK( AS7, $AS$7:$AS$63 ) )</f>
        <v>16</v>
      </c>
      <c r="AW7" s="168">
        <f>COUNTIF( AV7:AV$7, AV7 )</f>
        <v>1</v>
      </c>
      <c r="AX7" s="208">
        <f>AV7 + AW7 / 10</f>
        <v>16.100000000000001</v>
      </c>
      <c r="AY7" s="168">
        <f>RANK( AX7, $AX$7:$AX$63, 1 )</f>
        <v>16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21</v>
      </c>
      <c r="BF7" s="173" t="str">
        <f t="shared" ref="BF7:BI38" ca="1" si="7">OFFSET( AQ$6, $BD7, 0 )</f>
        <v>Eversource Energy</v>
      </c>
      <c r="BG7" s="173" t="str">
        <f t="shared" ca="1" si="7"/>
        <v>A+</v>
      </c>
      <c r="BH7" s="173">
        <f t="shared" ca="1" si="7"/>
        <v>22</v>
      </c>
      <c r="BI7" s="173" t="str">
        <f t="shared" ca="1" si="7"/>
        <v>ES</v>
      </c>
    </row>
    <row r="8" spans="1:61" ht="13.8" x14ac:dyDescent="0.25">
      <c r="A8" s="223" t="s">
        <v>215</v>
      </c>
      <c r="B8" s="224" t="s">
        <v>166</v>
      </c>
      <c r="C8" s="224">
        <v>21</v>
      </c>
      <c r="D8" s="224" t="s">
        <v>216</v>
      </c>
      <c r="E8" s="225" t="str">
        <f t="shared" ref="E8:E61" ca="1" si="8">IF( LEN( $G8 ) = 0, "", OFFSET( INDIRECT( E$3 &amp; E$4 ), $G8 - 1, 0 ) )</f>
        <v>MR</v>
      </c>
      <c r="F8" s="348"/>
      <c r="G8" s="349">
        <f t="shared" ca="1" si="1"/>
        <v>56</v>
      </c>
      <c r="H8" s="350"/>
      <c r="I8" s="233"/>
      <c r="J8" s="213" t="s">
        <v>137</v>
      </c>
      <c r="K8" s="233"/>
      <c r="L8" s="213">
        <f t="shared" ref="L8:L13" si="9">COUNTIF($C$7:$C$67,$X8)</f>
        <v>3</v>
      </c>
      <c r="M8" s="214">
        <f t="shared" ref="M8:M13" si="10">IF( L8 = 0, "", L8/L$14 )</f>
        <v>6.3829787234042548E-2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2.9411764705882353E-2</v>
      </c>
      <c r="Q8" s="233"/>
      <c r="R8" s="213">
        <f t="shared" ref="R8:R13" ca="1" si="13">COUNTIFS( $E$7:$E$66, R$3, $C$7:$C$66, $X8 )</f>
        <v>2</v>
      </c>
      <c r="S8" s="214">
        <f t="shared" ref="S8:S13" ca="1" si="14">IF( R8 = 0, "", R8/R$14 )</f>
        <v>0.15384615384615385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7">SUM(O8, R8, U8)</f>
        <v>3</v>
      </c>
      <c r="AC8" s="351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7</v>
      </c>
      <c r="BF8" s="173" t="str">
        <f t="shared" ca="1" si="7"/>
        <v>Berkshire Energy Holdings Company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**BRK</v>
      </c>
    </row>
    <row r="9" spans="1:61" ht="13.8" x14ac:dyDescent="0.25">
      <c r="A9" s="223" t="s">
        <v>219</v>
      </c>
      <c r="B9" s="224" t="s">
        <v>139</v>
      </c>
      <c r="C9" s="224">
        <v>20</v>
      </c>
      <c r="D9" s="224" t="s">
        <v>220</v>
      </c>
      <c r="E9" s="225" t="str">
        <f t="shared" ca="1" si="8"/>
        <v>R</v>
      </c>
      <c r="F9" s="348"/>
      <c r="G9" s="349">
        <f t="shared" ca="1" si="1"/>
        <v>8</v>
      </c>
      <c r="H9" s="350"/>
      <c r="I9" s="234"/>
      <c r="J9" s="215" t="s">
        <v>139</v>
      </c>
      <c r="K9" s="234"/>
      <c r="L9" s="215">
        <f t="shared" si="9"/>
        <v>13</v>
      </c>
      <c r="M9" s="216">
        <f t="shared" si="10"/>
        <v>0.27659574468085107</v>
      </c>
      <c r="N9" s="234"/>
      <c r="O9" s="215">
        <f t="shared" ca="1" si="11"/>
        <v>11</v>
      </c>
      <c r="P9" s="216">
        <f t="shared" ca="1" si="12"/>
        <v>0.3235294117647059</v>
      </c>
      <c r="Q9" s="234"/>
      <c r="R9" s="215">
        <f t="shared" ca="1" si="13"/>
        <v>2</v>
      </c>
      <c r="S9" s="216">
        <f t="shared" ca="1" si="14"/>
        <v>0.15384615384615385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7"/>
        <v>13</v>
      </c>
      <c r="AC9" s="351"/>
      <c r="AE9" s="184"/>
      <c r="AF9" s="169">
        <f t="shared" si="2"/>
        <v>1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si="21"/>
        <v>16</v>
      </c>
      <c r="AW9" s="168">
        <f>COUNTIF( AV$7:AV9, AV9 )</f>
        <v>2</v>
      </c>
      <c r="AX9" s="208">
        <f t="shared" si="22"/>
        <v>16.2</v>
      </c>
      <c r="AY9" s="168">
        <f t="shared" si="23"/>
        <v>17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ht="13.8" x14ac:dyDescent="0.25">
      <c r="A10" s="223" t="s">
        <v>222</v>
      </c>
      <c r="B10" s="224" t="s">
        <v>139</v>
      </c>
      <c r="C10" s="224">
        <v>20</v>
      </c>
      <c r="D10" s="224" t="s">
        <v>223</v>
      </c>
      <c r="E10" s="225" t="str">
        <f t="shared" ca="1" si="8"/>
        <v>R</v>
      </c>
      <c r="F10" s="348"/>
      <c r="G10" s="349">
        <f t="shared" ca="1" si="1"/>
        <v>10</v>
      </c>
      <c r="H10" s="350"/>
      <c r="I10" s="234"/>
      <c r="J10" s="215" t="s">
        <v>140</v>
      </c>
      <c r="K10" s="234"/>
      <c r="L10" s="215">
        <f t="shared" si="9"/>
        <v>15</v>
      </c>
      <c r="M10" s="216">
        <f t="shared" si="10"/>
        <v>0.31914893617021278</v>
      </c>
      <c r="N10" s="234"/>
      <c r="O10" s="215">
        <f t="shared" ca="1" si="11"/>
        <v>8</v>
      </c>
      <c r="P10" s="216">
        <f t="shared" ca="1" si="12"/>
        <v>0.23529411764705882</v>
      </c>
      <c r="Q10" s="234"/>
      <c r="R10" s="215">
        <f t="shared" ca="1" si="13"/>
        <v>7</v>
      </c>
      <c r="S10" s="216">
        <f t="shared" ca="1" si="14"/>
        <v>0.53846153846153844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229</v>
      </c>
      <c r="Y10" s="186">
        <v>19</v>
      </c>
      <c r="Z10" s="186">
        <v>1</v>
      </c>
      <c r="AA10" s="185">
        <f t="shared" ca="1" si="17"/>
        <v>15</v>
      </c>
      <c r="AE10" s="184"/>
      <c r="AF10" s="169">
        <f t="shared" si="2"/>
        <v>1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222</v>
      </c>
      <c r="AR10" s="207" t="s">
        <v>139</v>
      </c>
      <c r="AS10" s="207">
        <v>20</v>
      </c>
      <c r="AT10" s="207" t="s">
        <v>223</v>
      </c>
      <c r="AV10" s="168">
        <f t="shared" si="21"/>
        <v>3</v>
      </c>
      <c r="AW10" s="168">
        <f>COUNTIF( AV$7:AV10, AV10 )</f>
        <v>2</v>
      </c>
      <c r="AX10" s="208">
        <f t="shared" si="22"/>
        <v>3.2</v>
      </c>
      <c r="AY10" s="168">
        <f t="shared" si="23"/>
        <v>4</v>
      </c>
      <c r="AZ10" s="169"/>
      <c r="BA10" s="169"/>
      <c r="BC10" s="168">
        <f t="shared" ca="1" si="24"/>
        <v>4</v>
      </c>
      <c r="BD10" s="209">
        <f t="shared" ca="1" si="6"/>
        <v>4</v>
      </c>
      <c r="BF10" s="173" t="str">
        <f t="shared" ca="1" si="7"/>
        <v>American Electric Power Company,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AEP</v>
      </c>
    </row>
    <row r="11" spans="1:61" ht="13.8" x14ac:dyDescent="0.25">
      <c r="A11" s="223" t="s">
        <v>249</v>
      </c>
      <c r="B11" s="224" t="s">
        <v>139</v>
      </c>
      <c r="C11" s="224">
        <v>20</v>
      </c>
      <c r="D11" s="224" t="s">
        <v>250</v>
      </c>
      <c r="E11" s="225" t="str">
        <f t="shared" ca="1" si="8"/>
        <v>MR</v>
      </c>
      <c r="F11" s="348"/>
      <c r="G11" s="349">
        <f t="shared" ca="1" si="1"/>
        <v>14</v>
      </c>
      <c r="H11" s="350"/>
      <c r="I11" s="234"/>
      <c r="J11" s="215" t="s">
        <v>141</v>
      </c>
      <c r="K11" s="234"/>
      <c r="L11" s="215">
        <f t="shared" si="9"/>
        <v>11</v>
      </c>
      <c r="M11" s="216">
        <f t="shared" si="10"/>
        <v>0.23404255319148937</v>
      </c>
      <c r="N11" s="234"/>
      <c r="O11" s="215">
        <f t="shared" ca="1" si="11"/>
        <v>10</v>
      </c>
      <c r="P11" s="216">
        <f t="shared" ca="1" si="12"/>
        <v>0.29411764705882354</v>
      </c>
      <c r="Q11" s="234"/>
      <c r="R11" s="215">
        <f t="shared" ca="1" si="13"/>
        <v>1</v>
      </c>
      <c r="S11" s="216">
        <f t="shared" ca="1" si="14"/>
        <v>7.6923076923076927E-2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7"/>
        <v>11</v>
      </c>
      <c r="AE11" s="184"/>
      <c r="AF11" s="169">
        <f t="shared" si="2"/>
        <v>1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233</v>
      </c>
      <c r="AR11" s="207" t="s">
        <v>140</v>
      </c>
      <c r="AS11" s="207">
        <v>19</v>
      </c>
      <c r="AT11" s="207" t="s">
        <v>234</v>
      </c>
      <c r="AV11" s="168">
        <f t="shared" si="21"/>
        <v>16</v>
      </c>
      <c r="AW11" s="168">
        <f>COUNTIF( AV$7:AV11, AV11 )</f>
        <v>3</v>
      </c>
      <c r="AX11" s="208">
        <f t="shared" si="22"/>
        <v>16.3</v>
      </c>
      <c r="AY11" s="168">
        <f t="shared" si="23"/>
        <v>18</v>
      </c>
      <c r="AZ11" s="169"/>
      <c r="BA11" s="169"/>
      <c r="BC11" s="168">
        <f t="shared" ca="1" si="24"/>
        <v>5</v>
      </c>
      <c r="BD11" s="209">
        <f t="shared" ca="1" si="6"/>
        <v>9</v>
      </c>
      <c r="BF11" s="173" t="str">
        <f t="shared" ca="1" si="7"/>
        <v>CenterPoint Energy,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CNP</v>
      </c>
    </row>
    <row r="12" spans="1:61" ht="13.8" x14ac:dyDescent="0.25">
      <c r="A12" s="223" t="s">
        <v>227</v>
      </c>
      <c r="B12" s="224" t="s">
        <v>139</v>
      </c>
      <c r="C12" s="224">
        <v>20</v>
      </c>
      <c r="D12" s="224" t="s">
        <v>228</v>
      </c>
      <c r="E12" s="225" t="str">
        <f t="shared" ca="1" si="8"/>
        <v>R</v>
      </c>
      <c r="F12" s="348"/>
      <c r="G12" s="349">
        <f t="shared" ca="1" si="1"/>
        <v>16</v>
      </c>
      <c r="H12" s="350"/>
      <c r="I12" s="234"/>
      <c r="J12" s="215" t="s">
        <v>142</v>
      </c>
      <c r="K12" s="234"/>
      <c r="L12" s="215">
        <f t="shared" si="9"/>
        <v>5</v>
      </c>
      <c r="M12" s="216">
        <f t="shared" si="10"/>
        <v>0.10638297872340426</v>
      </c>
      <c r="N12" s="234"/>
      <c r="O12" s="215">
        <f t="shared" ca="1" si="11"/>
        <v>4</v>
      </c>
      <c r="P12" s="216">
        <f t="shared" ca="1" si="12"/>
        <v>0.11764705882352941</v>
      </c>
      <c r="Q12" s="234"/>
      <c r="R12" s="215">
        <f t="shared" ca="1" si="13"/>
        <v>1</v>
      </c>
      <c r="S12" s="216">
        <f t="shared" ca="1" si="14"/>
        <v>7.6923076923076927E-2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237</v>
      </c>
      <c r="Y12" s="186">
        <v>17</v>
      </c>
      <c r="Z12" s="186">
        <v>1</v>
      </c>
      <c r="AA12" s="185">
        <f t="shared" ca="1" si="17"/>
        <v>5</v>
      </c>
      <c r="AE12" s="184"/>
      <c r="AF12" s="169">
        <f t="shared" si="2"/>
        <v>1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238</v>
      </c>
      <c r="AR12" s="207" t="s">
        <v>141</v>
      </c>
      <c r="AS12" s="207">
        <v>18</v>
      </c>
      <c r="AT12" s="207" t="s">
        <v>239</v>
      </c>
      <c r="AV12" s="168">
        <f t="shared" si="21"/>
        <v>31</v>
      </c>
      <c r="AW12" s="168">
        <f>COUNTIF( AV$7:AV12, AV12 )</f>
        <v>1</v>
      </c>
      <c r="AX12" s="208">
        <f t="shared" si="22"/>
        <v>31.1</v>
      </c>
      <c r="AY12" s="168">
        <f t="shared" si="23"/>
        <v>31</v>
      </c>
      <c r="AZ12" s="169"/>
      <c r="BA12" s="169"/>
      <c r="BC12" s="168">
        <f t="shared" ca="1" si="24"/>
        <v>6</v>
      </c>
      <c r="BD12" s="209">
        <f t="shared" ca="1" si="6"/>
        <v>12</v>
      </c>
      <c r="BF12" s="173" t="str">
        <f t="shared" ca="1" si="7"/>
        <v>Consolidated Edison,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ED</v>
      </c>
    </row>
    <row r="13" spans="1:61" ht="13.8" x14ac:dyDescent="0.25">
      <c r="A13" s="223" t="s">
        <v>263</v>
      </c>
      <c r="B13" s="224" t="s">
        <v>139</v>
      </c>
      <c r="C13" s="224">
        <v>20</v>
      </c>
      <c r="D13" s="224" t="s">
        <v>264</v>
      </c>
      <c r="E13" s="225" t="str">
        <f t="shared" ca="1" si="8"/>
        <v>R</v>
      </c>
      <c r="F13" s="348"/>
      <c r="G13" s="349">
        <f t="shared" ca="1" si="1"/>
        <v>19</v>
      </c>
      <c r="H13" s="350"/>
      <c r="I13" s="235"/>
      <c r="J13" s="217" t="s">
        <v>143</v>
      </c>
      <c r="K13" s="235"/>
      <c r="L13" s="217">
        <f t="shared" si="9"/>
        <v>0</v>
      </c>
      <c r="M13" s="218" t="str">
        <f t="shared" si="10"/>
        <v/>
      </c>
      <c r="N13" s="235"/>
      <c r="O13" s="217">
        <f t="shared" ca="1" si="11"/>
        <v>0</v>
      </c>
      <c r="P13" s="218" t="str">
        <f t="shared" ca="1" si="12"/>
        <v/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242</v>
      </c>
      <c r="Y13" s="186">
        <v>16</v>
      </c>
      <c r="Z13" s="186">
        <v>1</v>
      </c>
      <c r="AA13" s="188">
        <f t="shared" ca="1" si="17"/>
        <v>0</v>
      </c>
      <c r="AE13" s="184"/>
      <c r="AF13" s="169">
        <f t="shared" si="2"/>
        <v>1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215</v>
      </c>
      <c r="AR13" s="207" t="s">
        <v>166</v>
      </c>
      <c r="AS13" s="207">
        <v>21</v>
      </c>
      <c r="AT13" s="207" t="s">
        <v>216</v>
      </c>
      <c r="AV13" s="168">
        <f t="shared" si="21"/>
        <v>2</v>
      </c>
      <c r="AW13" s="168">
        <f>COUNTIF( AV$7:AV13, AV13 )</f>
        <v>1</v>
      </c>
      <c r="AX13" s="208">
        <f t="shared" si="22"/>
        <v>2.1</v>
      </c>
      <c r="AY13" s="168">
        <f t="shared" si="23"/>
        <v>2</v>
      </c>
      <c r="AZ13" s="169"/>
      <c r="BA13" s="169"/>
      <c r="BC13" s="168">
        <f t="shared" ca="1" si="24"/>
        <v>7</v>
      </c>
      <c r="BD13" s="209">
        <f t="shared" ca="1" si="6"/>
        <v>16</v>
      </c>
      <c r="BF13" s="173" t="str">
        <f t="shared" ca="1" si="7"/>
        <v>Duke Energy Corporation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DUK</v>
      </c>
    </row>
    <row r="14" spans="1:61" ht="13.8" x14ac:dyDescent="0.25">
      <c r="A14" s="223" t="s">
        <v>230</v>
      </c>
      <c r="B14" s="224" t="s">
        <v>139</v>
      </c>
      <c r="C14" s="224">
        <v>20</v>
      </c>
      <c r="D14" s="224" t="s">
        <v>231</v>
      </c>
      <c r="E14" s="225" t="str">
        <f t="shared" ca="1" si="8"/>
        <v>R</v>
      </c>
      <c r="F14" s="348"/>
      <c r="G14" s="349">
        <f t="shared" ca="1" si="1"/>
        <v>23</v>
      </c>
      <c r="H14" s="350"/>
      <c r="I14" s="236"/>
      <c r="J14" s="211" t="s">
        <v>144</v>
      </c>
      <c r="K14" s="236"/>
      <c r="L14" s="211">
        <f>SUM(L8:L13)</f>
        <v>47</v>
      </c>
      <c r="M14" s="212">
        <f>L14/L$14</f>
        <v>1</v>
      </c>
      <c r="N14" s="236"/>
      <c r="O14" s="211">
        <f ca="1">SUM(O8:O13)</f>
        <v>34</v>
      </c>
      <c r="P14" s="212">
        <f ca="1">O14/O$14</f>
        <v>1</v>
      </c>
      <c r="Q14" s="236"/>
      <c r="R14" s="211">
        <f ca="1">SUM(R8:R13)</f>
        <v>13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18.957446808510639</v>
      </c>
      <c r="Z14" s="190"/>
      <c r="AA14" s="189">
        <f ca="1">SUM(AA8:AA13)</f>
        <v>47</v>
      </c>
      <c r="AE14" s="184"/>
      <c r="AF14" s="169">
        <f t="shared" si="2"/>
        <v>1</v>
      </c>
      <c r="AG14" s="169">
        <f t="shared" ca="1" si="3"/>
        <v>1</v>
      </c>
      <c r="AH14" s="169" t="str">
        <f t="shared" ca="1" si="18"/>
        <v/>
      </c>
      <c r="AJ14" s="169">
        <f t="shared" ca="1" si="19"/>
        <v>38</v>
      </c>
      <c r="AK14" s="169" t="str">
        <f t="shared" ca="1" si="20"/>
        <v>BBB+</v>
      </c>
      <c r="AL14" s="169">
        <f t="shared" ca="1" si="20"/>
        <v>19</v>
      </c>
      <c r="AM14" s="169" t="str">
        <f t="shared" ca="1" si="4"/>
        <v>Change</v>
      </c>
      <c r="AQ14" s="207" t="s">
        <v>245</v>
      </c>
      <c r="AR14" s="207" t="s">
        <v>141</v>
      </c>
      <c r="AS14" s="207">
        <v>18</v>
      </c>
      <c r="AT14" s="207" t="s">
        <v>246</v>
      </c>
      <c r="AV14" s="168">
        <f>IF( LEN( AS14 ) = 0, 99, RANK( AS14, $AS$7:$AS$63 ) )</f>
        <v>31</v>
      </c>
      <c r="AW14" s="168">
        <f>COUNTIF( AV$7:AV14, AV14 )</f>
        <v>2</v>
      </c>
      <c r="AX14" s="208">
        <f t="shared" si="22"/>
        <v>31.2</v>
      </c>
      <c r="AY14" s="168">
        <f t="shared" si="23"/>
        <v>32</v>
      </c>
      <c r="AZ14" s="169"/>
      <c r="BA14" s="169"/>
      <c r="BC14" s="168">
        <f t="shared" ca="1" si="24"/>
        <v>8</v>
      </c>
      <c r="BD14" s="209">
        <f t="shared" ca="1" si="6"/>
        <v>20</v>
      </c>
      <c r="BF14" s="173" t="str">
        <f t="shared" ca="1" si="7"/>
        <v>Evergy,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EVRG</v>
      </c>
    </row>
    <row r="15" spans="1:61" ht="13.8" x14ac:dyDescent="0.25">
      <c r="A15" s="223" t="s">
        <v>240</v>
      </c>
      <c r="B15" s="224" t="s">
        <v>139</v>
      </c>
      <c r="C15" s="224">
        <v>20</v>
      </c>
      <c r="D15" s="224" t="s">
        <v>241</v>
      </c>
      <c r="E15" s="225" t="str">
        <f t="shared" ca="1" si="8"/>
        <v>MR</v>
      </c>
      <c r="F15" s="348"/>
      <c r="G15" s="349">
        <f t="shared" ca="1" si="1"/>
        <v>31</v>
      </c>
      <c r="H15" s="350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1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14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249</v>
      </c>
      <c r="AR15" s="207" t="s">
        <v>139</v>
      </c>
      <c r="AS15" s="207">
        <v>20</v>
      </c>
      <c r="AT15" s="207" t="s">
        <v>250</v>
      </c>
      <c r="AV15" s="168">
        <f t="shared" si="21"/>
        <v>3</v>
      </c>
      <c r="AW15" s="168">
        <f>COUNTIF( AV$7:AV15, AV15 )</f>
        <v>3</v>
      </c>
      <c r="AX15" s="208">
        <f t="shared" si="22"/>
        <v>3.3</v>
      </c>
      <c r="AY15" s="168">
        <f t="shared" si="23"/>
        <v>5</v>
      </c>
      <c r="AZ15" s="169"/>
      <c r="BA15" s="169"/>
      <c r="BC15" s="168">
        <f t="shared" ca="1" si="24"/>
        <v>9</v>
      </c>
      <c r="BD15" s="209">
        <f t="shared" ca="1" si="6"/>
        <v>28</v>
      </c>
      <c r="BF15" s="173" t="str">
        <f t="shared" ca="1" si="7"/>
        <v>NextEra Energy, Inc.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NEE</v>
      </c>
    </row>
    <row r="16" spans="1:61" ht="13.8" x14ac:dyDescent="0.25">
      <c r="A16" s="223" t="s">
        <v>281</v>
      </c>
      <c r="B16" s="224" t="s">
        <v>139</v>
      </c>
      <c r="C16" s="224">
        <v>20</v>
      </c>
      <c r="D16" s="224" t="s">
        <v>282</v>
      </c>
      <c r="E16" s="225" t="str">
        <f t="shared" ca="1" si="8"/>
        <v>R</v>
      </c>
      <c r="F16" s="348"/>
      <c r="G16" s="349">
        <f t="shared" ca="1" si="1"/>
        <v>37</v>
      </c>
      <c r="H16" s="350"/>
      <c r="I16" s="232"/>
      <c r="J16" s="210" t="s">
        <v>253</v>
      </c>
      <c r="K16" s="232"/>
      <c r="L16" s="386">
        <f t="array" ref="L16">SUM( IF( LEN( $C$7:$C$65 ) = 0, 0, $C$7:$C$65 ) ) / SUM( IF( LEN( $C$7:$C$65 ) = 0, 0, 1  ) )</f>
        <v>19.021276595744681</v>
      </c>
      <c r="M16" s="387"/>
      <c r="N16" s="232"/>
      <c r="O16" s="386">
        <f t="array" aca="1" ref="O16" ca="1">SUM( IF( LEN( $C$7:$C$65 ) = 0, 0, IF( $E$7:$E$65 = O3, $C$7:$C$65, 0 ) ) ) / SUM( IF( LEN( $C$7:$C$65 ) = 0, 0, IF( $E$7:$E$65 = O3, 1, 0 ) ) )</f>
        <v>18.882352941176471</v>
      </c>
      <c r="P16" s="387"/>
      <c r="Q16" s="232"/>
      <c r="R16" s="386">
        <f t="array" aca="1" ref="R16" ca="1">SUM( IF( LEN( $C$7:$C$65 ) = 0, 0, IF( $E$7:$E$65 = R3, $C$7:$C$65, 0 ) ) ) / SUM( IF( LEN( $C$7:$C$65 ) = 0, 0, IF( $E$7:$E$65 = R3, 1, 0 ) ) )</f>
        <v>19.384615384615383</v>
      </c>
      <c r="S16" s="387"/>
      <c r="T16" s="232"/>
      <c r="U16" s="386" t="e">
        <f t="array" aca="1" ref="U16" ca="1">SUM( IF( LEN( $C$7:$C$65 ) = 0, 0, IF( $E$7:$E$65 = U3, $C$7:$C$65, 0 ) ) ) / SUM( IF( LEN( $C$7:$C$65 ) = 0, 0, IF( $E$7:$E$65 = U3, 1, 0 ) ) )</f>
        <v>#DIV/0!</v>
      </c>
      <c r="V16" s="388"/>
      <c r="W16" s="232"/>
      <c r="AE16" s="184"/>
      <c r="AF16" s="169">
        <f t="shared" si="2"/>
        <v>1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254</v>
      </c>
      <c r="AR16" s="207" t="s">
        <v>142</v>
      </c>
      <c r="AS16" s="207">
        <v>17</v>
      </c>
      <c r="AT16" s="207" t="s">
        <v>255</v>
      </c>
      <c r="AV16" s="168">
        <f t="shared" si="21"/>
        <v>42</v>
      </c>
      <c r="AW16" s="168">
        <f>COUNTIF( AV$7:AV16, AV16 )</f>
        <v>1</v>
      </c>
      <c r="AX16" s="208">
        <f t="shared" si="22"/>
        <v>42.1</v>
      </c>
      <c r="AY16" s="168">
        <f t="shared" si="23"/>
        <v>42</v>
      </c>
      <c r="AZ16" s="169"/>
      <c r="BA16" s="169"/>
      <c r="BC16" s="168">
        <f t="shared" ca="1" si="24"/>
        <v>10</v>
      </c>
      <c r="BD16" s="209">
        <f t="shared" ca="1" si="6"/>
        <v>34</v>
      </c>
      <c r="BF16" s="173" t="str">
        <f t="shared" ca="1" si="7"/>
        <v>Pinnacle West Capital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PNW</v>
      </c>
    </row>
    <row r="17" spans="1:61" ht="13.8" x14ac:dyDescent="0.25">
      <c r="A17" s="223" t="s">
        <v>243</v>
      </c>
      <c r="B17" s="224" t="s">
        <v>139</v>
      </c>
      <c r="C17" s="224">
        <v>20</v>
      </c>
      <c r="D17" s="224" t="s">
        <v>244</v>
      </c>
      <c r="E17" s="225" t="str">
        <f t="shared" ca="1" si="8"/>
        <v>R</v>
      </c>
      <c r="F17" s="348"/>
      <c r="G17" s="349">
        <f t="shared" ca="1" si="1"/>
        <v>40</v>
      </c>
      <c r="H17" s="350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1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256</v>
      </c>
      <c r="AR17" s="207" t="s">
        <v>140</v>
      </c>
      <c r="AS17" s="207">
        <v>19</v>
      </c>
      <c r="AT17" s="207" t="s">
        <v>257</v>
      </c>
      <c r="AV17" s="168">
        <f t="shared" si="21"/>
        <v>16</v>
      </c>
      <c r="AW17" s="168">
        <f>COUNTIF( AV$7:AV17, AV17 )</f>
        <v>4</v>
      </c>
      <c r="AX17" s="208">
        <f t="shared" si="22"/>
        <v>16.399999999999999</v>
      </c>
      <c r="AY17" s="168">
        <f t="shared" si="23"/>
        <v>19</v>
      </c>
      <c r="AZ17" s="169"/>
      <c r="BA17" s="169"/>
      <c r="BC17" s="168">
        <f t="shared" ca="1" si="24"/>
        <v>11</v>
      </c>
      <c r="BD17" s="209">
        <f t="shared" ca="1" si="6"/>
        <v>37</v>
      </c>
      <c r="BF17" s="173" t="str">
        <f t="shared" ca="1" si="7"/>
        <v>PPL Corporation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PPL</v>
      </c>
    </row>
    <row r="18" spans="1:61" ht="13.8" x14ac:dyDescent="0.25">
      <c r="A18" s="223" t="s">
        <v>293</v>
      </c>
      <c r="B18" s="224" t="s">
        <v>139</v>
      </c>
      <c r="C18" s="224">
        <v>20</v>
      </c>
      <c r="D18" s="224" t="s">
        <v>294</v>
      </c>
      <c r="E18" s="225" t="str">
        <f t="shared" ca="1" si="8"/>
        <v>R</v>
      </c>
      <c r="F18" s="348"/>
      <c r="G18" s="349">
        <f t="shared" ca="1" si="1"/>
        <v>44</v>
      </c>
      <c r="H18" s="350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1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227</v>
      </c>
      <c r="AR18" s="207" t="s">
        <v>139</v>
      </c>
      <c r="AS18" s="207">
        <v>20</v>
      </c>
      <c r="AT18" s="207" t="s">
        <v>228</v>
      </c>
      <c r="AV18" s="168">
        <f t="shared" si="21"/>
        <v>3</v>
      </c>
      <c r="AW18" s="168">
        <f>COUNTIF( AV$7:AV18, AV18 )</f>
        <v>4</v>
      </c>
      <c r="AX18" s="208">
        <f t="shared" si="22"/>
        <v>3.4</v>
      </c>
      <c r="AY18" s="168">
        <f t="shared" si="23"/>
        <v>6</v>
      </c>
      <c r="AZ18" s="169"/>
      <c r="BA18" s="169"/>
      <c r="BC18" s="168">
        <f t="shared" ca="1" si="24"/>
        <v>12</v>
      </c>
      <c r="BD18" s="209">
        <f t="shared" ca="1" si="6"/>
        <v>42</v>
      </c>
      <c r="BF18" s="173" t="str">
        <f t="shared" ca="1" si="7"/>
        <v>Southern Company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SO</v>
      </c>
    </row>
    <row r="19" spans="1:61" ht="13.8" x14ac:dyDescent="0.25">
      <c r="A19" s="223" t="s">
        <v>345</v>
      </c>
      <c r="B19" s="224" t="s">
        <v>139</v>
      </c>
      <c r="C19" s="224">
        <v>20</v>
      </c>
      <c r="D19" s="224" t="s">
        <v>346</v>
      </c>
      <c r="E19" s="225" t="str">
        <f t="shared" ca="1" si="8"/>
        <v>R</v>
      </c>
      <c r="F19" s="348"/>
      <c r="G19" s="349">
        <f t="shared" ca="1" si="1"/>
        <v>46</v>
      </c>
      <c r="H19" s="350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258</v>
      </c>
      <c r="AR19" s="207" t="s">
        <v>140</v>
      </c>
      <c r="AS19" s="207">
        <v>19</v>
      </c>
      <c r="AT19" s="207" t="s">
        <v>194</v>
      </c>
      <c r="AV19" s="168">
        <f t="shared" si="21"/>
        <v>16</v>
      </c>
      <c r="AW19" s="168">
        <f>COUNTIF( AV$7:AV19, AV19 )</f>
        <v>5</v>
      </c>
      <c r="AX19" s="208">
        <f t="shared" si="22"/>
        <v>16.5</v>
      </c>
      <c r="AY19" s="168">
        <f t="shared" si="23"/>
        <v>20</v>
      </c>
      <c r="AZ19" s="169"/>
      <c r="BA19" s="169"/>
      <c r="BC19" s="168">
        <f t="shared" ca="1" si="24"/>
        <v>13</v>
      </c>
      <c r="BD19" s="209">
        <f t="shared" ca="1" si="6"/>
        <v>44</v>
      </c>
      <c r="BF19" s="173" t="str">
        <f t="shared" ca="1" si="7"/>
        <v>Vectren Corporation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VVC</v>
      </c>
    </row>
    <row r="20" spans="1:61" ht="13.8" x14ac:dyDescent="0.25">
      <c r="A20" s="223" t="s">
        <v>247</v>
      </c>
      <c r="B20" s="224" t="s">
        <v>139</v>
      </c>
      <c r="C20" s="224">
        <v>20</v>
      </c>
      <c r="D20" s="224" t="s">
        <v>248</v>
      </c>
      <c r="E20" s="225" t="str">
        <f t="shared" ca="1" si="8"/>
        <v>R</v>
      </c>
      <c r="F20" s="348"/>
      <c r="G20" s="349">
        <f t="shared" ca="1" si="1"/>
        <v>47</v>
      </c>
      <c r="H20" s="350"/>
      <c r="I20" s="352"/>
      <c r="K20" s="352"/>
      <c r="N20" s="352"/>
      <c r="O20" s="173"/>
      <c r="Q20" s="352"/>
      <c r="T20" s="352"/>
      <c r="W20" s="352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259</v>
      </c>
      <c r="AR20" s="207" t="s">
        <v>142</v>
      </c>
      <c r="AS20" s="207">
        <v>17</v>
      </c>
      <c r="AT20" s="207" t="s">
        <v>260</v>
      </c>
      <c r="AV20" s="168">
        <f t="shared" si="21"/>
        <v>42</v>
      </c>
      <c r="AW20" s="168">
        <f>COUNTIF( AV$7:AV20, AV20 )</f>
        <v>2</v>
      </c>
      <c r="AX20" s="208">
        <f t="shared" si="22"/>
        <v>42.2</v>
      </c>
      <c r="AY20" s="168">
        <f t="shared" si="23"/>
        <v>43</v>
      </c>
      <c r="AZ20" s="169"/>
      <c r="BA20" s="169"/>
      <c r="BC20" s="168">
        <f t="shared" ca="1" si="24"/>
        <v>14</v>
      </c>
      <c r="BD20" s="209">
        <f t="shared" ca="1" si="6"/>
        <v>45</v>
      </c>
      <c r="BF20" s="173" t="str">
        <f t="shared" ca="1" si="7"/>
        <v>Wisconsin Energy Corporation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WEC</v>
      </c>
    </row>
    <row r="21" spans="1:61" ht="13.8" x14ac:dyDescent="0.25">
      <c r="A21" s="223" t="s">
        <v>251</v>
      </c>
      <c r="B21" s="224" t="s">
        <v>139</v>
      </c>
      <c r="C21" s="224">
        <v>20</v>
      </c>
      <c r="D21" s="224" t="s">
        <v>252</v>
      </c>
      <c r="E21" s="225" t="str">
        <f t="shared" ca="1" si="8"/>
        <v>R</v>
      </c>
      <c r="F21" s="348"/>
      <c r="G21" s="349">
        <f t="shared" ca="1" si="1"/>
        <v>48</v>
      </c>
      <c r="H21" s="350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A-</v>
      </c>
      <c r="AL21" s="169">
        <f t="shared" ca="1" si="20"/>
        <v>20</v>
      </c>
      <c r="AM21" s="169" t="str">
        <f t="shared" ca="1" si="4"/>
        <v/>
      </c>
      <c r="AQ21" s="207" t="s">
        <v>261</v>
      </c>
      <c r="AR21" s="207" t="s">
        <v>140</v>
      </c>
      <c r="AS21" s="207">
        <v>19</v>
      </c>
      <c r="AT21" s="207" t="s">
        <v>262</v>
      </c>
      <c r="AV21" s="168">
        <f t="shared" si="21"/>
        <v>16</v>
      </c>
      <c r="AW21" s="168">
        <f>COUNTIF( AV$7:AV21, AV21 )</f>
        <v>6</v>
      </c>
      <c r="AX21" s="208">
        <f t="shared" si="22"/>
        <v>16.600000000000001</v>
      </c>
      <c r="AY21" s="168">
        <f t="shared" si="23"/>
        <v>21</v>
      </c>
      <c r="AZ21" s="169"/>
      <c r="BA21" s="169"/>
      <c r="BC21" s="168">
        <f t="shared" ca="1" si="24"/>
        <v>15</v>
      </c>
      <c r="BD21" s="209">
        <f t="shared" ca="1" si="6"/>
        <v>46</v>
      </c>
      <c r="BF21" s="173" t="str">
        <f t="shared" ca="1" si="7"/>
        <v>Xcel Energy Inc.</v>
      </c>
      <c r="BG21" s="173" t="str">
        <f t="shared" ca="1" si="7"/>
        <v>A-</v>
      </c>
      <c r="BH21" s="173">
        <f t="shared" ca="1" si="7"/>
        <v>20</v>
      </c>
      <c r="BI21" s="173" t="str">
        <f t="shared" ca="1" si="7"/>
        <v>XEL</v>
      </c>
    </row>
    <row r="22" spans="1:61" ht="13.8" x14ac:dyDescent="0.25">
      <c r="A22" s="223" t="s">
        <v>217</v>
      </c>
      <c r="B22" s="224" t="s">
        <v>140</v>
      </c>
      <c r="C22" s="224">
        <v>19</v>
      </c>
      <c r="D22" s="224" t="s">
        <v>218</v>
      </c>
      <c r="E22" s="225" t="str">
        <f t="shared" ca="1" si="8"/>
        <v>MR</v>
      </c>
      <c r="F22" s="348"/>
      <c r="G22" s="349">
        <f t="shared" ca="1" si="1"/>
        <v>7</v>
      </c>
      <c r="H22" s="350"/>
      <c r="I22" s="237"/>
      <c r="K22" s="237"/>
      <c r="N22" s="237"/>
      <c r="Q22" s="237"/>
      <c r="T22" s="237"/>
      <c r="W22" s="237"/>
      <c r="AE22" s="184"/>
      <c r="AF22" s="169">
        <f t="shared" si="2"/>
        <v>0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263</v>
      </c>
      <c r="AR22" s="207" t="s">
        <v>139</v>
      </c>
      <c r="AS22" s="207">
        <v>20</v>
      </c>
      <c r="AT22" s="207" t="s">
        <v>264</v>
      </c>
      <c r="AV22" s="168">
        <f t="shared" si="21"/>
        <v>3</v>
      </c>
      <c r="AW22" s="168">
        <f>COUNTIF( AV$7:AV22, AV22 )</f>
        <v>5</v>
      </c>
      <c r="AX22" s="208">
        <f t="shared" si="22"/>
        <v>3.5</v>
      </c>
      <c r="AY22" s="168">
        <f t="shared" si="23"/>
        <v>7</v>
      </c>
      <c r="AZ22" s="169"/>
      <c r="BA22" s="169"/>
      <c r="BC22" s="168">
        <f t="shared" ca="1" si="24"/>
        <v>16</v>
      </c>
      <c r="BD22" s="209">
        <f t="shared" ca="1" si="6"/>
        <v>1</v>
      </c>
      <c r="BF22" s="173" t="str">
        <f t="shared" ca="1" si="7"/>
        <v>ALLETE, Inc.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ALE</v>
      </c>
    </row>
    <row r="23" spans="1:61" ht="13.8" x14ac:dyDescent="0.25">
      <c r="A23" s="223" t="s">
        <v>225</v>
      </c>
      <c r="B23" s="224" t="s">
        <v>140</v>
      </c>
      <c r="C23" s="224">
        <v>19</v>
      </c>
      <c r="D23" s="224" t="s">
        <v>226</v>
      </c>
      <c r="E23" s="225" t="str">
        <f t="shared" ca="1" si="8"/>
        <v>R</v>
      </c>
      <c r="F23" s="348"/>
      <c r="G23" s="349">
        <f t="shared" ca="1" si="1"/>
        <v>9</v>
      </c>
      <c r="H23" s="350"/>
      <c r="I23" s="237"/>
      <c r="K23" s="237"/>
      <c r="N23" s="237"/>
      <c r="Q23" s="237"/>
      <c r="T23" s="237"/>
      <c r="W23" s="237"/>
      <c r="AE23" s="184"/>
      <c r="AF23" s="169">
        <f t="shared" si="2"/>
        <v>0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265</v>
      </c>
      <c r="AR23" s="207" t="s">
        <v>140</v>
      </c>
      <c r="AS23" s="207">
        <v>19</v>
      </c>
      <c r="AT23" s="207" t="s">
        <v>266</v>
      </c>
      <c r="AV23" s="168">
        <f t="shared" si="21"/>
        <v>16</v>
      </c>
      <c r="AW23" s="168">
        <f>COUNTIF( AV$7:AV23, AV23 )</f>
        <v>7</v>
      </c>
      <c r="AX23" s="208">
        <f t="shared" si="22"/>
        <v>16.7</v>
      </c>
      <c r="AY23" s="168">
        <f t="shared" si="23"/>
        <v>22</v>
      </c>
      <c r="AZ23" s="169"/>
      <c r="BA23" s="169"/>
      <c r="BC23" s="168">
        <f t="shared" ca="1" si="24"/>
        <v>17</v>
      </c>
      <c r="BD23" s="209">
        <f t="shared" ca="1" si="6"/>
        <v>3</v>
      </c>
      <c r="BF23" s="173" t="str">
        <f t="shared" ca="1" si="7"/>
        <v>Ameren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AEE</v>
      </c>
    </row>
    <row r="24" spans="1:61" ht="13.8" x14ac:dyDescent="0.25">
      <c r="A24" s="223" t="s">
        <v>233</v>
      </c>
      <c r="B24" s="224" t="s">
        <v>140</v>
      </c>
      <c r="C24" s="224">
        <v>19</v>
      </c>
      <c r="D24" s="224" t="s">
        <v>234</v>
      </c>
      <c r="E24" s="225" t="str">
        <f t="shared" ca="1" si="8"/>
        <v>MR</v>
      </c>
      <c r="F24" s="348"/>
      <c r="G24" s="349">
        <f t="shared" ca="1" si="1"/>
        <v>11</v>
      </c>
      <c r="H24" s="350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0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328</v>
      </c>
      <c r="AR24" s="207" t="s">
        <v>141</v>
      </c>
      <c r="AS24" s="207">
        <v>18</v>
      </c>
      <c r="AT24" s="207" t="s">
        <v>331</v>
      </c>
      <c r="AV24" s="168">
        <f t="shared" si="21"/>
        <v>31</v>
      </c>
      <c r="AW24" s="168">
        <f>COUNTIF( AV$7:AV24, AV24 )</f>
        <v>3</v>
      </c>
      <c r="AX24" s="208">
        <f t="shared" si="22"/>
        <v>31.3</v>
      </c>
      <c r="AY24" s="168">
        <f t="shared" si="23"/>
        <v>33</v>
      </c>
      <c r="AZ24" s="169"/>
      <c r="BA24" s="169"/>
      <c r="BC24" s="168">
        <f t="shared" ca="1" si="24"/>
        <v>18</v>
      </c>
      <c r="BD24" s="209">
        <f t="shared" ca="1" si="6"/>
        <v>5</v>
      </c>
      <c r="BF24" s="173" t="str">
        <f t="shared" ca="1" si="7"/>
        <v>AVANGRID, Inc.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AGR</v>
      </c>
    </row>
    <row r="25" spans="1:61" ht="13.8" x14ac:dyDescent="0.25">
      <c r="A25" s="223" t="s">
        <v>256</v>
      </c>
      <c r="B25" s="224" t="s">
        <v>140</v>
      </c>
      <c r="C25" s="224">
        <v>19</v>
      </c>
      <c r="D25" s="224" t="s">
        <v>257</v>
      </c>
      <c r="E25" s="225" t="str">
        <f t="shared" ca="1" si="8"/>
        <v>R</v>
      </c>
      <c r="F25" s="348"/>
      <c r="G25" s="349">
        <f t="shared" ca="1" si="1"/>
        <v>15</v>
      </c>
      <c r="H25" s="350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0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267</v>
      </c>
      <c r="AR25" s="207" t="s">
        <v>140</v>
      </c>
      <c r="AS25" s="207">
        <v>19</v>
      </c>
      <c r="AT25" s="207" t="s">
        <v>268</v>
      </c>
      <c r="AV25" s="168">
        <f t="shared" si="21"/>
        <v>16</v>
      </c>
      <c r="AW25" s="168">
        <f>COUNTIF( AV$7:AV25, AV25 )</f>
        <v>8</v>
      </c>
      <c r="AX25" s="208">
        <f t="shared" si="22"/>
        <v>16.8</v>
      </c>
      <c r="AY25" s="168">
        <f t="shared" si="23"/>
        <v>23</v>
      </c>
      <c r="AZ25" s="169"/>
      <c r="BA25" s="169"/>
      <c r="BC25" s="168">
        <f t="shared" ca="1" si="24"/>
        <v>19</v>
      </c>
      <c r="BD25" s="209">
        <f t="shared" ca="1" si="6"/>
        <v>11</v>
      </c>
      <c r="BF25" s="173" t="str">
        <f t="shared" ca="1" si="7"/>
        <v>CMS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CMS</v>
      </c>
    </row>
    <row r="26" spans="1:61" ht="13.8" x14ac:dyDescent="0.25">
      <c r="A26" s="223" t="s">
        <v>258</v>
      </c>
      <c r="B26" s="224" t="s">
        <v>140</v>
      </c>
      <c r="C26" s="224">
        <v>19</v>
      </c>
      <c r="D26" s="224" t="s">
        <v>194</v>
      </c>
      <c r="E26" s="225" t="str">
        <f t="shared" ca="1" si="8"/>
        <v>MR</v>
      </c>
      <c r="F26" s="348"/>
      <c r="G26" s="349">
        <f t="shared" ca="1" si="1"/>
        <v>17</v>
      </c>
      <c r="H26" s="350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0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230</v>
      </c>
      <c r="AR26" s="207" t="s">
        <v>139</v>
      </c>
      <c r="AS26" s="207">
        <v>20</v>
      </c>
      <c r="AT26" s="207" t="s">
        <v>231</v>
      </c>
      <c r="AV26" s="168">
        <f t="shared" si="21"/>
        <v>3</v>
      </c>
      <c r="AW26" s="168">
        <f>COUNTIF( AV$7:AV26, AV26 )</f>
        <v>6</v>
      </c>
      <c r="AX26" s="208">
        <f t="shared" si="22"/>
        <v>3.6</v>
      </c>
      <c r="AY26" s="168">
        <f t="shared" si="23"/>
        <v>8</v>
      </c>
      <c r="AZ26" s="169"/>
      <c r="BA26" s="169"/>
      <c r="BC26" s="168">
        <f t="shared" ca="1" si="24"/>
        <v>20</v>
      </c>
      <c r="BD26" s="209">
        <f t="shared" ca="1" si="6"/>
        <v>13</v>
      </c>
      <c r="BF26" s="173" t="str">
        <f t="shared" ca="1" si="7"/>
        <v>Dominion Energy, Inc.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</v>
      </c>
    </row>
    <row r="27" spans="1:61" ht="13.8" x14ac:dyDescent="0.25">
      <c r="A27" s="223" t="s">
        <v>261</v>
      </c>
      <c r="B27" s="224" t="s">
        <v>140</v>
      </c>
      <c r="C27" s="224">
        <v>19</v>
      </c>
      <c r="D27" s="224" t="s">
        <v>262</v>
      </c>
      <c r="E27" s="225" t="str">
        <f t="shared" ca="1" si="8"/>
        <v>MR</v>
      </c>
      <c r="F27" s="348"/>
      <c r="G27" s="349">
        <f t="shared" ca="1" si="1"/>
        <v>18</v>
      </c>
      <c r="H27" s="350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0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235</v>
      </c>
      <c r="AR27" s="207" t="s">
        <v>164</v>
      </c>
      <c r="AS27" s="207">
        <v>22</v>
      </c>
      <c r="AT27" s="207" t="s">
        <v>236</v>
      </c>
      <c r="AV27" s="168">
        <f t="shared" si="21"/>
        <v>1</v>
      </c>
      <c r="AW27" s="168">
        <f>COUNTIF( AV$7:AV27, AV27 )</f>
        <v>1</v>
      </c>
      <c r="AX27" s="208">
        <f t="shared" si="22"/>
        <v>1.1000000000000001</v>
      </c>
      <c r="AY27" s="168">
        <f t="shared" si="23"/>
        <v>1</v>
      </c>
      <c r="AZ27" s="169"/>
      <c r="BA27" s="169"/>
      <c r="BC27" s="168">
        <f t="shared" ca="1" si="24"/>
        <v>21</v>
      </c>
      <c r="BD27" s="209">
        <f t="shared" ca="1" si="6"/>
        <v>15</v>
      </c>
      <c r="BF27" s="173" t="str">
        <f t="shared" ca="1" si="7"/>
        <v>DTE Energy Company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DTE</v>
      </c>
    </row>
    <row r="28" spans="1:61" ht="13.8" x14ac:dyDescent="0.25">
      <c r="A28" s="223" t="s">
        <v>265</v>
      </c>
      <c r="B28" s="224" t="s">
        <v>140</v>
      </c>
      <c r="C28" s="224">
        <v>19</v>
      </c>
      <c r="D28" s="224" t="s">
        <v>266</v>
      </c>
      <c r="E28" s="225" t="str">
        <f t="shared" ca="1" si="8"/>
        <v>R</v>
      </c>
      <c r="F28" s="348"/>
      <c r="G28" s="349">
        <f t="shared" ca="1" si="1"/>
        <v>20</v>
      </c>
      <c r="H28" s="350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0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269</v>
      </c>
      <c r="AR28" s="207" t="s">
        <v>141</v>
      </c>
      <c r="AS28" s="207">
        <v>18</v>
      </c>
      <c r="AT28" s="207" t="s">
        <v>270</v>
      </c>
      <c r="AV28" s="168">
        <f t="shared" si="21"/>
        <v>31</v>
      </c>
      <c r="AW28" s="168">
        <f>COUNTIF( AV$7:AV28, AV28 )</f>
        <v>4</v>
      </c>
      <c r="AX28" s="208">
        <f t="shared" si="22"/>
        <v>31.4</v>
      </c>
      <c r="AY28" s="168">
        <f t="shared" si="23"/>
        <v>34</v>
      </c>
      <c r="AZ28" s="169"/>
      <c r="BA28" s="169"/>
      <c r="BC28" s="168">
        <f t="shared" ca="1" si="24"/>
        <v>22</v>
      </c>
      <c r="BD28" s="209">
        <f t="shared" ca="1" si="6"/>
        <v>17</v>
      </c>
      <c r="BF28" s="173" t="str">
        <f t="shared" ca="1" si="7"/>
        <v>Edison International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EIX</v>
      </c>
    </row>
    <row r="29" spans="1:61" ht="13.8" x14ac:dyDescent="0.25">
      <c r="A29" s="223" t="s">
        <v>267</v>
      </c>
      <c r="B29" s="224" t="s">
        <v>140</v>
      </c>
      <c r="C29" s="224">
        <v>19</v>
      </c>
      <c r="D29" s="224" t="s">
        <v>268</v>
      </c>
      <c r="E29" s="225" t="str">
        <f t="shared" ca="1" si="8"/>
        <v>R</v>
      </c>
      <c r="F29" s="348"/>
      <c r="G29" s="349">
        <f t="shared" ca="1" si="1"/>
        <v>22</v>
      </c>
      <c r="H29" s="350"/>
      <c r="I29" s="237"/>
      <c r="J29" s="191"/>
      <c r="K29" s="237"/>
      <c r="N29" s="237"/>
      <c r="Q29" s="237"/>
      <c r="T29" s="237"/>
      <c r="W29" s="237"/>
      <c r="AF29" s="169">
        <f t="shared" si="2"/>
        <v>0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275</v>
      </c>
      <c r="AR29" s="207" t="s">
        <v>142</v>
      </c>
      <c r="AS29" s="207">
        <v>17</v>
      </c>
      <c r="AT29" s="207" t="s">
        <v>276</v>
      </c>
      <c r="AV29" s="168">
        <f t="shared" si="21"/>
        <v>42</v>
      </c>
      <c r="AW29" s="168">
        <f>COUNTIF( AV$7:AV29, AV29 )</f>
        <v>3</v>
      </c>
      <c r="AX29" s="208">
        <f t="shared" si="22"/>
        <v>42.3</v>
      </c>
      <c r="AY29" s="168">
        <f t="shared" si="23"/>
        <v>44</v>
      </c>
      <c r="AZ29" s="169"/>
      <c r="BA29" s="169"/>
      <c r="BC29" s="168">
        <f t="shared" ca="1" si="24"/>
        <v>23</v>
      </c>
      <c r="BD29" s="209">
        <f t="shared" ca="1" si="6"/>
        <v>19</v>
      </c>
      <c r="BF29" s="173" t="str">
        <f t="shared" ca="1" si="7"/>
        <v>Entergy Corporation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ETR</v>
      </c>
    </row>
    <row r="30" spans="1:61" ht="13.8" x14ac:dyDescent="0.25">
      <c r="A30" s="223" t="s">
        <v>271</v>
      </c>
      <c r="B30" s="224" t="s">
        <v>140</v>
      </c>
      <c r="C30" s="224">
        <v>19</v>
      </c>
      <c r="D30" s="224" t="s">
        <v>272</v>
      </c>
      <c r="E30" s="225" t="str">
        <f t="shared" ca="1" si="8"/>
        <v>MR</v>
      </c>
      <c r="F30" s="348"/>
      <c r="G30" s="349">
        <f t="shared" ca="1" si="1"/>
        <v>29</v>
      </c>
      <c r="H30" s="350"/>
      <c r="I30" s="237"/>
      <c r="J30" s="191"/>
      <c r="K30" s="237"/>
      <c r="N30" s="237"/>
      <c r="Q30" s="237"/>
      <c r="T30" s="237"/>
      <c r="W30" s="237"/>
      <c r="AF30" s="169">
        <f t="shared" si="2"/>
        <v>0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31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279</v>
      </c>
      <c r="AR30" s="207" t="s">
        <v>142</v>
      </c>
      <c r="AS30" s="207">
        <v>17</v>
      </c>
      <c r="AT30" s="207" t="s">
        <v>280</v>
      </c>
      <c r="AV30" s="168">
        <f t="shared" si="21"/>
        <v>42</v>
      </c>
      <c r="AW30" s="168">
        <f>COUNTIF( AV$7:AV30, AV30 )</f>
        <v>4</v>
      </c>
      <c r="AX30" s="208">
        <f t="shared" si="22"/>
        <v>42.4</v>
      </c>
      <c r="AY30" s="168">
        <f t="shared" si="23"/>
        <v>45</v>
      </c>
      <c r="AZ30" s="169"/>
      <c r="BA30" s="169"/>
      <c r="BC30" s="168">
        <f t="shared" ca="1" si="24"/>
        <v>24</v>
      </c>
      <c r="BD30" s="209">
        <f t="shared" ca="1" si="6"/>
        <v>27</v>
      </c>
      <c r="BF30" s="173" t="str">
        <f t="shared" ca="1" si="7"/>
        <v>MDU Resources Group,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MDU</v>
      </c>
    </row>
    <row r="31" spans="1:61" ht="13.8" x14ac:dyDescent="0.25">
      <c r="A31" s="223" t="s">
        <v>273</v>
      </c>
      <c r="B31" s="224" t="s">
        <v>140</v>
      </c>
      <c r="C31" s="224">
        <v>19</v>
      </c>
      <c r="D31" s="224" t="s">
        <v>274</v>
      </c>
      <c r="E31" s="225" t="str">
        <f t="shared" ca="1" si="8"/>
        <v>R</v>
      </c>
      <c r="F31" s="348"/>
      <c r="G31" s="349">
        <f t="shared" ca="1" si="1"/>
        <v>32</v>
      </c>
      <c r="H31" s="350"/>
      <c r="I31" s="237"/>
      <c r="J31" s="191"/>
      <c r="K31" s="237"/>
      <c r="N31" s="237"/>
      <c r="O31" s="351"/>
      <c r="Q31" s="237"/>
      <c r="T31" s="237"/>
      <c r="W31" s="237"/>
      <c r="AF31" s="169">
        <f t="shared" si="2"/>
        <v>0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32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283</v>
      </c>
      <c r="AR31" s="207" t="s">
        <v>141</v>
      </c>
      <c r="AS31" s="207">
        <v>18</v>
      </c>
      <c r="AT31" s="207" t="s">
        <v>284</v>
      </c>
      <c r="AV31" s="168">
        <f t="shared" si="21"/>
        <v>31</v>
      </c>
      <c r="AW31" s="168">
        <f>COUNTIF( AV$7:AV31, AV31 )</f>
        <v>5</v>
      </c>
      <c r="AX31" s="208">
        <f t="shared" si="22"/>
        <v>31.5</v>
      </c>
      <c r="AY31" s="168">
        <f t="shared" si="23"/>
        <v>35</v>
      </c>
      <c r="AZ31" s="169"/>
      <c r="BA31" s="169"/>
      <c r="BC31" s="168">
        <f t="shared" ca="1" si="24"/>
        <v>25</v>
      </c>
      <c r="BD31" s="209">
        <f t="shared" ca="1" si="6"/>
        <v>29</v>
      </c>
      <c r="BF31" s="173" t="str">
        <f t="shared" ca="1" si="7"/>
        <v>NiSource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NI</v>
      </c>
    </row>
    <row r="32" spans="1:61" ht="13.8" x14ac:dyDescent="0.25">
      <c r="A32" s="223" t="s">
        <v>277</v>
      </c>
      <c r="B32" s="224" t="s">
        <v>140</v>
      </c>
      <c r="C32" s="224">
        <v>19</v>
      </c>
      <c r="D32" s="224" t="s">
        <v>278</v>
      </c>
      <c r="E32" s="225" t="str">
        <f t="shared" ca="1" si="8"/>
        <v>R</v>
      </c>
      <c r="F32" s="348"/>
      <c r="G32" s="349">
        <f t="shared" ca="1" si="1"/>
        <v>34</v>
      </c>
      <c r="H32" s="350"/>
      <c r="I32" s="237"/>
      <c r="J32" s="191"/>
      <c r="K32" s="237"/>
      <c r="N32" s="237"/>
      <c r="Q32" s="237"/>
      <c r="T32" s="237"/>
      <c r="W32" s="237"/>
      <c r="AF32" s="169">
        <f t="shared" si="2"/>
        <v>0</v>
      </c>
      <c r="AG32" s="169" t="str">
        <f t="shared" ca="1" si="3"/>
        <v/>
      </c>
      <c r="AH32" s="169">
        <f t="shared" ca="1" si="18"/>
        <v>1</v>
      </c>
      <c r="AJ32" s="169">
        <f t="shared" ca="1" si="19"/>
        <v>15</v>
      </c>
      <c r="AK32" s="169" t="str">
        <f t="shared" ca="1" si="20"/>
        <v>A-</v>
      </c>
      <c r="AL32" s="169">
        <f t="shared" ca="1" si="20"/>
        <v>20</v>
      </c>
      <c r="AM32" s="169" t="str">
        <f t="shared" ca="1" si="4"/>
        <v>Change</v>
      </c>
      <c r="AQ32" s="207" t="s">
        <v>287</v>
      </c>
      <c r="AR32" s="207" t="s">
        <v>141</v>
      </c>
      <c r="AS32" s="207">
        <v>18</v>
      </c>
      <c r="AT32" s="207" t="s">
        <v>288</v>
      </c>
      <c r="AV32" s="168">
        <f t="shared" si="21"/>
        <v>31</v>
      </c>
      <c r="AW32" s="168">
        <f>COUNTIF( AV$7:AV32, AV32 )</f>
        <v>6</v>
      </c>
      <c r="AX32" s="208">
        <f t="shared" si="22"/>
        <v>31.6</v>
      </c>
      <c r="AY32" s="168">
        <f t="shared" si="23"/>
        <v>36</v>
      </c>
      <c r="AZ32" s="169"/>
      <c r="BA32" s="169"/>
      <c r="BC32" s="168">
        <f t="shared" ca="1" si="24"/>
        <v>26</v>
      </c>
      <c r="BD32" s="209">
        <f t="shared" ca="1" si="6"/>
        <v>31</v>
      </c>
      <c r="BF32" s="173" t="str">
        <f t="shared" ca="1" si="7"/>
        <v>OGE Energy Corp.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OGE</v>
      </c>
    </row>
    <row r="33" spans="1:61" ht="13.8" x14ac:dyDescent="0.25">
      <c r="A33" s="223" t="s">
        <v>303</v>
      </c>
      <c r="B33" s="224" t="s">
        <v>140</v>
      </c>
      <c r="C33" s="224">
        <v>19</v>
      </c>
      <c r="D33" s="224" t="s">
        <v>304</v>
      </c>
      <c r="E33" s="225" t="str">
        <f t="shared" ca="1" si="8"/>
        <v>R</v>
      </c>
      <c r="F33" s="348"/>
      <c r="G33" s="349">
        <f t="shared" ca="1" si="1"/>
        <v>38</v>
      </c>
      <c r="H33" s="350"/>
      <c r="I33" s="237"/>
      <c r="J33" s="191"/>
      <c r="K33" s="237"/>
      <c r="N33" s="237"/>
      <c r="Q33" s="237"/>
      <c r="T33" s="237"/>
      <c r="W33" s="237"/>
      <c r="AF33" s="169">
        <f t="shared" si="2"/>
        <v>0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34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271</v>
      </c>
      <c r="AR33" s="207" t="s">
        <v>140</v>
      </c>
      <c r="AS33" s="207">
        <v>19</v>
      </c>
      <c r="AT33" s="207" t="s">
        <v>272</v>
      </c>
      <c r="AV33" s="168">
        <f t="shared" si="21"/>
        <v>16</v>
      </c>
      <c r="AW33" s="168">
        <f>COUNTIF( AV$7:AV33, AV33 )</f>
        <v>9</v>
      </c>
      <c r="AX33" s="208">
        <f t="shared" si="22"/>
        <v>16.899999999999999</v>
      </c>
      <c r="AY33" s="168">
        <f t="shared" si="23"/>
        <v>24</v>
      </c>
      <c r="AZ33" s="169"/>
      <c r="BA33" s="169"/>
      <c r="BC33" s="168">
        <f t="shared" ca="1" si="24"/>
        <v>27</v>
      </c>
      <c r="BD33" s="209">
        <f t="shared" ca="1" si="6"/>
        <v>35</v>
      </c>
      <c r="BF33" s="173" t="str">
        <f t="shared" ca="1" si="7"/>
        <v>PNM Resources, Inc.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PNM</v>
      </c>
    </row>
    <row r="34" spans="1:61" ht="13.8" x14ac:dyDescent="0.25">
      <c r="A34" s="223" t="s">
        <v>289</v>
      </c>
      <c r="B34" s="224" t="s">
        <v>140</v>
      </c>
      <c r="C34" s="224">
        <v>19</v>
      </c>
      <c r="D34" s="224" t="s">
        <v>290</v>
      </c>
      <c r="E34" s="225" t="str">
        <f t="shared" ca="1" si="8"/>
        <v>MR</v>
      </c>
      <c r="F34" s="348"/>
      <c r="G34" s="349">
        <f t="shared" ca="1" si="1"/>
        <v>41</v>
      </c>
      <c r="H34" s="350"/>
      <c r="I34" s="237"/>
      <c r="J34" s="191"/>
      <c r="K34" s="237"/>
      <c r="N34" s="237"/>
      <c r="Q34" s="237"/>
      <c r="T34" s="237"/>
      <c r="W34" s="237"/>
      <c r="AF34" s="169">
        <f t="shared" si="2"/>
        <v>0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35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240</v>
      </c>
      <c r="AR34" s="207" t="s">
        <v>139</v>
      </c>
      <c r="AS34" s="207">
        <v>20</v>
      </c>
      <c r="AT34" s="207" t="s">
        <v>241</v>
      </c>
      <c r="AV34" s="168">
        <f t="shared" si="21"/>
        <v>3</v>
      </c>
      <c r="AW34" s="168">
        <f>COUNTIF( AV$7:AV34, AV34 )</f>
        <v>7</v>
      </c>
      <c r="AX34" s="208">
        <f t="shared" si="22"/>
        <v>3.7</v>
      </c>
      <c r="AY34" s="168">
        <f t="shared" si="23"/>
        <v>9</v>
      </c>
      <c r="AZ34" s="169"/>
      <c r="BA34" s="169"/>
      <c r="BC34" s="168">
        <f t="shared" ca="1" si="24"/>
        <v>28</v>
      </c>
      <c r="BD34" s="209">
        <f t="shared" ca="1" si="6"/>
        <v>38</v>
      </c>
      <c r="BF34" s="173" t="str">
        <f t="shared" ca="1" si="7"/>
        <v>Public Service Enterprise Group Incorporated</v>
      </c>
      <c r="BG34" s="173" t="str">
        <f t="shared" ca="1" si="7"/>
        <v>BBB+</v>
      </c>
      <c r="BH34" s="173">
        <f t="shared" ca="1" si="7"/>
        <v>19</v>
      </c>
      <c r="BI34" s="173" t="str">
        <f ca="1">OFFSET( AT$6, $BD34, 0 )</f>
        <v>PEG</v>
      </c>
    </row>
    <row r="35" spans="1:61" ht="13.8" x14ac:dyDescent="0.25">
      <c r="A35" s="223" t="s">
        <v>291</v>
      </c>
      <c r="B35" s="224" t="s">
        <v>140</v>
      </c>
      <c r="C35" s="224">
        <v>19</v>
      </c>
      <c r="D35" s="224" t="s">
        <v>292</v>
      </c>
      <c r="E35" s="225" t="str">
        <f t="shared" ca="1" si="8"/>
        <v>MR</v>
      </c>
      <c r="F35" s="348"/>
      <c r="G35" s="349">
        <f t="shared" ca="1" si="1"/>
        <v>43</v>
      </c>
      <c r="H35" s="350"/>
      <c r="I35" s="237"/>
      <c r="K35" s="237"/>
      <c r="N35" s="237"/>
      <c r="Q35" s="237"/>
      <c r="T35" s="237"/>
      <c r="W35" s="237"/>
      <c r="AF35" s="169">
        <f t="shared" si="2"/>
        <v>0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36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273</v>
      </c>
      <c r="AR35" s="207" t="s">
        <v>140</v>
      </c>
      <c r="AS35" s="207">
        <v>19</v>
      </c>
      <c r="AT35" s="207" t="s">
        <v>274</v>
      </c>
      <c r="AV35" s="168">
        <f t="shared" si="21"/>
        <v>16</v>
      </c>
      <c r="AW35" s="168">
        <f>COUNTIF( AV$7:AV35, AV35 )</f>
        <v>10</v>
      </c>
      <c r="AX35" s="208">
        <f t="shared" si="22"/>
        <v>17</v>
      </c>
      <c r="AY35" s="168">
        <f t="shared" si="23"/>
        <v>25</v>
      </c>
      <c r="AZ35" s="169"/>
      <c r="BA35" s="169"/>
      <c r="BC35" s="168">
        <f t="shared" ca="1" si="24"/>
        <v>29</v>
      </c>
      <c r="BD35" s="209">
        <f t="shared" ca="1" si="6"/>
        <v>41</v>
      </c>
      <c r="BF35" s="173" t="str">
        <f t="shared" ca="1" si="7"/>
        <v>Sempra Energy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SRE</v>
      </c>
    </row>
    <row r="36" spans="1:61" ht="13.8" x14ac:dyDescent="0.25">
      <c r="A36" s="223" t="s">
        <v>295</v>
      </c>
      <c r="B36" s="224" t="s">
        <v>140</v>
      </c>
      <c r="C36" s="224">
        <v>19</v>
      </c>
      <c r="D36" s="224" t="s">
        <v>296</v>
      </c>
      <c r="E36" s="225" t="str">
        <f t="shared" ca="1" si="8"/>
        <v>R</v>
      </c>
      <c r="F36" s="348"/>
      <c r="G36" s="349">
        <f t="shared" ca="1" si="1"/>
        <v>45</v>
      </c>
      <c r="H36" s="350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37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297</v>
      </c>
      <c r="AR36" s="207" t="s">
        <v>141</v>
      </c>
      <c r="AS36" s="207">
        <v>18</v>
      </c>
      <c r="AT36" s="207" t="s">
        <v>298</v>
      </c>
      <c r="AV36" s="168">
        <f t="shared" si="21"/>
        <v>31</v>
      </c>
      <c r="AW36" s="168">
        <f>COUNTIF( AV$7:AV36, AV36 )</f>
        <v>7</v>
      </c>
      <c r="AX36" s="208">
        <f t="shared" si="22"/>
        <v>31.7</v>
      </c>
      <c r="AY36" s="168">
        <f t="shared" si="23"/>
        <v>37</v>
      </c>
      <c r="AZ36" s="169"/>
      <c r="BA36" s="169"/>
      <c r="BC36" s="168">
        <f t="shared" ca="1" si="24"/>
        <v>30</v>
      </c>
      <c r="BD36" s="209">
        <f t="shared" ca="1" si="6"/>
        <v>43</v>
      </c>
      <c r="BF36" s="173" t="str">
        <f t="shared" ca="1" si="7"/>
        <v>Unitil Corporation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UTL</v>
      </c>
    </row>
    <row r="37" spans="1:61" ht="13.8" x14ac:dyDescent="0.25">
      <c r="A37" s="223" t="s">
        <v>238</v>
      </c>
      <c r="B37" s="224" t="s">
        <v>141</v>
      </c>
      <c r="C37" s="224">
        <v>18</v>
      </c>
      <c r="D37" s="224" t="s">
        <v>239</v>
      </c>
      <c r="E37" s="225" t="str">
        <f t="shared" ca="1" si="8"/>
        <v>R</v>
      </c>
      <c r="F37" s="348"/>
      <c r="G37" s="349">
        <f t="shared" ca="1" si="1"/>
        <v>12</v>
      </c>
      <c r="H37" s="350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39</v>
      </c>
      <c r="AK37" s="169" t="str">
        <f t="shared" ca="1" si="20"/>
        <v>BBB</v>
      </c>
      <c r="AL37" s="169">
        <f t="shared" ca="1" si="20"/>
        <v>18</v>
      </c>
      <c r="AM37" s="169" t="str">
        <f t="shared" ca="1" si="4"/>
        <v/>
      </c>
      <c r="AQ37" s="207" t="s">
        <v>277</v>
      </c>
      <c r="AR37" s="207" t="s">
        <v>140</v>
      </c>
      <c r="AS37" s="207">
        <v>19</v>
      </c>
      <c r="AT37" s="207" t="s">
        <v>278</v>
      </c>
      <c r="AV37" s="168">
        <f t="shared" si="21"/>
        <v>16</v>
      </c>
      <c r="AW37" s="168">
        <f>COUNTIF( AV$7:AV37, AV37 )</f>
        <v>11</v>
      </c>
      <c r="AX37" s="208">
        <f t="shared" si="22"/>
        <v>17.100000000000001</v>
      </c>
      <c r="AY37" s="168">
        <f t="shared" si="23"/>
        <v>26</v>
      </c>
      <c r="AZ37" s="169"/>
      <c r="BA37" s="169"/>
      <c r="BC37" s="168">
        <f t="shared" ca="1" si="24"/>
        <v>31</v>
      </c>
      <c r="BD37" s="209">
        <f t="shared" ca="1" si="6"/>
        <v>6</v>
      </c>
      <c r="BF37" s="173" t="str">
        <f t="shared" ca="1" si="7"/>
        <v>Avista Corporation</v>
      </c>
      <c r="BG37" s="173" t="str">
        <f t="shared" ca="1" si="7"/>
        <v>BBB</v>
      </c>
      <c r="BH37" s="173">
        <f t="shared" ca="1" si="7"/>
        <v>18</v>
      </c>
      <c r="BI37" s="173" t="str">
        <f t="shared" ca="1" si="7"/>
        <v>AVA</v>
      </c>
    </row>
    <row r="38" spans="1:61" ht="13.8" x14ac:dyDescent="0.25">
      <c r="A38" s="223" t="s">
        <v>245</v>
      </c>
      <c r="B38" s="224" t="s">
        <v>141</v>
      </c>
      <c r="C38" s="224">
        <v>18</v>
      </c>
      <c r="D38" s="224" t="s">
        <v>246</v>
      </c>
      <c r="E38" s="225" t="str">
        <f t="shared" ca="1" si="8"/>
        <v>R</v>
      </c>
      <c r="F38" s="348"/>
      <c r="G38" s="349">
        <f t="shared" ca="1" si="1"/>
        <v>13</v>
      </c>
      <c r="H38" s="350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1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40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299</v>
      </c>
      <c r="AR38" s="207" t="s">
        <v>141</v>
      </c>
      <c r="AS38" s="207">
        <v>18</v>
      </c>
      <c r="AT38" s="207" t="s">
        <v>300</v>
      </c>
      <c r="AV38" s="168">
        <f t="shared" si="21"/>
        <v>31</v>
      </c>
      <c r="AW38" s="168">
        <f>COUNTIF( AV$7:AV38, AV38 )</f>
        <v>8</v>
      </c>
      <c r="AX38" s="208">
        <f t="shared" si="22"/>
        <v>31.8</v>
      </c>
      <c r="AY38" s="168">
        <f t="shared" si="23"/>
        <v>38</v>
      </c>
      <c r="AZ38" s="169"/>
      <c r="BA38" s="169"/>
      <c r="BC38" s="168">
        <f t="shared" ca="1" si="24"/>
        <v>32</v>
      </c>
      <c r="BD38" s="209">
        <f t="shared" ca="1" si="6"/>
        <v>8</v>
      </c>
      <c r="BF38" s="173" t="str">
        <f t="shared" ca="1" si="7"/>
        <v>Black Hills Corporation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BKH</v>
      </c>
    </row>
    <row r="39" spans="1:61" ht="13.8" x14ac:dyDescent="0.25">
      <c r="A39" s="223" t="s">
        <v>328</v>
      </c>
      <c r="B39" s="224" t="s">
        <v>141</v>
      </c>
      <c r="C39" s="224">
        <v>18</v>
      </c>
      <c r="D39" s="224" t="s">
        <v>331</v>
      </c>
      <c r="E39" s="225" t="str">
        <f t="shared" ca="1" si="8"/>
        <v>R</v>
      </c>
      <c r="F39" s="348"/>
      <c r="G39" s="349">
        <f t="shared" ca="1" si="1"/>
        <v>21</v>
      </c>
      <c r="H39" s="350"/>
      <c r="I39" s="237"/>
      <c r="K39" s="237"/>
      <c r="L39" s="173"/>
      <c r="N39" s="237"/>
      <c r="Q39" s="237"/>
      <c r="T39" s="237"/>
      <c r="W39" s="237"/>
      <c r="AF39" s="169">
        <f t="shared" si="2"/>
        <v>1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41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301</v>
      </c>
      <c r="AR39" s="207" t="s">
        <v>141</v>
      </c>
      <c r="AS39" s="207">
        <v>18</v>
      </c>
      <c r="AT39" s="207" t="s">
        <v>302</v>
      </c>
      <c r="AV39" s="168">
        <f t="shared" si="21"/>
        <v>31</v>
      </c>
      <c r="AW39" s="168">
        <f>COUNTIF( AV$7:AV39, AV39 )</f>
        <v>9</v>
      </c>
      <c r="AX39" s="208">
        <f t="shared" si="22"/>
        <v>31.9</v>
      </c>
      <c r="AY39" s="168">
        <f t="shared" si="23"/>
        <v>39</v>
      </c>
      <c r="AZ39" s="169"/>
      <c r="BA39" s="169"/>
      <c r="BC39" s="168">
        <f t="shared" ca="1" si="24"/>
        <v>33</v>
      </c>
      <c r="BD39" s="209">
        <f t="shared" ca="1" si="6"/>
        <v>18</v>
      </c>
      <c r="BF39" s="173" t="str">
        <f t="shared" ref="BF39:BI63" ca="1" si="25">OFFSET( AQ$6, $BD39, 0 )</f>
        <v>El Paso Electric Company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EE</v>
      </c>
    </row>
    <row r="40" spans="1:61" ht="13.8" x14ac:dyDescent="0.25">
      <c r="A40" s="223" t="s">
        <v>269</v>
      </c>
      <c r="B40" s="224" t="s">
        <v>141</v>
      </c>
      <c r="C40" s="224">
        <v>18</v>
      </c>
      <c r="D40" s="224" t="s">
        <v>270</v>
      </c>
      <c r="E40" s="225" t="str">
        <f t="shared" ca="1" si="8"/>
        <v>MR</v>
      </c>
      <c r="F40" s="348"/>
      <c r="G40" s="349">
        <f t="shared" ca="1" si="1"/>
        <v>25</v>
      </c>
      <c r="H40" s="350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1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42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281</v>
      </c>
      <c r="AR40" s="207" t="s">
        <v>139</v>
      </c>
      <c r="AS40" s="207">
        <v>20</v>
      </c>
      <c r="AT40" s="207" t="s">
        <v>282</v>
      </c>
      <c r="AV40" s="168">
        <f t="shared" si="21"/>
        <v>3</v>
      </c>
      <c r="AW40" s="168">
        <f>COUNTIF( AV$7:AV40, AV40 )</f>
        <v>8</v>
      </c>
      <c r="AX40" s="208">
        <f t="shared" si="22"/>
        <v>3.8</v>
      </c>
      <c r="AY40" s="168">
        <f t="shared" si="23"/>
        <v>10</v>
      </c>
      <c r="AZ40" s="169"/>
      <c r="BA40" s="169"/>
      <c r="BC40" s="168">
        <f t="shared" ca="1" si="24"/>
        <v>34</v>
      </c>
      <c r="BD40" s="209">
        <f t="shared" ca="1" si="6"/>
        <v>22</v>
      </c>
      <c r="BF40" s="173" t="str">
        <f t="shared" ca="1" si="25"/>
        <v>Exelon Corporation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EXC</v>
      </c>
    </row>
    <row r="41" spans="1:61" ht="13.8" x14ac:dyDescent="0.25">
      <c r="A41" s="223" t="s">
        <v>283</v>
      </c>
      <c r="B41" s="224" t="s">
        <v>141</v>
      </c>
      <c r="C41" s="224">
        <v>18</v>
      </c>
      <c r="D41" s="224" t="s">
        <v>284</v>
      </c>
      <c r="E41" s="225" t="str">
        <f t="shared" ca="1" si="8"/>
        <v>R</v>
      </c>
      <c r="F41" s="348"/>
      <c r="G41" s="349">
        <f t="shared" ca="1" si="1"/>
        <v>28</v>
      </c>
      <c r="H41" s="350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1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43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303</v>
      </c>
      <c r="AR41" s="207" t="s">
        <v>140</v>
      </c>
      <c r="AS41" s="207">
        <v>19</v>
      </c>
      <c r="AT41" s="207" t="s">
        <v>304</v>
      </c>
      <c r="AV41" s="168">
        <f t="shared" si="21"/>
        <v>16</v>
      </c>
      <c r="AW41" s="168">
        <f>COUNTIF( AV$7:AV41, AV41 )</f>
        <v>12</v>
      </c>
      <c r="AX41" s="208">
        <f t="shared" si="22"/>
        <v>17.2</v>
      </c>
      <c r="AY41" s="168">
        <f t="shared" si="23"/>
        <v>27</v>
      </c>
      <c r="AZ41" s="169"/>
      <c r="BA41" s="169"/>
      <c r="BC41" s="168">
        <f t="shared" ca="1" si="24"/>
        <v>35</v>
      </c>
      <c r="BD41" s="209">
        <f t="shared" ca="1" si="6"/>
        <v>25</v>
      </c>
      <c r="BF41" s="173" t="str">
        <f t="shared" ca="1" si="25"/>
        <v>IDACORP, Inc.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IDA</v>
      </c>
    </row>
    <row r="42" spans="1:61" ht="13.8" x14ac:dyDescent="0.25">
      <c r="A42" s="223" t="s">
        <v>287</v>
      </c>
      <c r="B42" s="224" t="s">
        <v>141</v>
      </c>
      <c r="C42" s="224">
        <v>18</v>
      </c>
      <c r="D42" s="224" t="s">
        <v>288</v>
      </c>
      <c r="E42" s="225" t="str">
        <f t="shared" ca="1" si="8"/>
        <v>R</v>
      </c>
      <c r="F42" s="348"/>
      <c r="G42" s="349">
        <f t="shared" ca="1" si="1"/>
        <v>55</v>
      </c>
      <c r="H42" s="350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1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44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285</v>
      </c>
      <c r="AR42" s="207" t="s">
        <v>141</v>
      </c>
      <c r="AS42" s="207">
        <v>18</v>
      </c>
      <c r="AT42" s="207" t="s">
        <v>286</v>
      </c>
      <c r="AV42" s="168">
        <f t="shared" si="21"/>
        <v>31</v>
      </c>
      <c r="AW42" s="168">
        <f>COUNTIF( AV$7:AV42, AV42 )</f>
        <v>10</v>
      </c>
      <c r="AX42" s="208">
        <f t="shared" si="22"/>
        <v>32</v>
      </c>
      <c r="AY42" s="168">
        <f t="shared" si="23"/>
        <v>40</v>
      </c>
      <c r="AZ42" s="169"/>
      <c r="BA42" s="169"/>
      <c r="BC42" s="168">
        <f t="shared" ca="1" si="24"/>
        <v>36</v>
      </c>
      <c r="BD42" s="209">
        <f t="shared" ca="1" si="6"/>
        <v>26</v>
      </c>
      <c r="BF42" s="173" t="str">
        <f t="shared" ca="1" si="25"/>
        <v>IPALCO Enterprises, Inc.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**IPALCO</v>
      </c>
    </row>
    <row r="43" spans="1:61" ht="13.8" x14ac:dyDescent="0.25">
      <c r="A43" s="223" t="s">
        <v>297</v>
      </c>
      <c r="B43" s="224" t="s">
        <v>141</v>
      </c>
      <c r="C43" s="224">
        <v>18</v>
      </c>
      <c r="D43" s="224" t="s">
        <v>298</v>
      </c>
      <c r="E43" s="225" t="str">
        <f t="shared" ca="1" si="8"/>
        <v>R</v>
      </c>
      <c r="F43" s="348"/>
      <c r="G43" s="349">
        <f t="shared" ca="1" si="1"/>
        <v>33</v>
      </c>
      <c r="H43" s="350"/>
      <c r="I43" s="237"/>
      <c r="J43" s="191"/>
      <c r="K43" s="237"/>
      <c r="N43" s="237"/>
      <c r="Q43" s="237"/>
      <c r="T43" s="237"/>
      <c r="W43" s="237"/>
      <c r="AF43" s="169">
        <f t="shared" si="2"/>
        <v>1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45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243</v>
      </c>
      <c r="AR43" s="207" t="s">
        <v>139</v>
      </c>
      <c r="AS43" s="207">
        <v>20</v>
      </c>
      <c r="AT43" s="207" t="s">
        <v>244</v>
      </c>
      <c r="AV43" s="168">
        <f t="shared" si="21"/>
        <v>3</v>
      </c>
      <c r="AW43" s="168">
        <f>COUNTIF( AV$7:AV43, AV43 )</f>
        <v>9</v>
      </c>
      <c r="AX43" s="208">
        <f t="shared" si="22"/>
        <v>3.9</v>
      </c>
      <c r="AY43" s="168">
        <f t="shared" si="23"/>
        <v>11</v>
      </c>
      <c r="AZ43" s="169"/>
      <c r="BA43" s="169"/>
      <c r="BC43" s="168">
        <f t="shared" ca="1" si="24"/>
        <v>37</v>
      </c>
      <c r="BD43" s="209">
        <f t="shared" ca="1" si="6"/>
        <v>30</v>
      </c>
      <c r="BF43" s="173" t="str">
        <f t="shared" ca="1" si="25"/>
        <v>NorthWestern Corporation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NWE</v>
      </c>
    </row>
    <row r="44" spans="1:61" ht="13.8" x14ac:dyDescent="0.25">
      <c r="A44" s="223" t="s">
        <v>299</v>
      </c>
      <c r="B44" s="224" t="s">
        <v>141</v>
      </c>
      <c r="C44" s="224">
        <v>18</v>
      </c>
      <c r="D44" s="224" t="s">
        <v>300</v>
      </c>
      <c r="E44" s="225" t="str">
        <f t="shared" ca="1" si="8"/>
        <v>R</v>
      </c>
      <c r="F44" s="348"/>
      <c r="G44" s="349">
        <f t="shared" ca="1" si="1"/>
        <v>35</v>
      </c>
      <c r="H44" s="350"/>
      <c r="I44" s="237"/>
      <c r="J44" s="191"/>
      <c r="K44" s="237"/>
      <c r="N44" s="237"/>
      <c r="Q44" s="237"/>
      <c r="T44" s="237"/>
      <c r="W44" s="237"/>
      <c r="AF44" s="169">
        <f t="shared" si="2"/>
        <v>1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46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289</v>
      </c>
      <c r="AR44" s="207" t="s">
        <v>140</v>
      </c>
      <c r="AS44" s="207">
        <v>19</v>
      </c>
      <c r="AT44" s="207" t="s">
        <v>290</v>
      </c>
      <c r="AV44" s="168">
        <f t="shared" si="21"/>
        <v>16</v>
      </c>
      <c r="AW44" s="168">
        <f>COUNTIF( AV$7:AV44, AV44 )</f>
        <v>13</v>
      </c>
      <c r="AX44" s="208">
        <f t="shared" si="22"/>
        <v>17.3</v>
      </c>
      <c r="AY44" s="168">
        <f t="shared" si="23"/>
        <v>28</v>
      </c>
      <c r="AZ44" s="169"/>
      <c r="BA44" s="169"/>
      <c r="BC44" s="168">
        <f t="shared" ca="1" si="24"/>
        <v>38</v>
      </c>
      <c r="BD44" s="209">
        <f t="shared" ca="1" si="6"/>
        <v>32</v>
      </c>
      <c r="BF44" s="173" t="str">
        <f t="shared" ca="1" si="25"/>
        <v>Otter Tail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OTTR</v>
      </c>
    </row>
    <row r="45" spans="1:61" ht="13.8" x14ac:dyDescent="0.25">
      <c r="A45" s="223" t="s">
        <v>301</v>
      </c>
      <c r="B45" s="224" t="s">
        <v>141</v>
      </c>
      <c r="C45" s="224">
        <v>18</v>
      </c>
      <c r="D45" s="224" t="s">
        <v>302</v>
      </c>
      <c r="E45" s="225" t="str">
        <f t="shared" ca="1" si="8"/>
        <v>R</v>
      </c>
      <c r="F45" s="348"/>
      <c r="G45" s="349">
        <f t="shared" ca="1" si="1"/>
        <v>36</v>
      </c>
      <c r="H45" s="350"/>
      <c r="I45" s="237"/>
      <c r="J45" s="191"/>
      <c r="K45" s="237"/>
      <c r="N45" s="237"/>
      <c r="Q45" s="237"/>
      <c r="T45" s="237"/>
      <c r="W45" s="237"/>
      <c r="AF45" s="169">
        <f t="shared" si="2"/>
        <v>1</v>
      </c>
      <c r="AG45" s="169" t="str">
        <f t="shared" ca="1" si="3"/>
        <v/>
      </c>
      <c r="AH45" s="169">
        <f t="shared" ca="1" si="18"/>
        <v>1</v>
      </c>
      <c r="AJ45" s="169">
        <f t="shared" ca="1" si="19"/>
        <v>33</v>
      </c>
      <c r="AK45" s="169" t="str">
        <f t="shared" ca="1" si="20"/>
        <v>BBB+</v>
      </c>
      <c r="AL45" s="169">
        <f t="shared" ca="1" si="20"/>
        <v>19</v>
      </c>
      <c r="AM45" s="169" t="str">
        <f t="shared" ca="1" si="4"/>
        <v>Change</v>
      </c>
      <c r="AQ45" s="207" t="s">
        <v>305</v>
      </c>
      <c r="AR45" s="207" t="s">
        <v>142</v>
      </c>
      <c r="AS45" s="207">
        <v>17</v>
      </c>
      <c r="AT45" s="207" t="s">
        <v>306</v>
      </c>
      <c r="AV45" s="168">
        <f t="shared" si="21"/>
        <v>42</v>
      </c>
      <c r="AW45" s="168">
        <f>COUNTIF( AV$7:AV45, AV45 )</f>
        <v>5</v>
      </c>
      <c r="AX45" s="208">
        <f t="shared" si="22"/>
        <v>42.5</v>
      </c>
      <c r="AY45" s="168">
        <f t="shared" si="23"/>
        <v>46</v>
      </c>
      <c r="AZ45" s="169"/>
      <c r="BA45" s="169"/>
      <c r="BC45" s="168">
        <f t="shared" ca="1" si="24"/>
        <v>39</v>
      </c>
      <c r="BD45" s="209">
        <f t="shared" ca="1" si="6"/>
        <v>33</v>
      </c>
      <c r="BF45" s="173" t="str">
        <f t="shared" ca="1" si="25"/>
        <v>PG&amp;E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PCG</v>
      </c>
    </row>
    <row r="46" spans="1:61" ht="13.8" x14ac:dyDescent="0.25">
      <c r="A46" s="223" t="s">
        <v>285</v>
      </c>
      <c r="B46" s="224" t="s">
        <v>141</v>
      </c>
      <c r="C46" s="224">
        <v>18</v>
      </c>
      <c r="D46" s="224" t="s">
        <v>286</v>
      </c>
      <c r="E46" s="225" t="str">
        <f t="shared" ca="1" si="8"/>
        <v>R</v>
      </c>
      <c r="F46" s="348"/>
      <c r="G46" s="349">
        <f t="shared" ca="1" si="1"/>
        <v>39</v>
      </c>
      <c r="H46" s="350"/>
      <c r="I46" s="191"/>
      <c r="K46" s="191"/>
      <c r="N46" s="351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47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347</v>
      </c>
      <c r="AR46" s="207" t="s">
        <v>141</v>
      </c>
      <c r="AS46" s="207">
        <v>18</v>
      </c>
      <c r="AT46" s="207" t="s">
        <v>348</v>
      </c>
      <c r="AV46" s="168">
        <f t="shared" si="21"/>
        <v>31</v>
      </c>
      <c r="AW46" s="168">
        <f>COUNTIF( AV$7:AV46, AV46 )</f>
        <v>11</v>
      </c>
      <c r="AX46" s="208">
        <f t="shared" si="22"/>
        <v>32.1</v>
      </c>
      <c r="AY46" s="168">
        <f t="shared" si="23"/>
        <v>41</v>
      </c>
      <c r="AZ46" s="169"/>
      <c r="BA46" s="169"/>
      <c r="BC46" s="168">
        <f t="shared" ca="1" si="24"/>
        <v>40</v>
      </c>
      <c r="BD46" s="209">
        <f t="shared" ca="1" si="6"/>
        <v>36</v>
      </c>
      <c r="BF46" s="173" t="str">
        <f t="shared" ca="1" si="25"/>
        <v>Portland General Electric Company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POR</v>
      </c>
    </row>
    <row r="47" spans="1:61" ht="13.8" x14ac:dyDescent="0.25">
      <c r="A47" s="223" t="s">
        <v>347</v>
      </c>
      <c r="B47" s="224" t="s">
        <v>141</v>
      </c>
      <c r="C47" s="224">
        <v>18</v>
      </c>
      <c r="D47" s="224" t="s">
        <v>348</v>
      </c>
      <c r="E47" s="225" t="str">
        <f t="shared" ca="1" si="8"/>
        <v>R</v>
      </c>
      <c r="F47" s="348"/>
      <c r="G47" s="349">
        <f t="shared" ca="1" si="1"/>
        <v>42</v>
      </c>
      <c r="H47" s="350"/>
      <c r="I47" s="350"/>
      <c r="J47" s="187" t="s">
        <v>307</v>
      </c>
      <c r="K47" s="191"/>
      <c r="M47" s="351"/>
      <c r="N47" s="351"/>
      <c r="AF47" s="169">
        <f t="shared" si="2"/>
        <v>1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48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291</v>
      </c>
      <c r="AR47" s="207" t="s">
        <v>140</v>
      </c>
      <c r="AS47" s="207">
        <v>19</v>
      </c>
      <c r="AT47" s="207" t="s">
        <v>292</v>
      </c>
      <c r="AV47" s="168">
        <f t="shared" si="21"/>
        <v>16</v>
      </c>
      <c r="AW47" s="168">
        <f>COUNTIF( AV$7:AV47, AV47 )</f>
        <v>14</v>
      </c>
      <c r="AX47" s="208">
        <f t="shared" si="22"/>
        <v>17.399999999999999</v>
      </c>
      <c r="AY47" s="168">
        <f t="shared" si="23"/>
        <v>29</v>
      </c>
      <c r="AZ47" s="169"/>
      <c r="BA47" s="169"/>
      <c r="BC47" s="168">
        <f t="shared" ca="1" si="24"/>
        <v>41</v>
      </c>
      <c r="BD47" s="209">
        <f t="shared" ca="1" si="6"/>
        <v>40</v>
      </c>
      <c r="BF47" s="173" t="str">
        <f t="shared" ca="1" si="25"/>
        <v>SCANA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SCG</v>
      </c>
    </row>
    <row r="48" spans="1:61" ht="13.8" x14ac:dyDescent="0.25">
      <c r="A48" s="223" t="s">
        <v>254</v>
      </c>
      <c r="B48" s="224" t="s">
        <v>142</v>
      </c>
      <c r="C48" s="224">
        <v>17</v>
      </c>
      <c r="D48" s="224" t="s">
        <v>255</v>
      </c>
      <c r="E48" s="225" t="str">
        <f t="shared" ca="1" si="8"/>
        <v>R</v>
      </c>
      <c r="F48" s="348"/>
      <c r="G48" s="349">
        <f t="shared" ca="1" si="1"/>
        <v>53</v>
      </c>
      <c r="H48" s="350"/>
      <c r="I48" s="350"/>
      <c r="K48" s="191"/>
      <c r="M48" s="351"/>
      <c r="N48" s="351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49</v>
      </c>
      <c r="AK48" s="169" t="str">
        <f t="shared" ca="1" si="20"/>
        <v>BBB-</v>
      </c>
      <c r="AL48" s="169">
        <f t="shared" ca="1" si="20"/>
        <v>17</v>
      </c>
      <c r="AM48" s="169" t="str">
        <f t="shared" ca="1" si="4"/>
        <v/>
      </c>
      <c r="AQ48" s="207" t="s">
        <v>293</v>
      </c>
      <c r="AR48" s="207" t="s">
        <v>139</v>
      </c>
      <c r="AS48" s="207">
        <v>20</v>
      </c>
      <c r="AT48" s="207" t="s">
        <v>294</v>
      </c>
      <c r="AV48" s="168">
        <f t="shared" si="21"/>
        <v>3</v>
      </c>
      <c r="AW48" s="168">
        <f>COUNTIF( AV$7:AV48, AV48 )</f>
        <v>10</v>
      </c>
      <c r="AX48" s="208">
        <f t="shared" si="22"/>
        <v>4</v>
      </c>
      <c r="AY48" s="168">
        <f t="shared" si="23"/>
        <v>12</v>
      </c>
      <c r="AZ48" s="169"/>
      <c r="BA48" s="169"/>
      <c r="BC48" s="168">
        <f t="shared" ca="1" si="24"/>
        <v>42</v>
      </c>
      <c r="BD48" s="209">
        <f t="shared" ca="1" si="6"/>
        <v>10</v>
      </c>
      <c r="BF48" s="173" t="str">
        <f t="shared" ca="1" si="25"/>
        <v>Cleco Corporation</v>
      </c>
      <c r="BG48" s="173" t="str">
        <f t="shared" ca="1" si="25"/>
        <v>BBB-</v>
      </c>
      <c r="BH48" s="173">
        <f t="shared" ca="1" si="25"/>
        <v>17</v>
      </c>
      <c r="BI48" s="173" t="str">
        <f t="shared" ca="1" si="25"/>
        <v>**CNL</v>
      </c>
    </row>
    <row r="49" spans="1:61" ht="13.8" x14ac:dyDescent="0.25">
      <c r="A49" s="223" t="s">
        <v>259</v>
      </c>
      <c r="B49" s="224" t="s">
        <v>142</v>
      </c>
      <c r="C49" s="224">
        <v>17</v>
      </c>
      <c r="D49" s="224" t="s">
        <v>260</v>
      </c>
      <c r="E49" s="225" t="str">
        <f t="shared" ca="1" si="8"/>
        <v>R</v>
      </c>
      <c r="F49" s="348"/>
      <c r="G49" s="349">
        <f t="shared" ca="1" si="1"/>
        <v>54</v>
      </c>
      <c r="H49" s="350"/>
      <c r="I49" s="350"/>
      <c r="J49" s="191"/>
      <c r="K49" s="191"/>
      <c r="M49" s="351"/>
      <c r="N49" s="351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50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4"/>
        <v/>
      </c>
      <c r="AQ49" s="207" t="s">
        <v>295</v>
      </c>
      <c r="AR49" s="207" t="s">
        <v>140</v>
      </c>
      <c r="AS49" s="207">
        <v>19</v>
      </c>
      <c r="AT49" s="207" t="s">
        <v>296</v>
      </c>
      <c r="AV49" s="168">
        <f t="shared" si="21"/>
        <v>16</v>
      </c>
      <c r="AW49" s="168">
        <f>COUNTIF( AV$7:AV49, AV49 )</f>
        <v>15</v>
      </c>
      <c r="AX49" s="208">
        <f t="shared" si="22"/>
        <v>17.5</v>
      </c>
      <c r="AY49" s="168">
        <f t="shared" si="23"/>
        <v>30</v>
      </c>
      <c r="AZ49" s="169"/>
      <c r="BA49" s="169"/>
      <c r="BC49" s="168">
        <f t="shared" ca="1" si="24"/>
        <v>43</v>
      </c>
      <c r="BD49" s="209">
        <f t="shared" ca="1" si="6"/>
        <v>14</v>
      </c>
      <c r="BF49" s="173" t="str">
        <f t="shared" ca="1" si="25"/>
        <v>DPL Inc.</v>
      </c>
      <c r="BG49" s="173" t="str">
        <f t="shared" ca="1" si="25"/>
        <v>BBB-</v>
      </c>
      <c r="BH49" s="173">
        <f t="shared" ca="1" si="25"/>
        <v>17</v>
      </c>
      <c r="BI49" s="173" t="str">
        <f t="shared" ca="1" si="25"/>
        <v>**DPL</v>
      </c>
    </row>
    <row r="50" spans="1:61" ht="13.8" x14ac:dyDescent="0.25">
      <c r="A50" s="223" t="s">
        <v>275</v>
      </c>
      <c r="B50" s="224" t="s">
        <v>142</v>
      </c>
      <c r="C50" s="224">
        <v>17</v>
      </c>
      <c r="D50" s="224" t="s">
        <v>276</v>
      </c>
      <c r="E50" s="225" t="str">
        <f t="shared" ca="1" si="8"/>
        <v>R</v>
      </c>
      <c r="F50" s="348"/>
      <c r="G50" s="349">
        <f t="shared" ca="1" si="1"/>
        <v>26</v>
      </c>
      <c r="H50" s="350"/>
      <c r="I50" s="350"/>
      <c r="J50" s="191"/>
      <c r="K50" s="191"/>
      <c r="M50" s="351"/>
      <c r="N50" s="351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51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4"/>
        <v/>
      </c>
      <c r="AQ50" s="207" t="s">
        <v>345</v>
      </c>
      <c r="AR50" s="207" t="s">
        <v>139</v>
      </c>
      <c r="AS50" s="207">
        <v>20</v>
      </c>
      <c r="AT50" s="207" t="s">
        <v>346</v>
      </c>
      <c r="AV50" s="168">
        <f t="shared" si="21"/>
        <v>3</v>
      </c>
      <c r="AW50" s="168">
        <f>COUNTIF( AV$7:AV50, AV50 )</f>
        <v>11</v>
      </c>
      <c r="AX50" s="208">
        <f t="shared" si="22"/>
        <v>4.0999999999999996</v>
      </c>
      <c r="AY50" s="168">
        <f t="shared" si="23"/>
        <v>13</v>
      </c>
      <c r="AZ50" s="169"/>
      <c r="BA50" s="169"/>
      <c r="BC50" s="168">
        <f t="shared" ca="1" si="24"/>
        <v>44</v>
      </c>
      <c r="BD50" s="209">
        <f t="shared" ca="1" si="6"/>
        <v>23</v>
      </c>
      <c r="BF50" s="173" t="str">
        <f t="shared" ca="1" si="25"/>
        <v>FirstEnergy Corp.</v>
      </c>
      <c r="BG50" s="173" t="str">
        <f t="shared" ca="1" si="25"/>
        <v>BBB-</v>
      </c>
      <c r="BH50" s="173">
        <f t="shared" ca="1" si="25"/>
        <v>17</v>
      </c>
      <c r="BI50" s="173" t="str">
        <f t="shared" ca="1" si="25"/>
        <v>FE</v>
      </c>
    </row>
    <row r="51" spans="1:61" ht="13.8" x14ac:dyDescent="0.25">
      <c r="A51" s="223" t="s">
        <v>279</v>
      </c>
      <c r="B51" s="224" t="s">
        <v>142</v>
      </c>
      <c r="C51" s="224">
        <v>17</v>
      </c>
      <c r="D51" s="224" t="s">
        <v>280</v>
      </c>
      <c r="E51" s="225" t="str">
        <f t="shared" ca="1" si="8"/>
        <v>MR</v>
      </c>
      <c r="F51" s="348"/>
      <c r="G51" s="349">
        <f t="shared" ca="1" si="1"/>
        <v>27</v>
      </c>
      <c r="H51" s="350"/>
      <c r="I51" s="350"/>
      <c r="J51" s="191"/>
      <c r="K51" s="191"/>
      <c r="M51" s="351"/>
      <c r="N51" s="351"/>
      <c r="AF51" s="169">
        <f t="shared" si="2"/>
        <v>0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52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4"/>
        <v/>
      </c>
      <c r="AQ51" s="207" t="s">
        <v>247</v>
      </c>
      <c r="AR51" s="207" t="s">
        <v>139</v>
      </c>
      <c r="AS51" s="207">
        <v>20</v>
      </c>
      <c r="AT51" s="207" t="s">
        <v>248</v>
      </c>
      <c r="AV51" s="168">
        <f t="shared" si="21"/>
        <v>3</v>
      </c>
      <c r="AW51" s="168">
        <f>COUNTIF( AV$7:AV51, AV51 )</f>
        <v>12</v>
      </c>
      <c r="AX51" s="208">
        <f t="shared" si="22"/>
        <v>4.2</v>
      </c>
      <c r="AY51" s="168">
        <f t="shared" si="23"/>
        <v>14</v>
      </c>
      <c r="AZ51" s="169"/>
      <c r="BA51" s="169"/>
      <c r="BC51" s="168">
        <f t="shared" ca="1" si="24"/>
        <v>45</v>
      </c>
      <c r="BD51" s="209">
        <f t="shared" ca="1" si="6"/>
        <v>24</v>
      </c>
      <c r="BF51" s="173" t="str">
        <f t="shared" ca="1" si="25"/>
        <v>Hawaiian Electric Industries, Inc.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HE</v>
      </c>
    </row>
    <row r="52" spans="1:61" ht="13.8" x14ac:dyDescent="0.25">
      <c r="A52" s="223" t="s">
        <v>305</v>
      </c>
      <c r="B52" s="224" t="s">
        <v>142</v>
      </c>
      <c r="C52" s="224">
        <v>17</v>
      </c>
      <c r="D52" s="224" t="s">
        <v>306</v>
      </c>
      <c r="E52" s="225" t="str">
        <f t="shared" ca="1" si="8"/>
        <v>R</v>
      </c>
      <c r="F52" s="348"/>
      <c r="G52" s="349">
        <f t="shared" ca="1" si="1"/>
        <v>57</v>
      </c>
      <c r="H52" s="350"/>
      <c r="I52" s="350"/>
      <c r="J52" s="191"/>
      <c r="K52" s="191"/>
      <c r="AF52" s="169">
        <f t="shared" si="2"/>
        <v>0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53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251</v>
      </c>
      <c r="AR52" s="207" t="s">
        <v>139</v>
      </c>
      <c r="AS52" s="207">
        <v>20</v>
      </c>
      <c r="AT52" s="207" t="s">
        <v>252</v>
      </c>
      <c r="AV52" s="168">
        <f t="shared" si="21"/>
        <v>3</v>
      </c>
      <c r="AW52" s="168">
        <f>COUNTIF( AV$7:AV52, AV52 )</f>
        <v>13</v>
      </c>
      <c r="AX52" s="208">
        <f t="shared" si="22"/>
        <v>4.3</v>
      </c>
      <c r="AY52" s="168">
        <f t="shared" si="23"/>
        <v>15</v>
      </c>
      <c r="AZ52" s="169"/>
      <c r="BA52" s="169"/>
      <c r="BC52" s="168">
        <f t="shared" ca="1" si="24"/>
        <v>46</v>
      </c>
      <c r="BD52" s="209">
        <f t="shared" ca="1" si="6"/>
        <v>39</v>
      </c>
      <c r="BF52" s="173" t="str">
        <f t="shared" ca="1" si="25"/>
        <v>Puget Energy, Inc.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**PSD</v>
      </c>
    </row>
    <row r="53" spans="1:61" ht="13.8" x14ac:dyDescent="0.25">
      <c r="A53" s="223"/>
      <c r="B53" s="224"/>
      <c r="C53" s="224"/>
      <c r="D53" s="224"/>
      <c r="E53" s="225"/>
      <c r="F53" s="348"/>
      <c r="G53" s="349" t="str">
        <f t="shared" ca="1" si="1"/>
        <v/>
      </c>
      <c r="H53" s="350"/>
      <c r="I53" s="350"/>
      <c r="J53" s="191"/>
      <c r="K53" s="191"/>
      <c r="AF53" s="169">
        <f t="shared" si="2"/>
        <v>0</v>
      </c>
      <c r="AG53" s="169" t="str">
        <f t="shared" si="3"/>
        <v/>
      </c>
      <c r="AH53" s="169" t="str">
        <f t="shared" si="18"/>
        <v/>
      </c>
      <c r="AJ53" s="169" t="e">
        <f t="shared" ca="1" si="19"/>
        <v>#N/A</v>
      </c>
      <c r="AK53" s="169" t="str">
        <f t="shared" ca="1" si="20"/>
        <v/>
      </c>
      <c r="AL53" s="169" t="str">
        <f t="shared" ca="1" si="20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si="21"/>
        <v>99</v>
      </c>
      <c r="AW53" s="168">
        <f>COUNTIF( AV$7:AV53, AV53 )</f>
        <v>1</v>
      </c>
      <c r="AX53" s="208">
        <f t="shared" si="22"/>
        <v>99.1</v>
      </c>
      <c r="AY53" s="168">
        <f t="shared" si="23"/>
        <v>47</v>
      </c>
      <c r="AZ53" s="169"/>
      <c r="BA53" s="169"/>
      <c r="BC53" s="168">
        <f t="shared" ca="1" si="24"/>
        <v>47</v>
      </c>
      <c r="BD53" s="209">
        <f t="shared" ca="1" si="6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ht="13.8" x14ac:dyDescent="0.25">
      <c r="A54" s="223"/>
      <c r="B54" s="224"/>
      <c r="C54" s="224"/>
      <c r="D54" s="224"/>
      <c r="E54" s="225"/>
      <c r="F54" s="348"/>
      <c r="G54" s="349" t="str">
        <f t="shared" ca="1" si="1"/>
        <v/>
      </c>
      <c r="H54" s="350"/>
      <c r="I54" s="350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8"/>
        <v/>
      </c>
      <c r="AJ54" s="169" t="e">
        <f t="shared" ca="1" si="19"/>
        <v>#N/A</v>
      </c>
      <c r="AK54" s="169" t="str">
        <f t="shared" ca="1" si="20"/>
        <v/>
      </c>
      <c r="AL54" s="169" t="str">
        <f t="shared" ca="1" si="20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21"/>
        <v>99</v>
      </c>
      <c r="AW54" s="168">
        <f>COUNTIF( AV$7:AV54, AV54 )</f>
        <v>2</v>
      </c>
      <c r="AX54" s="208">
        <f t="shared" si="22"/>
        <v>99.2</v>
      </c>
      <c r="AY54" s="168">
        <f t="shared" si="23"/>
        <v>48</v>
      </c>
      <c r="AZ54" s="169"/>
      <c r="BA54" s="169"/>
      <c r="BC54" s="168">
        <f t="shared" ca="1" si="24"/>
        <v>48</v>
      </c>
      <c r="BD54" s="209">
        <f t="shared" ca="1" si="6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3.8" x14ac:dyDescent="0.25">
      <c r="A55" s="223"/>
      <c r="B55" s="224"/>
      <c r="C55" s="224"/>
      <c r="D55" s="224"/>
      <c r="E55" s="225"/>
      <c r="F55" s="348"/>
      <c r="G55" s="349" t="str">
        <f t="shared" ca="1" si="1"/>
        <v/>
      </c>
      <c r="H55" s="350"/>
      <c r="I55" s="350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8"/>
        <v/>
      </c>
      <c r="AJ55" s="169" t="e">
        <f t="shared" ca="1" si="19"/>
        <v>#N/A</v>
      </c>
      <c r="AK55" s="169" t="str">
        <f t="shared" ca="1" si="20"/>
        <v/>
      </c>
      <c r="AL55" s="169" t="str">
        <f t="shared" ca="1" si="20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1"/>
        <v>99</v>
      </c>
      <c r="AW55" s="168">
        <f>COUNTIF( AV$7:AV55, AV55 )</f>
        <v>3</v>
      </c>
      <c r="AX55" s="208">
        <f t="shared" si="22"/>
        <v>99.3</v>
      </c>
      <c r="AY55" s="168">
        <f t="shared" si="23"/>
        <v>49</v>
      </c>
      <c r="AZ55" s="169"/>
      <c r="BA55" s="169"/>
      <c r="BC55" s="168">
        <f t="shared" ca="1" si="24"/>
        <v>49</v>
      </c>
      <c r="BD55" s="209">
        <f t="shared" ca="1" si="6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3.8" x14ac:dyDescent="0.25">
      <c r="A56" s="223"/>
      <c r="B56" s="224"/>
      <c r="C56" s="224"/>
      <c r="D56" s="224"/>
      <c r="E56" s="225"/>
      <c r="F56" s="348"/>
      <c r="G56" s="349" t="str">
        <f t="shared" ca="1" si="1"/>
        <v/>
      </c>
      <c r="H56" s="350"/>
      <c r="I56" s="350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4</v>
      </c>
      <c r="AX56" s="208">
        <f t="shared" si="22"/>
        <v>99.4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8" x14ac:dyDescent="0.25">
      <c r="A57" s="223"/>
      <c r="B57" s="224"/>
      <c r="C57" s="224"/>
      <c r="D57" s="224"/>
      <c r="E57" s="225"/>
      <c r="F57" s="348"/>
      <c r="G57" s="349" t="str">
        <f t="shared" ca="1" si="1"/>
        <v/>
      </c>
      <c r="H57" s="350"/>
      <c r="I57" s="350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5</v>
      </c>
      <c r="AX57" s="208">
        <f t="shared" si="22"/>
        <v>99.5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8" x14ac:dyDescent="0.25">
      <c r="A58" s="223"/>
      <c r="B58" s="224"/>
      <c r="C58" s="224"/>
      <c r="D58" s="224"/>
      <c r="E58" s="225"/>
      <c r="F58" s="348"/>
      <c r="G58" s="349" t="str">
        <f t="shared" ca="1" si="1"/>
        <v/>
      </c>
      <c r="H58" s="350"/>
      <c r="I58" s="350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6</v>
      </c>
      <c r="AX58" s="208">
        <f t="shared" si="22"/>
        <v>99.6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8" x14ac:dyDescent="0.25">
      <c r="A59" s="223"/>
      <c r="B59" s="224"/>
      <c r="C59" s="224"/>
      <c r="D59" s="224"/>
      <c r="E59" s="225" t="str">
        <f t="shared" ca="1" si="8"/>
        <v/>
      </c>
      <c r="F59" s="348"/>
      <c r="G59" s="349" t="str">
        <f t="shared" ca="1" si="1"/>
        <v/>
      </c>
      <c r="H59" s="350"/>
      <c r="I59" s="350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7</v>
      </c>
      <c r="AX59" s="208">
        <f t="shared" si="22"/>
        <v>99.7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" thickBot="1" x14ac:dyDescent="0.3">
      <c r="A60" s="192"/>
      <c r="B60" s="193"/>
      <c r="C60" s="193"/>
      <c r="D60" s="193"/>
      <c r="E60" s="194" t="str">
        <f t="shared" ca="1" si="8"/>
        <v/>
      </c>
      <c r="F60" s="350"/>
      <c r="G60" s="353" t="str">
        <f t="shared" ca="1" si="1"/>
        <v/>
      </c>
      <c r="H60" s="350"/>
      <c r="I60" s="350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8</v>
      </c>
      <c r="AX60" s="208">
        <f t="shared" si="22"/>
        <v>99.8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8" x14ac:dyDescent="0.25">
      <c r="A61" s="226" t="s">
        <v>308</v>
      </c>
      <c r="B61" s="227" t="s">
        <v>162</v>
      </c>
      <c r="C61" s="227">
        <v>23</v>
      </c>
      <c r="D61" s="227" t="s">
        <v>309</v>
      </c>
      <c r="E61" s="228" t="str">
        <f t="shared" ca="1" si="8"/>
        <v>MR</v>
      </c>
      <c r="F61" s="354"/>
      <c r="G61" s="355">
        <f t="shared" ca="1" si="1"/>
        <v>30</v>
      </c>
      <c r="H61" s="350"/>
      <c r="I61" s="350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9</v>
      </c>
      <c r="AX61" s="208">
        <f t="shared" si="22"/>
        <v>99.9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8" x14ac:dyDescent="0.25">
      <c r="A62" s="223"/>
      <c r="B62" s="224"/>
      <c r="C62" s="224"/>
      <c r="D62" s="224"/>
      <c r="E62" s="225"/>
      <c r="F62" s="348"/>
      <c r="G62" s="349" t="str">
        <f t="shared" ca="1" si="1"/>
        <v/>
      </c>
      <c r="H62" s="350"/>
      <c r="I62" s="350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 t="e">
        <f t="shared" ca="1" si="19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10</v>
      </c>
      <c r="AX62" s="208">
        <f t="shared" si="22"/>
        <v>100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/>
      <c r="B63" s="229"/>
      <c r="C63" s="224"/>
      <c r="D63" s="224"/>
      <c r="E63" s="225"/>
      <c r="F63" s="348"/>
      <c r="G63" s="349"/>
      <c r="H63" s="350"/>
      <c r="I63" s="350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11</v>
      </c>
      <c r="AX63" s="208">
        <f t="shared" si="22"/>
        <v>100.1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/>
      <c r="B64" s="229"/>
      <c r="C64" s="224"/>
      <c r="D64" s="224"/>
      <c r="E64" s="225"/>
      <c r="F64" s="348"/>
      <c r="G64" s="349"/>
      <c r="H64" s="350"/>
      <c r="I64" s="350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308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58" ht="13.8" x14ac:dyDescent="0.25">
      <c r="A65" s="223"/>
      <c r="B65" s="229"/>
      <c r="C65" s="224"/>
      <c r="D65" s="224"/>
      <c r="E65" s="225"/>
      <c r="F65" s="348"/>
      <c r="G65" s="349"/>
      <c r="H65" s="350"/>
      <c r="I65" s="350"/>
      <c r="N65" s="168" t="s">
        <v>310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3.8" x14ac:dyDescent="0.25">
      <c r="A66" s="195"/>
      <c r="B66" s="196"/>
      <c r="C66" s="185"/>
      <c r="D66" s="185"/>
      <c r="E66" s="182"/>
      <c r="F66" s="350"/>
      <c r="H66" s="350"/>
      <c r="I66" s="350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50"/>
      <c r="H67" s="350"/>
      <c r="I67" s="350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8" x14ac:dyDescent="0.25">
      <c r="A68" s="200" t="s">
        <v>311</v>
      </c>
      <c r="B68" s="189" t="str">
        <f ca="1">OFFSET( Scale!$H$5, ROUND( C68, 0 ) - 1, 1 )</f>
        <v>BBB+</v>
      </c>
      <c r="C68" s="201">
        <f>AVERAGE(C7:C65)</f>
        <v>19.021276595744681</v>
      </c>
      <c r="D68" s="201"/>
      <c r="E68" s="201"/>
      <c r="F68" s="350"/>
      <c r="H68" s="350"/>
      <c r="I68" s="350"/>
      <c r="J68" s="351"/>
      <c r="K68" s="351"/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50"/>
      <c r="H69" s="350"/>
      <c r="I69" s="350"/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1"/>
      <c r="K70" s="351"/>
    </row>
    <row r="71" spans="1:58" x14ac:dyDescent="0.25">
      <c r="A71" s="203" t="s">
        <v>312</v>
      </c>
      <c r="F71" s="173"/>
      <c r="H71" s="173"/>
      <c r="I71" s="173"/>
    </row>
    <row r="72" spans="1:58" x14ac:dyDescent="0.25">
      <c r="A72" s="203" t="s">
        <v>313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314</v>
      </c>
      <c r="B73" s="173"/>
      <c r="D73" s="173"/>
      <c r="E73" s="173"/>
      <c r="F73" s="204"/>
      <c r="H73" s="204"/>
      <c r="I73" s="204"/>
    </row>
    <row r="74" spans="1:58" x14ac:dyDescent="0.25">
      <c r="A74" s="203" t="s">
        <v>315</v>
      </c>
      <c r="D74" s="204"/>
      <c r="F74" s="206"/>
      <c r="H74" s="206"/>
      <c r="I74" s="206"/>
      <c r="AQ74" s="207"/>
      <c r="AR74" s="207"/>
      <c r="AS74" s="207"/>
    </row>
    <row r="75" spans="1:58" x14ac:dyDescent="0.25">
      <c r="A75" s="203" t="s">
        <v>316</v>
      </c>
      <c r="D75" s="204"/>
      <c r="F75" s="206"/>
      <c r="H75" s="206"/>
      <c r="I75" s="206"/>
      <c r="AQ75" s="207"/>
      <c r="AR75" s="207"/>
      <c r="AS75" s="207"/>
    </row>
    <row r="76" spans="1:58" x14ac:dyDescent="0.25">
      <c r="A76" s="203"/>
      <c r="AQ76" s="207"/>
      <c r="AR76" s="207"/>
      <c r="AS76" s="207"/>
    </row>
    <row r="77" spans="1:58" x14ac:dyDescent="0.25">
      <c r="C77" s="190">
        <f>SUMPRODUCT( L8:L13, Y8:Y13 ) / L14</f>
        <v>18.957446808510639</v>
      </c>
      <c r="E77" s="191"/>
      <c r="G77" s="353"/>
      <c r="J77" s="173"/>
      <c r="K77" s="173"/>
      <c r="AQ77" s="207"/>
      <c r="AR77" s="207"/>
      <c r="AS77" s="207"/>
    </row>
    <row r="78" spans="1:58" s="173" customFormat="1" ht="13.8" x14ac:dyDescent="0.2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ref="AQ7:AT53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019" priority="31" stopIfTrue="1">
      <formula>IF( $AH7 = 1, TRUE, FALSE )</formula>
    </cfRule>
    <cfRule type="expression" dxfId="1018" priority="32" stopIfTrue="1">
      <formula>IF( $AG7 = 1, TRUE, FALSE )</formula>
    </cfRule>
    <cfRule type="expression" dxfId="1017" priority="33" stopIfTrue="1">
      <formula>IF( $AF7 = 1, TRUE, FALSE )</formula>
    </cfRule>
  </conditionalFormatting>
  <conditionalFormatting sqref="A67:E67">
    <cfRule type="expression" dxfId="1016" priority="34" stopIfTrue="1">
      <formula>IF( $AH67 = 1, TRUE, FALSE )</formula>
    </cfRule>
    <cfRule type="expression" dxfId="1015" priority="35" stopIfTrue="1">
      <formula>IF( $AG67 = 1, TRUE, FALSE )</formula>
    </cfRule>
    <cfRule type="expression" dxfId="1014" priority="36" stopIfTrue="1">
      <formula>IF( $AF67 = 1, TRUE, FALSE )</formula>
    </cfRule>
  </conditionalFormatting>
  <conditionalFormatting sqref="A66:E66">
    <cfRule type="expression" dxfId="1013" priority="28" stopIfTrue="1">
      <formula>IF( $AH66 = 1, TRUE, FALSE )</formula>
    </cfRule>
    <cfRule type="expression" dxfId="1012" priority="29" stopIfTrue="1">
      <formula>IF( $AG66 = 1, TRUE, FALSE )</formula>
    </cfRule>
    <cfRule type="expression" dxfId="1011" priority="30" stopIfTrue="1">
      <formula>IF( $AF66 = 1, TRUE, FALSE )</formula>
    </cfRule>
  </conditionalFormatting>
  <conditionalFormatting sqref="A8:D33 B7:D7 A35:D58">
    <cfRule type="expression" dxfId="1010" priority="25" stopIfTrue="1">
      <formula>IF( $AH7 = 1, TRUE, FALSE )</formula>
    </cfRule>
    <cfRule type="expression" dxfId="1009" priority="26" stopIfTrue="1">
      <formula>IF( $AG7 = 1, TRUE, FALSE )</formula>
    </cfRule>
    <cfRule type="expression" dxfId="1008" priority="27" stopIfTrue="1">
      <formula>IF( $AF7 = 1, TRUE, FALSE )</formula>
    </cfRule>
  </conditionalFormatting>
  <conditionalFormatting sqref="A59:D59">
    <cfRule type="expression" dxfId="1007" priority="22" stopIfTrue="1">
      <formula>IF( $AH59 = 1, TRUE, FALSE )</formula>
    </cfRule>
    <cfRule type="expression" dxfId="1006" priority="23" stopIfTrue="1">
      <formula>IF( $AG59 = 1, TRUE, FALSE )</formula>
    </cfRule>
    <cfRule type="expression" dxfId="1005" priority="24" stopIfTrue="1">
      <formula>IF( $AF59 = 1, TRUE, FALSE )</formula>
    </cfRule>
  </conditionalFormatting>
  <conditionalFormatting sqref="A61:D65">
    <cfRule type="expression" dxfId="1004" priority="19" stopIfTrue="1">
      <formula>IF( $AH61 = 1, TRUE, FALSE )</formula>
    </cfRule>
    <cfRule type="expression" dxfId="1003" priority="20" stopIfTrue="1">
      <formula>IF( $AG61 = 1, TRUE, FALSE )</formula>
    </cfRule>
    <cfRule type="expression" dxfId="1002" priority="21" stopIfTrue="1">
      <formula>IF( $AF61 = 1, TRUE, FALSE )</formula>
    </cfRule>
  </conditionalFormatting>
  <conditionalFormatting sqref="U8:U12">
    <cfRule type="cellIs" dxfId="1001" priority="18" operator="equal">
      <formula>0</formula>
    </cfRule>
  </conditionalFormatting>
  <conditionalFormatting sqref="O8:O12 Q8:Q12">
    <cfRule type="cellIs" dxfId="1000" priority="17" operator="equal">
      <formula>0</formula>
    </cfRule>
  </conditionalFormatting>
  <conditionalFormatting sqref="V8:V12">
    <cfRule type="cellIs" dxfId="999" priority="16" operator="equal">
      <formula>0</formula>
    </cfRule>
  </conditionalFormatting>
  <conditionalFormatting sqref="S8:S12">
    <cfRule type="cellIs" dxfId="998" priority="14" operator="equal">
      <formula>0</formula>
    </cfRule>
  </conditionalFormatting>
  <conditionalFormatting sqref="R8:R12">
    <cfRule type="cellIs" dxfId="997" priority="15" operator="equal">
      <formula>0</formula>
    </cfRule>
  </conditionalFormatting>
  <conditionalFormatting sqref="P8:P12">
    <cfRule type="cellIs" dxfId="996" priority="13" operator="equal">
      <formula>0</formula>
    </cfRule>
  </conditionalFormatting>
  <conditionalFormatting sqref="M8:M12">
    <cfRule type="cellIs" dxfId="995" priority="12" operator="equal">
      <formula>0</formula>
    </cfRule>
  </conditionalFormatting>
  <conditionalFormatting sqref="T8:T12">
    <cfRule type="cellIs" dxfId="994" priority="11" operator="equal">
      <formula>0</formula>
    </cfRule>
  </conditionalFormatting>
  <conditionalFormatting sqref="N8:N12">
    <cfRule type="cellIs" dxfId="993" priority="10" operator="equal">
      <formula>0</formula>
    </cfRule>
  </conditionalFormatting>
  <conditionalFormatting sqref="K8:K12">
    <cfRule type="cellIs" dxfId="992" priority="9" operator="equal">
      <formula>0</formula>
    </cfRule>
  </conditionalFormatting>
  <conditionalFormatting sqref="I8:I12">
    <cfRule type="cellIs" dxfId="991" priority="8" operator="equal">
      <formula>0</formula>
    </cfRule>
  </conditionalFormatting>
  <conditionalFormatting sqref="W8:W12">
    <cfRule type="cellIs" dxfId="990" priority="7" operator="equal">
      <formula>0</formula>
    </cfRule>
  </conditionalFormatting>
  <conditionalFormatting sqref="A7">
    <cfRule type="expression" dxfId="989" priority="4" stopIfTrue="1">
      <formula>IF( $AH7 = 1, TRUE, FALSE )</formula>
    </cfRule>
    <cfRule type="expression" dxfId="988" priority="5" stopIfTrue="1">
      <formula>IF( $AG7 = 1, TRUE, FALSE )</formula>
    </cfRule>
    <cfRule type="expression" dxfId="987" priority="6" stopIfTrue="1">
      <formula>IF( $AF7 = 1, TRUE, FALSE )</formula>
    </cfRule>
  </conditionalFormatting>
  <conditionalFormatting sqref="A34:D34">
    <cfRule type="expression" dxfId="986" priority="1" stopIfTrue="1">
      <formula>IF( $AH34 = 1, TRUE, FALSE )</formula>
    </cfRule>
    <cfRule type="expression" dxfId="985" priority="2" stopIfTrue="1">
      <formula>IF( $AG34 = 1, TRUE, FALSE )</formula>
    </cfRule>
    <cfRule type="expression" dxfId="984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hidden="1" customWidth="1" outlineLevel="1"/>
    <col min="23" max="23" width="2" style="168" hidden="1" customWidth="1" outlineLevel="1"/>
    <col min="24" max="24" width="4.109375" style="168" customWidth="1" collapsed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15.88671875" style="169" hidden="1" customWidth="1" outlineLevel="1" collapsed="1"/>
    <col min="37" max="38" width="15.88671875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-- 2018 Q1</v>
      </c>
      <c r="G1" s="175" t="s">
        <v>195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 x14ac:dyDescent="0.25">
      <c r="A2" s="167"/>
      <c r="E2" s="171" t="str">
        <f>G2</f>
        <v>Reg_Percent_2017</v>
      </c>
      <c r="G2" s="172" t="s">
        <v>343</v>
      </c>
      <c r="AJ2" s="173" t="str">
        <f>AJ4 &amp; AJ3</f>
        <v>'Credit_2017Q4'!d:d</v>
      </c>
      <c r="AK2" s="173" t="str">
        <f>AK4 &amp; AK3</f>
        <v>'Credit_2017Q4'!b1</v>
      </c>
      <c r="AL2" s="173" t="str">
        <f>AL4 &amp; AL3</f>
        <v>'Credit_2017Q4'!c1</v>
      </c>
      <c r="AQ2" s="169"/>
    </row>
    <row r="3" spans="1:61" ht="18" hidden="1" outlineLevel="1" x14ac:dyDescent="0.25">
      <c r="A3" s="167"/>
      <c r="E3" s="174" t="str">
        <f>"'" &amp; E2 &amp; "'!"</f>
        <v>'Reg_Percent_2017'!</v>
      </c>
      <c r="G3" s="168" t="str">
        <f>"'" &amp; G2 &amp; "'!"</f>
        <v>'Reg_Percent_2017'!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205</v>
      </c>
      <c r="AK3" s="149" t="s">
        <v>206</v>
      </c>
      <c r="AL3" s="149" t="s">
        <v>207</v>
      </c>
      <c r="AQ3" s="169"/>
    </row>
    <row r="4" spans="1:61" ht="18" hidden="1" outlineLevel="1" x14ac:dyDescent="0.25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>$AQ$5</f>
        <v>'Credit_2017Q4'!</v>
      </c>
      <c r="AK4" s="169" t="str">
        <f t="shared" ref="AK4:AL4" si="0">$AQ$5</f>
        <v>'Credit_2017Q4'!</v>
      </c>
      <c r="AL4" s="169" t="str">
        <f t="shared" si="0"/>
        <v>'Credit_2017Q4'!</v>
      </c>
      <c r="AQ4" s="169"/>
    </row>
    <row r="5" spans="1:61" ht="13.8" collapsed="1" x14ac:dyDescent="0.25">
      <c r="E5" s="176" t="s">
        <v>209</v>
      </c>
      <c r="G5" s="170" t="s">
        <v>199</v>
      </c>
      <c r="I5" s="230"/>
      <c r="J5" s="389" t="s">
        <v>210</v>
      </c>
      <c r="K5" s="230"/>
      <c r="L5" s="391" t="str">
        <f>"All Companies" &amp; CHAR( 10 ) &amp; "("&amp; L14 &amp; ")"</f>
        <v>All Companies
(48)</v>
      </c>
      <c r="M5" s="391"/>
      <c r="N5" s="230"/>
      <c r="O5" s="389" t="str">
        <f ca="1">"Regulated" &amp; CHAR( 10 ) &amp; "(" &amp; O14 &amp; ")"</f>
        <v>Regulated
(35)</v>
      </c>
      <c r="P5" s="393"/>
      <c r="Q5" s="230"/>
      <c r="R5" s="389" t="str">
        <f ca="1">"Mostly Regulated" &amp; CHAR( 10 ) &amp; "(" &amp; R14 &amp; ")"</f>
        <v>Mostly Regulated
(13)</v>
      </c>
      <c r="S5" s="393"/>
      <c r="T5" s="230"/>
      <c r="U5" s="389" t="str">
        <f ca="1">"Diversified" &amp; CHAR( 10 ) &amp; "(" &amp; U14 &amp; ")"</f>
        <v>Diversified
(0)</v>
      </c>
      <c r="V5" s="393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351</v>
      </c>
    </row>
    <row r="6" spans="1:61" ht="28.5" customHeight="1" x14ac:dyDescent="0.25">
      <c r="A6" s="219" t="s">
        <v>212</v>
      </c>
      <c r="B6" s="220" t="s">
        <v>72</v>
      </c>
      <c r="C6" s="249" t="s">
        <v>214</v>
      </c>
      <c r="D6" s="221"/>
      <c r="E6" s="222">
        <f ca="1">INDIRECT( E3 &amp; G1 )</f>
        <v>43100</v>
      </c>
      <c r="I6" s="231"/>
      <c r="J6" s="390"/>
      <c r="K6" s="231"/>
      <c r="L6" s="392"/>
      <c r="M6" s="392"/>
      <c r="N6" s="231"/>
      <c r="O6" s="390"/>
      <c r="P6" s="390"/>
      <c r="Q6" s="231"/>
      <c r="R6" s="390" t="s">
        <v>136</v>
      </c>
      <c r="S6" s="390"/>
      <c r="T6" s="231"/>
      <c r="U6" s="390"/>
      <c r="V6" s="390"/>
      <c r="W6" s="231"/>
      <c r="AE6" s="178"/>
      <c r="AJ6" s="179"/>
    </row>
    <row r="7" spans="1:61" ht="13.8" x14ac:dyDescent="0.25">
      <c r="A7" s="223" t="s">
        <v>235</v>
      </c>
      <c r="B7" s="224" t="s">
        <v>164</v>
      </c>
      <c r="C7" s="224">
        <v>22</v>
      </c>
      <c r="D7" s="224" t="s">
        <v>236</v>
      </c>
      <c r="E7" s="225" t="str">
        <f ca="1">IF( LEN( $G7 ) = 0, "", OFFSET( INDIRECT( E$3 &amp; E$4 ), $G7 - 1, 0 ) )</f>
        <v>R</v>
      </c>
      <c r="F7" s="348"/>
      <c r="G7" s="349">
        <f t="shared" ref="G7:G62" ca="1" si="1">IF( LEN( $D7 ) = 0, "", MATCH( $D7, INDIRECT( G$3 &amp; G$4 ), 0 ) )</f>
        <v>24</v>
      </c>
      <c r="H7" s="350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A+</v>
      </c>
      <c r="AL7" s="169">
        <f ca="1">IF( ISNA( $AJ7 ), "", OFFSET( INDIRECT( AL$2 ), $AJ7-1, 0 ) )</f>
        <v>22</v>
      </c>
      <c r="AM7" s="169" t="str">
        <f t="shared" ref="AM7:AM67" ca="1" si="4">IF( B7 = AK7, "", "Change" )</f>
        <v/>
      </c>
      <c r="AQ7" s="207" t="s">
        <v>217</v>
      </c>
      <c r="AR7" s="207" t="s">
        <v>140</v>
      </c>
      <c r="AS7" s="207">
        <v>19</v>
      </c>
      <c r="AT7" s="207" t="s">
        <v>218</v>
      </c>
      <c r="AV7" s="168">
        <f>IF( LEN( AS7 ) = 0, 99, RANK( AS7, $AS$7:$AS$63 ) )</f>
        <v>16</v>
      </c>
      <c r="AW7" s="168">
        <f>COUNTIF( AV7:AV$7, AV7 )</f>
        <v>1</v>
      </c>
      <c r="AX7" s="208">
        <f>AV7 + AW7 / 10</f>
        <v>16.100000000000001</v>
      </c>
      <c r="AY7" s="168">
        <f>RANK( AX7, $AX$7:$AX$63, 1 )</f>
        <v>16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20</v>
      </c>
      <c r="BF7" s="173" t="str">
        <f t="shared" ref="BF7:BI38" ca="1" si="7">OFFSET( AQ$6, $BD7, 0 )</f>
        <v>Eversource Energy</v>
      </c>
      <c r="BG7" s="173" t="str">
        <f t="shared" ca="1" si="7"/>
        <v>A+</v>
      </c>
      <c r="BH7" s="173">
        <f t="shared" ca="1" si="7"/>
        <v>22</v>
      </c>
      <c r="BI7" s="173" t="str">
        <f t="shared" ca="1" si="7"/>
        <v>ES</v>
      </c>
    </row>
    <row r="8" spans="1:61" ht="13.8" x14ac:dyDescent="0.25">
      <c r="A8" s="223" t="s">
        <v>215</v>
      </c>
      <c r="B8" s="224" t="s">
        <v>166</v>
      </c>
      <c r="C8" s="224">
        <v>21</v>
      </c>
      <c r="D8" s="224" t="s">
        <v>216</v>
      </c>
      <c r="E8" s="225" t="str">
        <f t="shared" ref="E8:E61" ca="1" si="8">IF( LEN( $G8 ) = 0, "", OFFSET( INDIRECT( E$3 &amp; E$4 ), $G8 - 1, 0 ) )</f>
        <v>MR</v>
      </c>
      <c r="F8" s="348"/>
      <c r="G8" s="349">
        <f t="shared" ca="1" si="1"/>
        <v>56</v>
      </c>
      <c r="H8" s="350"/>
      <c r="I8" s="233"/>
      <c r="J8" s="213" t="s">
        <v>137</v>
      </c>
      <c r="K8" s="233"/>
      <c r="L8" s="213">
        <f t="shared" ref="L8:L13" si="9">COUNTIF($C$7:$C$67,$X8)</f>
        <v>3</v>
      </c>
      <c r="M8" s="214">
        <f t="shared" ref="M8:M13" si="10">IF( L8 = 0, "", L8/L$14 )</f>
        <v>6.25E-2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2.8571428571428571E-2</v>
      </c>
      <c r="Q8" s="233"/>
      <c r="R8" s="213">
        <f t="shared" ref="R8:R13" ca="1" si="13">COUNTIFS( $E$7:$E$66, R$3, $C$7:$C$66, $X8 )</f>
        <v>2</v>
      </c>
      <c r="S8" s="214">
        <f t="shared" ref="S8:S13" ca="1" si="14">IF( R8 = 0, "", R8/R$14 )</f>
        <v>0.15384615384615385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7">SUM(O8, R8, U8)</f>
        <v>3</v>
      </c>
      <c r="AC8" s="351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7</v>
      </c>
      <c r="BF8" s="173" t="str">
        <f t="shared" ca="1" si="7"/>
        <v>Berkshire Energy Holdings Company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**BRK</v>
      </c>
    </row>
    <row r="9" spans="1:61" ht="13.8" x14ac:dyDescent="0.25">
      <c r="A9" s="223" t="s">
        <v>219</v>
      </c>
      <c r="B9" s="224" t="s">
        <v>139</v>
      </c>
      <c r="C9" s="224">
        <v>20</v>
      </c>
      <c r="D9" s="224" t="s">
        <v>220</v>
      </c>
      <c r="E9" s="225" t="str">
        <f t="shared" ca="1" si="8"/>
        <v>R</v>
      </c>
      <c r="F9" s="348"/>
      <c r="G9" s="349">
        <f t="shared" ca="1" si="1"/>
        <v>8</v>
      </c>
      <c r="H9" s="350"/>
      <c r="I9" s="234"/>
      <c r="J9" s="215" t="s">
        <v>139</v>
      </c>
      <c r="K9" s="234"/>
      <c r="L9" s="215">
        <f t="shared" si="9"/>
        <v>13</v>
      </c>
      <c r="M9" s="216">
        <f t="shared" si="10"/>
        <v>0.27083333333333331</v>
      </c>
      <c r="N9" s="234"/>
      <c r="O9" s="215">
        <f t="shared" ca="1" si="11"/>
        <v>11</v>
      </c>
      <c r="P9" s="216">
        <f t="shared" ca="1" si="12"/>
        <v>0.31428571428571428</v>
      </c>
      <c r="Q9" s="234"/>
      <c r="R9" s="215">
        <f t="shared" ca="1" si="13"/>
        <v>2</v>
      </c>
      <c r="S9" s="216">
        <f t="shared" ca="1" si="14"/>
        <v>0.15384615384615385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7"/>
        <v>13</v>
      </c>
      <c r="AC9" s="351"/>
      <c r="AE9" s="184"/>
      <c r="AF9" s="169">
        <f t="shared" si="2"/>
        <v>1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si="21"/>
        <v>16</v>
      </c>
      <c r="AW9" s="168">
        <f>COUNTIF( AV$7:AV9, AV9 )</f>
        <v>2</v>
      </c>
      <c r="AX9" s="208">
        <f t="shared" si="22"/>
        <v>16.2</v>
      </c>
      <c r="AY9" s="168">
        <f t="shared" si="23"/>
        <v>17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ht="13.8" x14ac:dyDescent="0.25">
      <c r="A10" s="223" t="s">
        <v>222</v>
      </c>
      <c r="B10" s="224" t="s">
        <v>139</v>
      </c>
      <c r="C10" s="224">
        <v>20</v>
      </c>
      <c r="D10" s="224" t="s">
        <v>223</v>
      </c>
      <c r="E10" s="225" t="str">
        <f t="shared" ca="1" si="8"/>
        <v>R</v>
      </c>
      <c r="F10" s="348"/>
      <c r="G10" s="349">
        <f t="shared" ca="1" si="1"/>
        <v>10</v>
      </c>
      <c r="H10" s="350"/>
      <c r="I10" s="234"/>
      <c r="J10" s="215" t="s">
        <v>140</v>
      </c>
      <c r="K10" s="234"/>
      <c r="L10" s="215">
        <f t="shared" si="9"/>
        <v>17</v>
      </c>
      <c r="M10" s="216">
        <f t="shared" si="10"/>
        <v>0.35416666666666669</v>
      </c>
      <c r="N10" s="234"/>
      <c r="O10" s="215">
        <f t="shared" ca="1" si="11"/>
        <v>10</v>
      </c>
      <c r="P10" s="216">
        <f t="shared" ca="1" si="12"/>
        <v>0.2857142857142857</v>
      </c>
      <c r="Q10" s="234"/>
      <c r="R10" s="215">
        <f t="shared" ca="1" si="13"/>
        <v>7</v>
      </c>
      <c r="S10" s="216">
        <f t="shared" ca="1" si="14"/>
        <v>0.53846153846153844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229</v>
      </c>
      <c r="Y10" s="186">
        <v>19</v>
      </c>
      <c r="Z10" s="186">
        <v>1</v>
      </c>
      <c r="AA10" s="185">
        <f t="shared" ca="1" si="17"/>
        <v>17</v>
      </c>
      <c r="AE10" s="184"/>
      <c r="AF10" s="169">
        <f t="shared" si="2"/>
        <v>1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222</v>
      </c>
      <c r="AR10" s="207" t="s">
        <v>139</v>
      </c>
      <c r="AS10" s="207">
        <v>20</v>
      </c>
      <c r="AT10" s="207" t="s">
        <v>223</v>
      </c>
      <c r="AV10" s="168">
        <f t="shared" si="21"/>
        <v>3</v>
      </c>
      <c r="AW10" s="168">
        <f>COUNTIF( AV$7:AV10, AV10 )</f>
        <v>2</v>
      </c>
      <c r="AX10" s="208">
        <f t="shared" si="22"/>
        <v>3.2</v>
      </c>
      <c r="AY10" s="168">
        <f t="shared" si="23"/>
        <v>4</v>
      </c>
      <c r="AZ10" s="169"/>
      <c r="BA10" s="169"/>
      <c r="BC10" s="168">
        <f t="shared" ca="1" si="24"/>
        <v>4</v>
      </c>
      <c r="BD10" s="209">
        <f t="shared" ca="1" si="6"/>
        <v>4</v>
      </c>
      <c r="BF10" s="173" t="str">
        <f t="shared" ca="1" si="7"/>
        <v>American Electric Power Company,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AEP</v>
      </c>
    </row>
    <row r="11" spans="1:61" ht="13.8" x14ac:dyDescent="0.25">
      <c r="A11" s="223" t="s">
        <v>249</v>
      </c>
      <c r="B11" s="224" t="s">
        <v>139</v>
      </c>
      <c r="C11" s="224">
        <v>20</v>
      </c>
      <c r="D11" s="224" t="s">
        <v>250</v>
      </c>
      <c r="E11" s="225" t="str">
        <f t="shared" ca="1" si="8"/>
        <v>MR</v>
      </c>
      <c r="F11" s="348"/>
      <c r="G11" s="349">
        <f t="shared" ca="1" si="1"/>
        <v>14</v>
      </c>
      <c r="H11" s="350"/>
      <c r="I11" s="234"/>
      <c r="J11" s="215" t="s">
        <v>141</v>
      </c>
      <c r="K11" s="234"/>
      <c r="L11" s="215">
        <f t="shared" si="9"/>
        <v>10</v>
      </c>
      <c r="M11" s="216">
        <f t="shared" si="10"/>
        <v>0.20833333333333334</v>
      </c>
      <c r="N11" s="234"/>
      <c r="O11" s="215">
        <f t="shared" ca="1" si="11"/>
        <v>9</v>
      </c>
      <c r="P11" s="216">
        <f t="shared" ca="1" si="12"/>
        <v>0.25714285714285712</v>
      </c>
      <c r="Q11" s="234"/>
      <c r="R11" s="215">
        <f t="shared" ca="1" si="13"/>
        <v>1</v>
      </c>
      <c r="S11" s="216">
        <f t="shared" ca="1" si="14"/>
        <v>7.6923076923076927E-2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7"/>
        <v>10</v>
      </c>
      <c r="AE11" s="184"/>
      <c r="AF11" s="169">
        <f t="shared" si="2"/>
        <v>1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233</v>
      </c>
      <c r="AR11" s="207" t="s">
        <v>140</v>
      </c>
      <c r="AS11" s="207">
        <v>19</v>
      </c>
      <c r="AT11" s="207" t="s">
        <v>234</v>
      </c>
      <c r="AV11" s="168">
        <f t="shared" si="21"/>
        <v>16</v>
      </c>
      <c r="AW11" s="168">
        <f>COUNTIF( AV$7:AV11, AV11 )</f>
        <v>3</v>
      </c>
      <c r="AX11" s="208">
        <f t="shared" si="22"/>
        <v>16.3</v>
      </c>
      <c r="AY11" s="168">
        <f t="shared" si="23"/>
        <v>18</v>
      </c>
      <c r="AZ11" s="169"/>
      <c r="BA11" s="169"/>
      <c r="BC11" s="168">
        <f t="shared" ca="1" si="24"/>
        <v>5</v>
      </c>
      <c r="BD11" s="209">
        <f t="shared" ca="1" si="6"/>
        <v>9</v>
      </c>
      <c r="BF11" s="173" t="str">
        <f t="shared" ca="1" si="7"/>
        <v>CenterPoint Energy,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CNP</v>
      </c>
    </row>
    <row r="12" spans="1:61" ht="13.8" x14ac:dyDescent="0.25">
      <c r="A12" s="223" t="s">
        <v>227</v>
      </c>
      <c r="B12" s="224" t="s">
        <v>139</v>
      </c>
      <c r="C12" s="224">
        <v>20</v>
      </c>
      <c r="D12" s="224" t="s">
        <v>228</v>
      </c>
      <c r="E12" s="225" t="str">
        <f t="shared" ca="1" si="8"/>
        <v>R</v>
      </c>
      <c r="F12" s="348"/>
      <c r="G12" s="349">
        <f t="shared" ca="1" si="1"/>
        <v>16</v>
      </c>
      <c r="H12" s="350"/>
      <c r="I12" s="234"/>
      <c r="J12" s="215" t="s">
        <v>142</v>
      </c>
      <c r="K12" s="234"/>
      <c r="L12" s="215">
        <f t="shared" si="9"/>
        <v>5</v>
      </c>
      <c r="M12" s="216">
        <f t="shared" si="10"/>
        <v>0.10416666666666667</v>
      </c>
      <c r="N12" s="234"/>
      <c r="O12" s="215">
        <f t="shared" ca="1" si="11"/>
        <v>4</v>
      </c>
      <c r="P12" s="216">
        <f t="shared" ca="1" si="12"/>
        <v>0.11428571428571428</v>
      </c>
      <c r="Q12" s="234"/>
      <c r="R12" s="215">
        <f t="shared" ca="1" si="13"/>
        <v>1</v>
      </c>
      <c r="S12" s="216">
        <f t="shared" ca="1" si="14"/>
        <v>7.6923076923076927E-2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237</v>
      </c>
      <c r="Y12" s="186">
        <v>17</v>
      </c>
      <c r="Z12" s="186">
        <v>1</v>
      </c>
      <c r="AA12" s="185">
        <f t="shared" ca="1" si="17"/>
        <v>5</v>
      </c>
      <c r="AE12" s="184"/>
      <c r="AF12" s="169">
        <f t="shared" si="2"/>
        <v>1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238</v>
      </c>
      <c r="AR12" s="207" t="s">
        <v>141</v>
      </c>
      <c r="AS12" s="207">
        <v>18</v>
      </c>
      <c r="AT12" s="207" t="s">
        <v>239</v>
      </c>
      <c r="AV12" s="168">
        <f t="shared" si="21"/>
        <v>33</v>
      </c>
      <c r="AW12" s="168">
        <f>COUNTIF( AV$7:AV12, AV12 )</f>
        <v>1</v>
      </c>
      <c r="AX12" s="208">
        <f t="shared" si="22"/>
        <v>33.1</v>
      </c>
      <c r="AY12" s="168">
        <f t="shared" si="23"/>
        <v>33</v>
      </c>
      <c r="AZ12" s="169"/>
      <c r="BA12" s="169"/>
      <c r="BC12" s="168">
        <f t="shared" ca="1" si="24"/>
        <v>6</v>
      </c>
      <c r="BD12" s="209">
        <f t="shared" ca="1" si="6"/>
        <v>12</v>
      </c>
      <c r="BF12" s="173" t="str">
        <f t="shared" ca="1" si="7"/>
        <v>Consolidated Edison,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ED</v>
      </c>
    </row>
    <row r="13" spans="1:61" ht="13.8" x14ac:dyDescent="0.25">
      <c r="A13" s="223" t="s">
        <v>263</v>
      </c>
      <c r="B13" s="224" t="s">
        <v>139</v>
      </c>
      <c r="C13" s="224">
        <v>20</v>
      </c>
      <c r="D13" s="224" t="s">
        <v>264</v>
      </c>
      <c r="E13" s="225" t="str">
        <f t="shared" ca="1" si="8"/>
        <v>R</v>
      </c>
      <c r="F13" s="348"/>
      <c r="G13" s="349">
        <f t="shared" ca="1" si="1"/>
        <v>19</v>
      </c>
      <c r="H13" s="350"/>
      <c r="I13" s="235"/>
      <c r="J13" s="217" t="s">
        <v>143</v>
      </c>
      <c r="K13" s="235"/>
      <c r="L13" s="217">
        <f t="shared" si="9"/>
        <v>0</v>
      </c>
      <c r="M13" s="218" t="str">
        <f t="shared" si="10"/>
        <v/>
      </c>
      <c r="N13" s="235"/>
      <c r="O13" s="217">
        <f t="shared" ca="1" si="11"/>
        <v>0</v>
      </c>
      <c r="P13" s="218" t="str">
        <f t="shared" ca="1" si="12"/>
        <v/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242</v>
      </c>
      <c r="Y13" s="186">
        <v>16</v>
      </c>
      <c r="Z13" s="186">
        <v>1</v>
      </c>
      <c r="AA13" s="188">
        <f t="shared" ca="1" si="17"/>
        <v>0</v>
      </c>
      <c r="AE13" s="184"/>
      <c r="AF13" s="169">
        <f t="shared" si="2"/>
        <v>1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215</v>
      </c>
      <c r="AR13" s="207" t="s">
        <v>166</v>
      </c>
      <c r="AS13" s="207">
        <v>21</v>
      </c>
      <c r="AT13" s="207" t="s">
        <v>216</v>
      </c>
      <c r="AV13" s="168">
        <f t="shared" si="21"/>
        <v>2</v>
      </c>
      <c r="AW13" s="168">
        <f>COUNTIF( AV$7:AV13, AV13 )</f>
        <v>1</v>
      </c>
      <c r="AX13" s="208">
        <f t="shared" si="22"/>
        <v>2.1</v>
      </c>
      <c r="AY13" s="168">
        <f t="shared" si="23"/>
        <v>2</v>
      </c>
      <c r="AZ13" s="169"/>
      <c r="BA13" s="169"/>
      <c r="BC13" s="168">
        <f t="shared" ca="1" si="24"/>
        <v>7</v>
      </c>
      <c r="BD13" s="209">
        <f t="shared" ca="1" si="6"/>
        <v>16</v>
      </c>
      <c r="BF13" s="173" t="str">
        <f t="shared" ca="1" si="7"/>
        <v>Duke Energy Corporation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DUK</v>
      </c>
    </row>
    <row r="14" spans="1:61" ht="13.8" x14ac:dyDescent="0.25">
      <c r="A14" s="223" t="s">
        <v>240</v>
      </c>
      <c r="B14" s="224" t="s">
        <v>139</v>
      </c>
      <c r="C14" s="224">
        <v>20</v>
      </c>
      <c r="D14" s="224" t="s">
        <v>241</v>
      </c>
      <c r="E14" s="225" t="str">
        <f t="shared" ca="1" si="8"/>
        <v>MR</v>
      </c>
      <c r="F14" s="348"/>
      <c r="G14" s="349">
        <f t="shared" ca="1" si="1"/>
        <v>31</v>
      </c>
      <c r="H14" s="350"/>
      <c r="I14" s="236"/>
      <c r="J14" s="211" t="s">
        <v>144</v>
      </c>
      <c r="K14" s="236"/>
      <c r="L14" s="211">
        <f>SUM(L8:L13)</f>
        <v>48</v>
      </c>
      <c r="M14" s="212">
        <f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13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18.979166666666668</v>
      </c>
      <c r="Z14" s="190"/>
      <c r="AA14" s="189">
        <f ca="1">SUM(AA8:AA13)</f>
        <v>48</v>
      </c>
      <c r="AE14" s="184"/>
      <c r="AF14" s="169">
        <f t="shared" si="2"/>
        <v>1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245</v>
      </c>
      <c r="AR14" s="207" t="s">
        <v>141</v>
      </c>
      <c r="AS14" s="207">
        <v>18</v>
      </c>
      <c r="AT14" s="207" t="s">
        <v>246</v>
      </c>
      <c r="AV14" s="168">
        <f>IF( LEN( AS14 ) = 0, 99, RANK( AS14, $AS$7:$AS$63 ) )</f>
        <v>33</v>
      </c>
      <c r="AW14" s="168">
        <f>COUNTIF( AV$7:AV14, AV14 )</f>
        <v>2</v>
      </c>
      <c r="AX14" s="208">
        <f t="shared" si="22"/>
        <v>33.200000000000003</v>
      </c>
      <c r="AY14" s="168">
        <f t="shared" si="23"/>
        <v>34</v>
      </c>
      <c r="AZ14" s="169"/>
      <c r="BA14" s="169"/>
      <c r="BC14" s="168">
        <f t="shared" ca="1" si="24"/>
        <v>8</v>
      </c>
      <c r="BD14" s="209">
        <f t="shared" ca="1" si="6"/>
        <v>28</v>
      </c>
      <c r="BF14" s="173" t="str">
        <f t="shared" ca="1" si="7"/>
        <v>NextEra Energy,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NEE</v>
      </c>
    </row>
    <row r="15" spans="1:61" ht="13.8" x14ac:dyDescent="0.25">
      <c r="A15" s="223" t="s">
        <v>277</v>
      </c>
      <c r="B15" s="224" t="s">
        <v>139</v>
      </c>
      <c r="C15" s="224">
        <v>20</v>
      </c>
      <c r="D15" s="224" t="s">
        <v>278</v>
      </c>
      <c r="E15" s="225" t="str">
        <f t="shared" ca="1" si="8"/>
        <v>R</v>
      </c>
      <c r="F15" s="348"/>
      <c r="G15" s="349">
        <f t="shared" ca="1" si="1"/>
        <v>34</v>
      </c>
      <c r="H15" s="350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1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249</v>
      </c>
      <c r="AR15" s="207" t="s">
        <v>139</v>
      </c>
      <c r="AS15" s="207">
        <v>20</v>
      </c>
      <c r="AT15" s="207" t="s">
        <v>250</v>
      </c>
      <c r="AV15" s="168">
        <f t="shared" si="21"/>
        <v>3</v>
      </c>
      <c r="AW15" s="168">
        <f>COUNTIF( AV$7:AV15, AV15 )</f>
        <v>3</v>
      </c>
      <c r="AX15" s="208">
        <f t="shared" si="22"/>
        <v>3.3</v>
      </c>
      <c r="AY15" s="168">
        <f t="shared" si="23"/>
        <v>5</v>
      </c>
      <c r="AZ15" s="169"/>
      <c r="BA15" s="169"/>
      <c r="BC15" s="168">
        <f t="shared" ca="1" si="24"/>
        <v>9</v>
      </c>
      <c r="BD15" s="209">
        <f t="shared" ca="1" si="6"/>
        <v>31</v>
      </c>
      <c r="BF15" s="173" t="str">
        <f t="shared" ca="1" si="7"/>
        <v>OGE Energy Corp.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OGE</v>
      </c>
    </row>
    <row r="16" spans="1:61" ht="13.8" x14ac:dyDescent="0.25">
      <c r="A16" s="223" t="s">
        <v>281</v>
      </c>
      <c r="B16" s="224" t="s">
        <v>139</v>
      </c>
      <c r="C16" s="224">
        <v>20</v>
      </c>
      <c r="D16" s="224" t="s">
        <v>282</v>
      </c>
      <c r="E16" s="225" t="str">
        <f t="shared" ca="1" si="8"/>
        <v>R</v>
      </c>
      <c r="F16" s="348"/>
      <c r="G16" s="349">
        <f t="shared" ca="1" si="1"/>
        <v>37</v>
      </c>
      <c r="H16" s="350"/>
      <c r="I16" s="232"/>
      <c r="J16" s="210" t="s">
        <v>253</v>
      </c>
      <c r="K16" s="232"/>
      <c r="L16" s="386">
        <f t="array" ref="L16">SUM( IF( LEN( $C$7:$C$65 ) = 0, 0, $C$7:$C$65 ) ) / SUM( IF( LEN( $C$7:$C$65 ) = 0, 0, 1  ) )</f>
        <v>19.041666666666668</v>
      </c>
      <c r="M16" s="387"/>
      <c r="N16" s="232"/>
      <c r="O16" s="386">
        <f t="array" aca="1" ref="O16" ca="1">SUM( IF( LEN( $C$7:$C$65 ) = 0, 0, IF( $E$7:$E$65 = O3, $C$7:$C$65, 0 ) ) ) / SUM( IF( LEN( $C$7:$C$65 ) = 0, 0, IF( $E$7:$E$65 = O3, 1, 0 ) ) )</f>
        <v>18.914285714285715</v>
      </c>
      <c r="P16" s="387"/>
      <c r="Q16" s="232"/>
      <c r="R16" s="386">
        <f t="array" aca="1" ref="R16" ca="1">SUM( IF( LEN( $C$7:$C$65 ) = 0, 0, IF( $E$7:$E$65 = R3, $C$7:$C$65, 0 ) ) ) / SUM( IF( LEN( $C$7:$C$65 ) = 0, 0, IF( $E$7:$E$65 = R3, 1, 0 ) ) )</f>
        <v>19.384615384615383</v>
      </c>
      <c r="S16" s="387"/>
      <c r="T16" s="232"/>
      <c r="U16" s="386" t="e">
        <f t="array" aca="1" ref="U16" ca="1">SUM( IF( LEN( $C$7:$C$65 ) = 0, 0, IF( $E$7:$E$65 = U3, $C$7:$C$65, 0 ) ) ) / SUM( IF( LEN( $C$7:$C$65 ) = 0, 0, IF( $E$7:$E$65 = U3, 1, 0 ) ) )</f>
        <v>#DIV/0!</v>
      </c>
      <c r="V16" s="388"/>
      <c r="W16" s="232"/>
      <c r="AE16" s="184"/>
      <c r="AF16" s="169">
        <f t="shared" si="2"/>
        <v>1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17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254</v>
      </c>
      <c r="AR16" s="207" t="s">
        <v>142</v>
      </c>
      <c r="AS16" s="207">
        <v>17</v>
      </c>
      <c r="AT16" s="207" t="s">
        <v>255</v>
      </c>
      <c r="AV16" s="168">
        <f t="shared" si="21"/>
        <v>43</v>
      </c>
      <c r="AW16" s="168">
        <f>COUNTIF( AV$7:AV16, AV16 )</f>
        <v>1</v>
      </c>
      <c r="AX16" s="208">
        <f t="shared" si="22"/>
        <v>43.1</v>
      </c>
      <c r="AY16" s="168">
        <f t="shared" si="23"/>
        <v>43</v>
      </c>
      <c r="AZ16" s="169"/>
      <c r="BA16" s="169"/>
      <c r="BC16" s="168">
        <f t="shared" ca="1" si="24"/>
        <v>10</v>
      </c>
      <c r="BD16" s="209">
        <f t="shared" ca="1" si="6"/>
        <v>34</v>
      </c>
      <c r="BF16" s="173" t="str">
        <f t="shared" ca="1" si="7"/>
        <v>Pinnacle West Capital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PNW</v>
      </c>
    </row>
    <row r="17" spans="1:61" ht="13.8" x14ac:dyDescent="0.25">
      <c r="A17" s="223" t="s">
        <v>243</v>
      </c>
      <c r="B17" s="224" t="s">
        <v>139</v>
      </c>
      <c r="C17" s="224">
        <v>20</v>
      </c>
      <c r="D17" s="224" t="s">
        <v>244</v>
      </c>
      <c r="E17" s="225" t="str">
        <f t="shared" ca="1" si="8"/>
        <v>R</v>
      </c>
      <c r="F17" s="348"/>
      <c r="G17" s="349">
        <f t="shared" ca="1" si="1"/>
        <v>40</v>
      </c>
      <c r="H17" s="350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1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18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256</v>
      </c>
      <c r="AR17" s="207" t="s">
        <v>140</v>
      </c>
      <c r="AS17" s="207">
        <v>19</v>
      </c>
      <c r="AT17" s="207" t="s">
        <v>257</v>
      </c>
      <c r="AV17" s="168">
        <f t="shared" si="21"/>
        <v>16</v>
      </c>
      <c r="AW17" s="168">
        <f>COUNTIF( AV$7:AV17, AV17 )</f>
        <v>4</v>
      </c>
      <c r="AX17" s="208">
        <f t="shared" si="22"/>
        <v>16.399999999999999</v>
      </c>
      <c r="AY17" s="168">
        <f t="shared" si="23"/>
        <v>19</v>
      </c>
      <c r="AZ17" s="169"/>
      <c r="BA17" s="169"/>
      <c r="BC17" s="168">
        <f t="shared" ca="1" si="24"/>
        <v>11</v>
      </c>
      <c r="BD17" s="209">
        <f t="shared" ca="1" si="6"/>
        <v>37</v>
      </c>
      <c r="BF17" s="173" t="str">
        <f t="shared" ca="1" si="7"/>
        <v>PPL Corporation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PPL</v>
      </c>
    </row>
    <row r="18" spans="1:61" ht="13.8" x14ac:dyDescent="0.25">
      <c r="A18" s="223" t="s">
        <v>293</v>
      </c>
      <c r="B18" s="224" t="s">
        <v>139</v>
      </c>
      <c r="C18" s="224">
        <v>20</v>
      </c>
      <c r="D18" s="224" t="s">
        <v>294</v>
      </c>
      <c r="E18" s="225" t="str">
        <f t="shared" ca="1" si="8"/>
        <v>R</v>
      </c>
      <c r="F18" s="348"/>
      <c r="G18" s="349">
        <f t="shared" ca="1" si="1"/>
        <v>44</v>
      </c>
      <c r="H18" s="350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1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19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227</v>
      </c>
      <c r="AR18" s="207" t="s">
        <v>139</v>
      </c>
      <c r="AS18" s="207">
        <v>20</v>
      </c>
      <c r="AT18" s="207" t="s">
        <v>228</v>
      </c>
      <c r="AV18" s="168">
        <f t="shared" si="21"/>
        <v>3</v>
      </c>
      <c r="AW18" s="168">
        <f>COUNTIF( AV$7:AV18, AV18 )</f>
        <v>4</v>
      </c>
      <c r="AX18" s="208">
        <f t="shared" si="22"/>
        <v>3.4</v>
      </c>
      <c r="AY18" s="168">
        <f t="shared" si="23"/>
        <v>6</v>
      </c>
      <c r="AZ18" s="169"/>
      <c r="BA18" s="169"/>
      <c r="BC18" s="168">
        <f t="shared" ca="1" si="24"/>
        <v>12</v>
      </c>
      <c r="BD18" s="209">
        <f t="shared" ca="1" si="6"/>
        <v>42</v>
      </c>
      <c r="BF18" s="173" t="str">
        <f t="shared" ca="1" si="7"/>
        <v>Southern Company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SO</v>
      </c>
    </row>
    <row r="19" spans="1:61" ht="13.8" x14ac:dyDescent="0.25">
      <c r="A19" s="223" t="s">
        <v>345</v>
      </c>
      <c r="B19" s="224" t="s">
        <v>139</v>
      </c>
      <c r="C19" s="224">
        <v>20</v>
      </c>
      <c r="D19" s="224" t="s">
        <v>346</v>
      </c>
      <c r="E19" s="225" t="str">
        <f t="shared" ca="1" si="8"/>
        <v>R</v>
      </c>
      <c r="F19" s="348"/>
      <c r="G19" s="349">
        <f t="shared" ca="1" si="1"/>
        <v>46</v>
      </c>
      <c r="H19" s="350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20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258</v>
      </c>
      <c r="AR19" s="207" t="s">
        <v>140</v>
      </c>
      <c r="AS19" s="207">
        <v>19</v>
      </c>
      <c r="AT19" s="207" t="s">
        <v>194</v>
      </c>
      <c r="AV19" s="168">
        <f t="shared" si="21"/>
        <v>16</v>
      </c>
      <c r="AW19" s="168">
        <f>COUNTIF( AV$7:AV19, AV19 )</f>
        <v>5</v>
      </c>
      <c r="AX19" s="208">
        <f t="shared" si="22"/>
        <v>16.5</v>
      </c>
      <c r="AY19" s="168">
        <f t="shared" si="23"/>
        <v>20</v>
      </c>
      <c r="AZ19" s="169"/>
      <c r="BA19" s="169"/>
      <c r="BC19" s="168">
        <f t="shared" ca="1" si="24"/>
        <v>13</v>
      </c>
      <c r="BD19" s="209">
        <f t="shared" ca="1" si="6"/>
        <v>44</v>
      </c>
      <c r="BF19" s="173" t="str">
        <f t="shared" ca="1" si="7"/>
        <v>Vectren Corporation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VVC</v>
      </c>
    </row>
    <row r="20" spans="1:61" ht="13.8" x14ac:dyDescent="0.25">
      <c r="A20" s="223" t="s">
        <v>247</v>
      </c>
      <c r="B20" s="224" t="s">
        <v>139</v>
      </c>
      <c r="C20" s="224">
        <v>20</v>
      </c>
      <c r="D20" s="224" t="s">
        <v>248</v>
      </c>
      <c r="E20" s="225" t="str">
        <f t="shared" ca="1" si="8"/>
        <v>R</v>
      </c>
      <c r="F20" s="348"/>
      <c r="G20" s="349">
        <f t="shared" ca="1" si="1"/>
        <v>47</v>
      </c>
      <c r="H20" s="350"/>
      <c r="I20" s="352"/>
      <c r="K20" s="352"/>
      <c r="N20" s="352"/>
      <c r="O20" s="173"/>
      <c r="Q20" s="352"/>
      <c r="T20" s="352"/>
      <c r="W20" s="352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21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259</v>
      </c>
      <c r="AR20" s="207" t="s">
        <v>142</v>
      </c>
      <c r="AS20" s="207">
        <v>17</v>
      </c>
      <c r="AT20" s="207" t="s">
        <v>260</v>
      </c>
      <c r="AV20" s="168">
        <f t="shared" si="21"/>
        <v>43</v>
      </c>
      <c r="AW20" s="168">
        <f>COUNTIF( AV$7:AV20, AV20 )</f>
        <v>2</v>
      </c>
      <c r="AX20" s="208">
        <f t="shared" si="22"/>
        <v>43.2</v>
      </c>
      <c r="AY20" s="168">
        <f t="shared" si="23"/>
        <v>44</v>
      </c>
      <c r="AZ20" s="169"/>
      <c r="BA20" s="169"/>
      <c r="BC20" s="168">
        <f t="shared" ca="1" si="24"/>
        <v>14</v>
      </c>
      <c r="BD20" s="209">
        <f t="shared" ca="1" si="6"/>
        <v>46</v>
      </c>
      <c r="BF20" s="173" t="str">
        <f t="shared" ca="1" si="7"/>
        <v>Wisconsin Energy Corporation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WEC</v>
      </c>
    </row>
    <row r="21" spans="1:61" ht="13.8" x14ac:dyDescent="0.25">
      <c r="A21" s="223" t="s">
        <v>251</v>
      </c>
      <c r="B21" s="224" t="s">
        <v>139</v>
      </c>
      <c r="C21" s="224">
        <v>20</v>
      </c>
      <c r="D21" s="224" t="s">
        <v>252</v>
      </c>
      <c r="E21" s="225" t="str">
        <f t="shared" ca="1" si="8"/>
        <v>R</v>
      </c>
      <c r="F21" s="348"/>
      <c r="G21" s="349">
        <f t="shared" ca="1" si="1"/>
        <v>48</v>
      </c>
      <c r="H21" s="350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22</v>
      </c>
      <c r="AK21" s="169" t="str">
        <f t="shared" ca="1" si="20"/>
        <v>A-</v>
      </c>
      <c r="AL21" s="169">
        <f t="shared" ca="1" si="20"/>
        <v>20</v>
      </c>
      <c r="AM21" s="169" t="str">
        <f t="shared" ca="1" si="4"/>
        <v/>
      </c>
      <c r="AQ21" s="207" t="s">
        <v>261</v>
      </c>
      <c r="AR21" s="207" t="s">
        <v>140</v>
      </c>
      <c r="AS21" s="207">
        <v>19</v>
      </c>
      <c r="AT21" s="207" t="s">
        <v>262</v>
      </c>
      <c r="AV21" s="168">
        <f t="shared" si="21"/>
        <v>16</v>
      </c>
      <c r="AW21" s="168">
        <f>COUNTIF( AV$7:AV21, AV21 )</f>
        <v>6</v>
      </c>
      <c r="AX21" s="208">
        <f t="shared" si="22"/>
        <v>16.600000000000001</v>
      </c>
      <c r="AY21" s="168">
        <f t="shared" si="23"/>
        <v>21</v>
      </c>
      <c r="AZ21" s="169"/>
      <c r="BA21" s="169"/>
      <c r="BC21" s="168">
        <f t="shared" ca="1" si="24"/>
        <v>15</v>
      </c>
      <c r="BD21" s="209">
        <f t="shared" ca="1" si="6"/>
        <v>47</v>
      </c>
      <c r="BF21" s="173" t="str">
        <f t="shared" ca="1" si="7"/>
        <v>Xcel Energy Inc.</v>
      </c>
      <c r="BG21" s="173" t="str">
        <f t="shared" ca="1" si="7"/>
        <v>A-</v>
      </c>
      <c r="BH21" s="173">
        <f t="shared" ca="1" si="7"/>
        <v>20</v>
      </c>
      <c r="BI21" s="173" t="str">
        <f t="shared" ca="1" si="7"/>
        <v>XEL</v>
      </c>
    </row>
    <row r="22" spans="1:61" ht="13.8" x14ac:dyDescent="0.25">
      <c r="A22" s="223" t="s">
        <v>217</v>
      </c>
      <c r="B22" s="224" t="s">
        <v>140</v>
      </c>
      <c r="C22" s="224">
        <v>19</v>
      </c>
      <c r="D22" s="224" t="s">
        <v>218</v>
      </c>
      <c r="E22" s="225" t="str">
        <f t="shared" ca="1" si="8"/>
        <v>MR</v>
      </c>
      <c r="F22" s="348"/>
      <c r="G22" s="349">
        <f t="shared" ca="1" si="1"/>
        <v>7</v>
      </c>
      <c r="H22" s="350"/>
      <c r="I22" s="237"/>
      <c r="K22" s="237"/>
      <c r="N22" s="237"/>
      <c r="Q22" s="237"/>
      <c r="T22" s="237"/>
      <c r="W22" s="237"/>
      <c r="AE22" s="184"/>
      <c r="AF22" s="169">
        <f t="shared" si="2"/>
        <v>0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23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263</v>
      </c>
      <c r="AR22" s="207" t="s">
        <v>139</v>
      </c>
      <c r="AS22" s="207">
        <v>20</v>
      </c>
      <c r="AT22" s="207" t="s">
        <v>264</v>
      </c>
      <c r="AV22" s="168">
        <f t="shared" si="21"/>
        <v>3</v>
      </c>
      <c r="AW22" s="168">
        <f>COUNTIF( AV$7:AV22, AV22 )</f>
        <v>5</v>
      </c>
      <c r="AX22" s="208">
        <f t="shared" si="22"/>
        <v>3.5</v>
      </c>
      <c r="AY22" s="168">
        <f t="shared" si="23"/>
        <v>7</v>
      </c>
      <c r="AZ22" s="169"/>
      <c r="BA22" s="169"/>
      <c r="BC22" s="168">
        <f t="shared" ca="1" si="24"/>
        <v>16</v>
      </c>
      <c r="BD22" s="209">
        <f t="shared" ca="1" si="6"/>
        <v>1</v>
      </c>
      <c r="BF22" s="173" t="str">
        <f t="shared" ca="1" si="7"/>
        <v>ALLETE, Inc.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ALE</v>
      </c>
    </row>
    <row r="23" spans="1:61" ht="13.8" x14ac:dyDescent="0.25">
      <c r="A23" s="223" t="s">
        <v>225</v>
      </c>
      <c r="B23" s="224" t="s">
        <v>140</v>
      </c>
      <c r="C23" s="224">
        <v>19</v>
      </c>
      <c r="D23" s="224" t="s">
        <v>226</v>
      </c>
      <c r="E23" s="225" t="str">
        <f t="shared" ca="1" si="8"/>
        <v>R</v>
      </c>
      <c r="F23" s="348"/>
      <c r="G23" s="349">
        <f t="shared" ca="1" si="1"/>
        <v>9</v>
      </c>
      <c r="H23" s="350"/>
      <c r="I23" s="237"/>
      <c r="K23" s="237"/>
      <c r="N23" s="237"/>
      <c r="Q23" s="237"/>
      <c r="T23" s="237"/>
      <c r="W23" s="237"/>
      <c r="AE23" s="184"/>
      <c r="AF23" s="169">
        <f t="shared" si="2"/>
        <v>0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24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265</v>
      </c>
      <c r="AR23" s="207" t="s">
        <v>140</v>
      </c>
      <c r="AS23" s="207">
        <v>19</v>
      </c>
      <c r="AT23" s="207" t="s">
        <v>266</v>
      </c>
      <c r="AV23" s="168">
        <f t="shared" si="21"/>
        <v>16</v>
      </c>
      <c r="AW23" s="168">
        <f>COUNTIF( AV$7:AV23, AV23 )</f>
        <v>7</v>
      </c>
      <c r="AX23" s="208">
        <f t="shared" si="22"/>
        <v>16.7</v>
      </c>
      <c r="AY23" s="168">
        <f t="shared" si="23"/>
        <v>22</v>
      </c>
      <c r="AZ23" s="169"/>
      <c r="BA23" s="169"/>
      <c r="BC23" s="168">
        <f t="shared" ca="1" si="24"/>
        <v>17</v>
      </c>
      <c r="BD23" s="209">
        <f t="shared" ca="1" si="6"/>
        <v>3</v>
      </c>
      <c r="BF23" s="173" t="str">
        <f t="shared" ca="1" si="7"/>
        <v>Ameren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AEE</v>
      </c>
    </row>
    <row r="24" spans="1:61" ht="13.8" x14ac:dyDescent="0.25">
      <c r="A24" s="223" t="s">
        <v>233</v>
      </c>
      <c r="B24" s="224" t="s">
        <v>140</v>
      </c>
      <c r="C24" s="224">
        <v>19</v>
      </c>
      <c r="D24" s="224" t="s">
        <v>234</v>
      </c>
      <c r="E24" s="225" t="str">
        <f t="shared" ca="1" si="8"/>
        <v>MR</v>
      </c>
      <c r="F24" s="348"/>
      <c r="G24" s="349">
        <f t="shared" ca="1" si="1"/>
        <v>11</v>
      </c>
      <c r="H24" s="350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0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25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328</v>
      </c>
      <c r="AR24" s="207" t="s">
        <v>141</v>
      </c>
      <c r="AS24" s="207">
        <v>18</v>
      </c>
      <c r="AT24" s="207" t="s">
        <v>331</v>
      </c>
      <c r="AV24" s="168">
        <f t="shared" si="21"/>
        <v>33</v>
      </c>
      <c r="AW24" s="168">
        <f>COUNTIF( AV$7:AV24, AV24 )</f>
        <v>3</v>
      </c>
      <c r="AX24" s="208">
        <f t="shared" si="22"/>
        <v>33.299999999999997</v>
      </c>
      <c r="AY24" s="168">
        <f t="shared" si="23"/>
        <v>35</v>
      </c>
      <c r="AZ24" s="169"/>
      <c r="BA24" s="169"/>
      <c r="BC24" s="168">
        <f t="shared" ca="1" si="24"/>
        <v>18</v>
      </c>
      <c r="BD24" s="209">
        <f t="shared" ca="1" si="6"/>
        <v>5</v>
      </c>
      <c r="BF24" s="173" t="str">
        <f t="shared" ca="1" si="7"/>
        <v>AVANGRID, Inc.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AGR</v>
      </c>
    </row>
    <row r="25" spans="1:61" ht="13.8" x14ac:dyDescent="0.25">
      <c r="A25" s="223" t="s">
        <v>256</v>
      </c>
      <c r="B25" s="224" t="s">
        <v>140</v>
      </c>
      <c r="C25" s="224">
        <v>19</v>
      </c>
      <c r="D25" s="224" t="s">
        <v>257</v>
      </c>
      <c r="E25" s="225" t="str">
        <f t="shared" ca="1" si="8"/>
        <v>R</v>
      </c>
      <c r="F25" s="348"/>
      <c r="G25" s="349">
        <f t="shared" ca="1" si="1"/>
        <v>15</v>
      </c>
      <c r="H25" s="350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0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26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267</v>
      </c>
      <c r="AR25" s="207" t="s">
        <v>140</v>
      </c>
      <c r="AS25" s="207">
        <v>19</v>
      </c>
      <c r="AT25" s="207" t="s">
        <v>268</v>
      </c>
      <c r="AV25" s="168">
        <f t="shared" si="21"/>
        <v>16</v>
      </c>
      <c r="AW25" s="168">
        <f>COUNTIF( AV$7:AV25, AV25 )</f>
        <v>8</v>
      </c>
      <c r="AX25" s="208">
        <f t="shared" si="22"/>
        <v>16.8</v>
      </c>
      <c r="AY25" s="168">
        <f t="shared" si="23"/>
        <v>23</v>
      </c>
      <c r="AZ25" s="169"/>
      <c r="BA25" s="169"/>
      <c r="BC25" s="168">
        <f t="shared" ca="1" si="24"/>
        <v>19</v>
      </c>
      <c r="BD25" s="209">
        <f t="shared" ca="1" si="6"/>
        <v>11</v>
      </c>
      <c r="BF25" s="173" t="str">
        <f t="shared" ca="1" si="7"/>
        <v>CMS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CMS</v>
      </c>
    </row>
    <row r="26" spans="1:61" ht="13.8" x14ac:dyDescent="0.25">
      <c r="A26" s="223" t="s">
        <v>258</v>
      </c>
      <c r="B26" s="224" t="s">
        <v>140</v>
      </c>
      <c r="C26" s="224">
        <v>19</v>
      </c>
      <c r="D26" s="224" t="s">
        <v>194</v>
      </c>
      <c r="E26" s="225" t="str">
        <f t="shared" ca="1" si="8"/>
        <v>MR</v>
      </c>
      <c r="F26" s="348"/>
      <c r="G26" s="349">
        <f t="shared" ca="1" si="1"/>
        <v>17</v>
      </c>
      <c r="H26" s="350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0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27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235</v>
      </c>
      <c r="AR26" s="207" t="s">
        <v>164</v>
      </c>
      <c r="AS26" s="207">
        <v>22</v>
      </c>
      <c r="AT26" s="207" t="s">
        <v>236</v>
      </c>
      <c r="AV26" s="168">
        <f t="shared" si="21"/>
        <v>1</v>
      </c>
      <c r="AW26" s="168">
        <f>COUNTIF( AV$7:AV26, AV26 )</f>
        <v>1</v>
      </c>
      <c r="AX26" s="208">
        <f t="shared" si="22"/>
        <v>1.1000000000000001</v>
      </c>
      <c r="AY26" s="168">
        <f t="shared" si="23"/>
        <v>1</v>
      </c>
      <c r="AZ26" s="169"/>
      <c r="BA26" s="169"/>
      <c r="BC26" s="168">
        <f t="shared" ca="1" si="24"/>
        <v>20</v>
      </c>
      <c r="BD26" s="209">
        <f t="shared" ca="1" si="6"/>
        <v>13</v>
      </c>
      <c r="BF26" s="173" t="str">
        <f t="shared" ca="1" si="7"/>
        <v>Dominion Energy, Inc.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</v>
      </c>
    </row>
    <row r="27" spans="1:61" ht="13.8" x14ac:dyDescent="0.25">
      <c r="A27" s="223" t="s">
        <v>261</v>
      </c>
      <c r="B27" s="224" t="s">
        <v>140</v>
      </c>
      <c r="C27" s="224">
        <v>19</v>
      </c>
      <c r="D27" s="224" t="s">
        <v>262</v>
      </c>
      <c r="E27" s="225" t="str">
        <f t="shared" ca="1" si="8"/>
        <v>MR</v>
      </c>
      <c r="F27" s="348"/>
      <c r="G27" s="349">
        <f t="shared" ca="1" si="1"/>
        <v>18</v>
      </c>
      <c r="H27" s="350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0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28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269</v>
      </c>
      <c r="AR27" s="207" t="s">
        <v>141</v>
      </c>
      <c r="AS27" s="207">
        <v>18</v>
      </c>
      <c r="AT27" s="207" t="s">
        <v>270</v>
      </c>
      <c r="AV27" s="168">
        <f t="shared" si="21"/>
        <v>33</v>
      </c>
      <c r="AW27" s="168">
        <f>COUNTIF( AV$7:AV27, AV27 )</f>
        <v>4</v>
      </c>
      <c r="AX27" s="208">
        <f t="shared" si="22"/>
        <v>33.4</v>
      </c>
      <c r="AY27" s="168">
        <f t="shared" si="23"/>
        <v>36</v>
      </c>
      <c r="AZ27" s="169"/>
      <c r="BA27" s="169"/>
      <c r="BC27" s="168">
        <f t="shared" ca="1" si="24"/>
        <v>21</v>
      </c>
      <c r="BD27" s="209">
        <f t="shared" ca="1" si="6"/>
        <v>15</v>
      </c>
      <c r="BF27" s="173" t="str">
        <f t="shared" ca="1" si="7"/>
        <v>DTE Energy Company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DTE</v>
      </c>
    </row>
    <row r="28" spans="1:61" ht="13.8" x14ac:dyDescent="0.25">
      <c r="A28" s="223" t="s">
        <v>265</v>
      </c>
      <c r="B28" s="224" t="s">
        <v>140</v>
      </c>
      <c r="C28" s="224">
        <v>19</v>
      </c>
      <c r="D28" s="224" t="s">
        <v>266</v>
      </c>
      <c r="E28" s="225" t="str">
        <f t="shared" ca="1" si="8"/>
        <v>R</v>
      </c>
      <c r="F28" s="348"/>
      <c r="G28" s="349">
        <f t="shared" ca="1" si="1"/>
        <v>20</v>
      </c>
      <c r="H28" s="350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0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29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275</v>
      </c>
      <c r="AR28" s="207" t="s">
        <v>142</v>
      </c>
      <c r="AS28" s="207">
        <v>17</v>
      </c>
      <c r="AT28" s="207" t="s">
        <v>276</v>
      </c>
      <c r="AV28" s="168">
        <f t="shared" si="21"/>
        <v>43</v>
      </c>
      <c r="AW28" s="168">
        <f>COUNTIF( AV$7:AV28, AV28 )</f>
        <v>3</v>
      </c>
      <c r="AX28" s="208">
        <f t="shared" si="22"/>
        <v>43.3</v>
      </c>
      <c r="AY28" s="168">
        <f t="shared" si="23"/>
        <v>45</v>
      </c>
      <c r="AZ28" s="169"/>
      <c r="BA28" s="169"/>
      <c r="BC28" s="168">
        <f t="shared" ca="1" si="24"/>
        <v>22</v>
      </c>
      <c r="BD28" s="209">
        <f t="shared" ca="1" si="6"/>
        <v>17</v>
      </c>
      <c r="BF28" s="173" t="str">
        <f t="shared" ca="1" si="7"/>
        <v>Edison International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EIX</v>
      </c>
    </row>
    <row r="29" spans="1:61" ht="13.8" x14ac:dyDescent="0.25">
      <c r="A29" s="223" t="s">
        <v>267</v>
      </c>
      <c r="B29" s="224" t="s">
        <v>140</v>
      </c>
      <c r="C29" s="224">
        <v>19</v>
      </c>
      <c r="D29" s="224" t="s">
        <v>268</v>
      </c>
      <c r="E29" s="225" t="str">
        <f t="shared" ca="1" si="8"/>
        <v>R</v>
      </c>
      <c r="F29" s="348"/>
      <c r="G29" s="349">
        <f t="shared" ca="1" si="1"/>
        <v>22</v>
      </c>
      <c r="H29" s="350"/>
      <c r="I29" s="237"/>
      <c r="J29" s="191"/>
      <c r="K29" s="237"/>
      <c r="N29" s="237"/>
      <c r="Q29" s="237"/>
      <c r="T29" s="237"/>
      <c r="W29" s="237"/>
      <c r="AF29" s="169">
        <f t="shared" si="2"/>
        <v>0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30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352</v>
      </c>
      <c r="AR29" s="207" t="s">
        <v>140</v>
      </c>
      <c r="AS29" s="207">
        <v>19</v>
      </c>
      <c r="AT29" s="207" t="s">
        <v>353</v>
      </c>
      <c r="AV29" s="168">
        <f t="shared" si="21"/>
        <v>16</v>
      </c>
      <c r="AW29" s="168">
        <f>COUNTIF( AV$7:AV29, AV29 )</f>
        <v>9</v>
      </c>
      <c r="AX29" s="208">
        <f t="shared" si="22"/>
        <v>16.899999999999999</v>
      </c>
      <c r="AY29" s="168">
        <f t="shared" si="23"/>
        <v>24</v>
      </c>
      <c r="AZ29" s="169"/>
      <c r="BA29" s="169"/>
      <c r="BC29" s="168">
        <f t="shared" ca="1" si="24"/>
        <v>23</v>
      </c>
      <c r="BD29" s="209">
        <f t="shared" ca="1" si="6"/>
        <v>19</v>
      </c>
      <c r="BF29" s="173" t="str">
        <f t="shared" ca="1" si="7"/>
        <v>Entergy Corporation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ETR</v>
      </c>
    </row>
    <row r="30" spans="1:61" ht="13.8" x14ac:dyDescent="0.25">
      <c r="A30" s="223" t="s">
        <v>352</v>
      </c>
      <c r="B30" s="224" t="s">
        <v>140</v>
      </c>
      <c r="C30" s="224">
        <v>19</v>
      </c>
      <c r="D30" s="224" t="s">
        <v>353</v>
      </c>
      <c r="E30" s="225" t="str">
        <f t="shared" ca="1" si="8"/>
        <v>R</v>
      </c>
      <c r="F30" s="348"/>
      <c r="G30" s="349">
        <f t="shared" ca="1" si="1"/>
        <v>50</v>
      </c>
      <c r="H30" s="350"/>
      <c r="I30" s="237"/>
      <c r="J30" s="191"/>
      <c r="K30" s="237"/>
      <c r="N30" s="237"/>
      <c r="Q30" s="237"/>
      <c r="T30" s="237"/>
      <c r="W30" s="237"/>
      <c r="AF30" s="169">
        <f t="shared" si="2"/>
        <v>0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31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279</v>
      </c>
      <c r="AR30" s="207" t="s">
        <v>142</v>
      </c>
      <c r="AS30" s="207">
        <v>17</v>
      </c>
      <c r="AT30" s="207" t="s">
        <v>280</v>
      </c>
      <c r="AV30" s="168">
        <f t="shared" si="21"/>
        <v>43</v>
      </c>
      <c r="AW30" s="168">
        <f>COUNTIF( AV$7:AV30, AV30 )</f>
        <v>4</v>
      </c>
      <c r="AX30" s="208">
        <f t="shared" si="22"/>
        <v>43.4</v>
      </c>
      <c r="AY30" s="168">
        <f t="shared" si="23"/>
        <v>46</v>
      </c>
      <c r="AZ30" s="169"/>
      <c r="BA30" s="169"/>
      <c r="BC30" s="168">
        <f t="shared" ca="1" si="24"/>
        <v>24</v>
      </c>
      <c r="BD30" s="209">
        <f t="shared" ca="1" si="6"/>
        <v>23</v>
      </c>
      <c r="BF30" s="173" t="str">
        <f t="shared" ca="1" si="7"/>
        <v>Great Plains Energy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GXP</v>
      </c>
    </row>
    <row r="31" spans="1:61" ht="13.8" x14ac:dyDescent="0.25">
      <c r="A31" s="223" t="s">
        <v>271</v>
      </c>
      <c r="B31" s="224" t="s">
        <v>140</v>
      </c>
      <c r="C31" s="224">
        <v>19</v>
      </c>
      <c r="D31" s="224" t="s">
        <v>272</v>
      </c>
      <c r="E31" s="225" t="str">
        <f t="shared" ca="1" si="8"/>
        <v>MR</v>
      </c>
      <c r="F31" s="348"/>
      <c r="G31" s="349">
        <f t="shared" ca="1" si="1"/>
        <v>29</v>
      </c>
      <c r="H31" s="350"/>
      <c r="I31" s="237"/>
      <c r="J31" s="191"/>
      <c r="K31" s="237"/>
      <c r="N31" s="237"/>
      <c r="O31" s="351"/>
      <c r="Q31" s="237"/>
      <c r="T31" s="237"/>
      <c r="W31" s="237"/>
      <c r="AF31" s="169">
        <f t="shared" si="2"/>
        <v>0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32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283</v>
      </c>
      <c r="AR31" s="207" t="s">
        <v>141</v>
      </c>
      <c r="AS31" s="207">
        <v>18</v>
      </c>
      <c r="AT31" s="207" t="s">
        <v>284</v>
      </c>
      <c r="AV31" s="168">
        <f t="shared" si="21"/>
        <v>33</v>
      </c>
      <c r="AW31" s="168">
        <f>COUNTIF( AV$7:AV31, AV31 )</f>
        <v>5</v>
      </c>
      <c r="AX31" s="208">
        <f t="shared" si="22"/>
        <v>33.5</v>
      </c>
      <c r="AY31" s="168">
        <f t="shared" si="23"/>
        <v>37</v>
      </c>
      <c r="AZ31" s="169"/>
      <c r="BA31" s="169"/>
      <c r="BC31" s="168">
        <f t="shared" ca="1" si="24"/>
        <v>25</v>
      </c>
      <c r="BD31" s="209">
        <f t="shared" ca="1" si="6"/>
        <v>27</v>
      </c>
      <c r="BF31" s="173" t="str">
        <f t="shared" ca="1" si="7"/>
        <v>MDU Resources Group,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MDU</v>
      </c>
    </row>
    <row r="32" spans="1:61" ht="13.8" x14ac:dyDescent="0.25">
      <c r="A32" s="223" t="s">
        <v>273</v>
      </c>
      <c r="B32" s="224" t="s">
        <v>140</v>
      </c>
      <c r="C32" s="224">
        <v>19</v>
      </c>
      <c r="D32" s="224" t="s">
        <v>274</v>
      </c>
      <c r="E32" s="225" t="str">
        <f t="shared" ca="1" si="8"/>
        <v>R</v>
      </c>
      <c r="F32" s="348"/>
      <c r="G32" s="349">
        <f t="shared" ca="1" si="1"/>
        <v>32</v>
      </c>
      <c r="H32" s="350"/>
      <c r="I32" s="237"/>
      <c r="J32" s="191"/>
      <c r="K32" s="237"/>
      <c r="N32" s="237"/>
      <c r="Q32" s="237"/>
      <c r="T32" s="237"/>
      <c r="W32" s="237"/>
      <c r="AF32" s="169">
        <f t="shared" si="2"/>
        <v>0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33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287</v>
      </c>
      <c r="AR32" s="207" t="s">
        <v>141</v>
      </c>
      <c r="AS32" s="207">
        <v>18</v>
      </c>
      <c r="AT32" s="207" t="s">
        <v>288</v>
      </c>
      <c r="AV32" s="168">
        <f t="shared" si="21"/>
        <v>33</v>
      </c>
      <c r="AW32" s="168">
        <f>COUNTIF( AV$7:AV32, AV32 )</f>
        <v>6</v>
      </c>
      <c r="AX32" s="208">
        <f t="shared" si="22"/>
        <v>33.6</v>
      </c>
      <c r="AY32" s="168">
        <f t="shared" si="23"/>
        <v>38</v>
      </c>
      <c r="AZ32" s="169"/>
      <c r="BA32" s="169"/>
      <c r="BC32" s="168">
        <f t="shared" ca="1" si="24"/>
        <v>26</v>
      </c>
      <c r="BD32" s="209">
        <f t="shared" ca="1" si="6"/>
        <v>29</v>
      </c>
      <c r="BF32" s="173" t="str">
        <f t="shared" ca="1" si="7"/>
        <v>NiSource Inc.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NI</v>
      </c>
    </row>
    <row r="33" spans="1:61" ht="13.8" x14ac:dyDescent="0.25">
      <c r="A33" s="223" t="s">
        <v>301</v>
      </c>
      <c r="B33" s="224" t="s">
        <v>140</v>
      </c>
      <c r="C33" s="224">
        <v>19</v>
      </c>
      <c r="D33" s="224" t="s">
        <v>302</v>
      </c>
      <c r="E33" s="225" t="str">
        <f t="shared" ca="1" si="8"/>
        <v>R</v>
      </c>
      <c r="F33" s="348"/>
      <c r="G33" s="349">
        <f t="shared" ca="1" si="1"/>
        <v>36</v>
      </c>
      <c r="H33" s="350"/>
      <c r="I33" s="237"/>
      <c r="J33" s="191"/>
      <c r="K33" s="237"/>
      <c r="N33" s="237"/>
      <c r="Q33" s="237"/>
      <c r="T33" s="237"/>
      <c r="W33" s="237"/>
      <c r="AF33" s="169">
        <f t="shared" si="2"/>
        <v>0</v>
      </c>
      <c r="AG33" s="169" t="str">
        <f t="shared" ca="1" si="3"/>
        <v/>
      </c>
      <c r="AH33" s="169">
        <f t="shared" ca="1" si="18"/>
        <v>1</v>
      </c>
      <c r="AJ33" s="169">
        <f t="shared" ca="1" si="19"/>
        <v>16</v>
      </c>
      <c r="AK33" s="169" t="str">
        <f t="shared" ca="1" si="20"/>
        <v>A-</v>
      </c>
      <c r="AL33" s="169">
        <f t="shared" ca="1" si="20"/>
        <v>20</v>
      </c>
      <c r="AM33" s="169" t="str">
        <f t="shared" ca="1" si="4"/>
        <v>Change</v>
      </c>
      <c r="AQ33" s="207" t="s">
        <v>271</v>
      </c>
      <c r="AR33" s="207" t="s">
        <v>140</v>
      </c>
      <c r="AS33" s="207">
        <v>19</v>
      </c>
      <c r="AT33" s="207" t="s">
        <v>272</v>
      </c>
      <c r="AV33" s="168">
        <f t="shared" si="21"/>
        <v>16</v>
      </c>
      <c r="AW33" s="168">
        <f>COUNTIF( AV$7:AV33, AV33 )</f>
        <v>10</v>
      </c>
      <c r="AX33" s="208">
        <f t="shared" si="22"/>
        <v>17</v>
      </c>
      <c r="AY33" s="168">
        <f t="shared" si="23"/>
        <v>25</v>
      </c>
      <c r="AZ33" s="169"/>
      <c r="BA33" s="169"/>
      <c r="BC33" s="168">
        <f t="shared" ca="1" si="24"/>
        <v>27</v>
      </c>
      <c r="BD33" s="209">
        <f t="shared" ca="1" si="6"/>
        <v>33</v>
      </c>
      <c r="BF33" s="173" t="str">
        <f t="shared" ca="1" si="7"/>
        <v>PG&amp;E Corporation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PCG</v>
      </c>
    </row>
    <row r="34" spans="1:61" ht="13.8" x14ac:dyDescent="0.25">
      <c r="A34" s="223" t="s">
        <v>303</v>
      </c>
      <c r="B34" s="224" t="s">
        <v>140</v>
      </c>
      <c r="C34" s="224">
        <v>19</v>
      </c>
      <c r="D34" s="224" t="s">
        <v>304</v>
      </c>
      <c r="E34" s="225" t="str">
        <f t="shared" ca="1" si="8"/>
        <v>R</v>
      </c>
      <c r="F34" s="348"/>
      <c r="G34" s="349">
        <f t="shared" ca="1" si="1"/>
        <v>38</v>
      </c>
      <c r="H34" s="350"/>
      <c r="I34" s="237"/>
      <c r="J34" s="191"/>
      <c r="K34" s="237"/>
      <c r="N34" s="237"/>
      <c r="Q34" s="237"/>
      <c r="T34" s="237"/>
      <c r="W34" s="237"/>
      <c r="AF34" s="169">
        <f t="shared" si="2"/>
        <v>0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35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240</v>
      </c>
      <c r="AR34" s="207" t="s">
        <v>139</v>
      </c>
      <c r="AS34" s="207">
        <v>20</v>
      </c>
      <c r="AT34" s="207" t="s">
        <v>241</v>
      </c>
      <c r="AV34" s="168">
        <f t="shared" si="21"/>
        <v>3</v>
      </c>
      <c r="AW34" s="168">
        <f>COUNTIF( AV$7:AV34, AV34 )</f>
        <v>6</v>
      </c>
      <c r="AX34" s="208">
        <f t="shared" si="22"/>
        <v>3.6</v>
      </c>
      <c r="AY34" s="168">
        <f t="shared" si="23"/>
        <v>8</v>
      </c>
      <c r="AZ34" s="169"/>
      <c r="BA34" s="169"/>
      <c r="BC34" s="168">
        <f t="shared" ca="1" si="24"/>
        <v>28</v>
      </c>
      <c r="BD34" s="209">
        <f t="shared" ca="1" si="6"/>
        <v>35</v>
      </c>
      <c r="BF34" s="173" t="str">
        <f t="shared" ca="1" si="7"/>
        <v>PNM Resources, Inc.</v>
      </c>
      <c r="BG34" s="173" t="str">
        <f t="shared" ca="1" si="7"/>
        <v>BBB+</v>
      </c>
      <c r="BH34" s="173">
        <f t="shared" ca="1" si="7"/>
        <v>19</v>
      </c>
      <c r="BI34" s="173" t="str">
        <f ca="1">OFFSET( AT$6, $BD34, 0 )</f>
        <v>PNM</v>
      </c>
    </row>
    <row r="35" spans="1:61" ht="13.8" x14ac:dyDescent="0.25">
      <c r="A35" s="223" t="s">
        <v>289</v>
      </c>
      <c r="B35" s="224" t="s">
        <v>140</v>
      </c>
      <c r="C35" s="224">
        <v>19</v>
      </c>
      <c r="D35" s="224" t="s">
        <v>290</v>
      </c>
      <c r="E35" s="225" t="str">
        <f t="shared" ca="1" si="8"/>
        <v>MR</v>
      </c>
      <c r="F35" s="348"/>
      <c r="G35" s="349">
        <f t="shared" ca="1" si="1"/>
        <v>41</v>
      </c>
      <c r="H35" s="350"/>
      <c r="I35" s="237"/>
      <c r="K35" s="237"/>
      <c r="N35" s="237"/>
      <c r="Q35" s="237"/>
      <c r="T35" s="237"/>
      <c r="W35" s="237"/>
      <c r="AF35" s="169">
        <f t="shared" si="2"/>
        <v>0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36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273</v>
      </c>
      <c r="AR35" s="207" t="s">
        <v>140</v>
      </c>
      <c r="AS35" s="207">
        <v>19</v>
      </c>
      <c r="AT35" s="207" t="s">
        <v>274</v>
      </c>
      <c r="AV35" s="168">
        <f t="shared" si="21"/>
        <v>16</v>
      </c>
      <c r="AW35" s="168">
        <f>COUNTIF( AV$7:AV35, AV35 )</f>
        <v>11</v>
      </c>
      <c r="AX35" s="208">
        <f t="shared" si="22"/>
        <v>17.100000000000001</v>
      </c>
      <c r="AY35" s="168">
        <f t="shared" si="23"/>
        <v>26</v>
      </c>
      <c r="AZ35" s="169"/>
      <c r="BA35" s="169"/>
      <c r="BC35" s="168">
        <f t="shared" ca="1" si="24"/>
        <v>29</v>
      </c>
      <c r="BD35" s="209">
        <f t="shared" ca="1" si="6"/>
        <v>38</v>
      </c>
      <c r="BF35" s="173" t="str">
        <f t="shared" ca="1" si="7"/>
        <v>Public Service Enterprise Group Incorporated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PEG</v>
      </c>
    </row>
    <row r="36" spans="1:61" ht="13.8" x14ac:dyDescent="0.25">
      <c r="A36" s="223" t="s">
        <v>291</v>
      </c>
      <c r="B36" s="224" t="s">
        <v>140</v>
      </c>
      <c r="C36" s="224">
        <v>19</v>
      </c>
      <c r="D36" s="224" t="s">
        <v>292</v>
      </c>
      <c r="E36" s="225" t="str">
        <f t="shared" ca="1" si="8"/>
        <v>MR</v>
      </c>
      <c r="F36" s="348"/>
      <c r="G36" s="349">
        <f t="shared" ca="1" si="1"/>
        <v>43</v>
      </c>
      <c r="H36" s="350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37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297</v>
      </c>
      <c r="AR36" s="207" t="s">
        <v>141</v>
      </c>
      <c r="AS36" s="207">
        <v>18</v>
      </c>
      <c r="AT36" s="207" t="s">
        <v>298</v>
      </c>
      <c r="AV36" s="168">
        <f t="shared" si="21"/>
        <v>33</v>
      </c>
      <c r="AW36" s="168">
        <f>COUNTIF( AV$7:AV36, AV36 )</f>
        <v>7</v>
      </c>
      <c r="AX36" s="208">
        <f t="shared" si="22"/>
        <v>33.700000000000003</v>
      </c>
      <c r="AY36" s="168">
        <f t="shared" si="23"/>
        <v>39</v>
      </c>
      <c r="AZ36" s="169"/>
      <c r="BA36" s="169"/>
      <c r="BC36" s="168">
        <f t="shared" ca="1" si="24"/>
        <v>30</v>
      </c>
      <c r="BD36" s="209">
        <f t="shared" ca="1" si="6"/>
        <v>41</v>
      </c>
      <c r="BF36" s="173" t="str">
        <f t="shared" ca="1" si="7"/>
        <v>Sempra Energy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SRE</v>
      </c>
    </row>
    <row r="37" spans="1:61" ht="13.8" x14ac:dyDescent="0.25">
      <c r="A37" s="223" t="s">
        <v>295</v>
      </c>
      <c r="B37" s="224" t="s">
        <v>140</v>
      </c>
      <c r="C37" s="224">
        <v>19</v>
      </c>
      <c r="D37" s="224" t="s">
        <v>296</v>
      </c>
      <c r="E37" s="225" t="str">
        <f t="shared" ca="1" si="8"/>
        <v>R</v>
      </c>
      <c r="F37" s="348"/>
      <c r="G37" s="349">
        <f t="shared" ca="1" si="1"/>
        <v>45</v>
      </c>
      <c r="H37" s="350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38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277</v>
      </c>
      <c r="AR37" s="207" t="s">
        <v>139</v>
      </c>
      <c r="AS37" s="207">
        <v>20</v>
      </c>
      <c r="AT37" s="207" t="s">
        <v>278</v>
      </c>
      <c r="AV37" s="168">
        <f t="shared" si="21"/>
        <v>3</v>
      </c>
      <c r="AW37" s="168">
        <f>COUNTIF( AV$7:AV37, AV37 )</f>
        <v>7</v>
      </c>
      <c r="AX37" s="208">
        <f t="shared" si="22"/>
        <v>3.7</v>
      </c>
      <c r="AY37" s="168">
        <f t="shared" si="23"/>
        <v>9</v>
      </c>
      <c r="AZ37" s="169"/>
      <c r="BA37" s="169"/>
      <c r="BC37" s="168">
        <f t="shared" ca="1" si="24"/>
        <v>31</v>
      </c>
      <c r="BD37" s="209">
        <f t="shared" ca="1" si="6"/>
        <v>43</v>
      </c>
      <c r="BF37" s="173" t="str">
        <f t="shared" ca="1" si="7"/>
        <v>Unitil Corporation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UTL</v>
      </c>
    </row>
    <row r="38" spans="1:61" ht="13.8" x14ac:dyDescent="0.25">
      <c r="A38" s="343" t="s">
        <v>354</v>
      </c>
      <c r="B38" s="344" t="s">
        <v>140</v>
      </c>
      <c r="C38" s="344">
        <v>19</v>
      </c>
      <c r="D38" s="319" t="s">
        <v>231</v>
      </c>
      <c r="E38" s="345" t="str">
        <f t="shared" ca="1" si="8"/>
        <v>R</v>
      </c>
      <c r="F38" s="348"/>
      <c r="G38" s="349">
        <f t="shared" ca="1" si="1"/>
        <v>23</v>
      </c>
      <c r="H38" s="350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>
        <f t="shared" ca="1" si="18"/>
        <v>1</v>
      </c>
      <c r="AJ38" s="169" t="e">
        <f t="shared" ca="1" si="19"/>
        <v>#N/A</v>
      </c>
      <c r="AK38" s="169" t="str">
        <f t="shared" ca="1" si="20"/>
        <v/>
      </c>
      <c r="AL38" s="169" t="str">
        <f t="shared" ca="1" si="20"/>
        <v/>
      </c>
      <c r="AM38" s="169" t="str">
        <f t="shared" ca="1" si="4"/>
        <v>Change</v>
      </c>
      <c r="AQ38" s="207" t="s">
        <v>299</v>
      </c>
      <c r="AR38" s="207" t="s">
        <v>141</v>
      </c>
      <c r="AS38" s="207">
        <v>18</v>
      </c>
      <c r="AT38" s="207" t="s">
        <v>300</v>
      </c>
      <c r="AV38" s="168">
        <f t="shared" si="21"/>
        <v>33</v>
      </c>
      <c r="AW38" s="168">
        <f>COUNTIF( AV$7:AV38, AV38 )</f>
        <v>8</v>
      </c>
      <c r="AX38" s="208">
        <f t="shared" si="22"/>
        <v>33.799999999999997</v>
      </c>
      <c r="AY38" s="168">
        <f t="shared" si="23"/>
        <v>40</v>
      </c>
      <c r="AZ38" s="169"/>
      <c r="BA38" s="169"/>
      <c r="BC38" s="168">
        <f t="shared" ca="1" si="24"/>
        <v>32</v>
      </c>
      <c r="BD38" s="209">
        <f t="shared" ca="1" si="6"/>
        <v>45</v>
      </c>
      <c r="BF38" s="173" t="str">
        <f t="shared" ca="1" si="7"/>
        <v>Westar Energy, Inc.</v>
      </c>
      <c r="BG38" s="173" t="str">
        <f t="shared" ca="1" si="7"/>
        <v>BBB+</v>
      </c>
      <c r="BH38" s="173">
        <f t="shared" ca="1" si="7"/>
        <v>19</v>
      </c>
      <c r="BI38" s="173" t="str">
        <f t="shared" ca="1" si="7"/>
        <v>WR</v>
      </c>
    </row>
    <row r="39" spans="1:61" ht="13.8" x14ac:dyDescent="0.25">
      <c r="A39" s="223" t="s">
        <v>238</v>
      </c>
      <c r="B39" s="224" t="s">
        <v>141</v>
      </c>
      <c r="C39" s="224">
        <v>18</v>
      </c>
      <c r="D39" s="224" t="s">
        <v>239</v>
      </c>
      <c r="E39" s="225" t="str">
        <f t="shared" ca="1" si="8"/>
        <v>R</v>
      </c>
      <c r="F39" s="348"/>
      <c r="G39" s="349">
        <f t="shared" ca="1" si="1"/>
        <v>12</v>
      </c>
      <c r="H39" s="350"/>
      <c r="I39" s="237"/>
      <c r="K39" s="237"/>
      <c r="L39" s="173"/>
      <c r="N39" s="237"/>
      <c r="Q39" s="237"/>
      <c r="T39" s="237"/>
      <c r="W39" s="237"/>
      <c r="AF39" s="169">
        <f t="shared" si="2"/>
        <v>1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40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301</v>
      </c>
      <c r="AR39" s="207" t="s">
        <v>140</v>
      </c>
      <c r="AS39" s="207">
        <v>19</v>
      </c>
      <c r="AT39" s="207" t="s">
        <v>302</v>
      </c>
      <c r="AV39" s="168">
        <f t="shared" si="21"/>
        <v>16</v>
      </c>
      <c r="AW39" s="168">
        <f>COUNTIF( AV$7:AV39, AV39 )</f>
        <v>12</v>
      </c>
      <c r="AX39" s="208">
        <f t="shared" si="22"/>
        <v>17.2</v>
      </c>
      <c r="AY39" s="168">
        <f t="shared" si="23"/>
        <v>27</v>
      </c>
      <c r="AZ39" s="169"/>
      <c r="BA39" s="169"/>
      <c r="BC39" s="168">
        <f t="shared" ca="1" si="24"/>
        <v>33</v>
      </c>
      <c r="BD39" s="209">
        <f t="shared" ca="1" si="6"/>
        <v>6</v>
      </c>
      <c r="BF39" s="173" t="str">
        <f t="shared" ref="BF39:BI63" ca="1" si="25">OFFSET( AQ$6, $BD39, 0 )</f>
        <v>Avista Corporation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AVA</v>
      </c>
    </row>
    <row r="40" spans="1:61" ht="13.8" x14ac:dyDescent="0.25">
      <c r="A40" s="223" t="s">
        <v>245</v>
      </c>
      <c r="B40" s="224" t="s">
        <v>141</v>
      </c>
      <c r="C40" s="224">
        <v>18</v>
      </c>
      <c r="D40" s="224" t="s">
        <v>246</v>
      </c>
      <c r="E40" s="225" t="str">
        <f t="shared" ca="1" si="8"/>
        <v>R</v>
      </c>
      <c r="F40" s="348"/>
      <c r="G40" s="349">
        <f t="shared" ca="1" si="1"/>
        <v>13</v>
      </c>
      <c r="H40" s="350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1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41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281</v>
      </c>
      <c r="AR40" s="207" t="s">
        <v>139</v>
      </c>
      <c r="AS40" s="207">
        <v>20</v>
      </c>
      <c r="AT40" s="207" t="s">
        <v>282</v>
      </c>
      <c r="AV40" s="168">
        <f t="shared" si="21"/>
        <v>3</v>
      </c>
      <c r="AW40" s="168">
        <f>COUNTIF( AV$7:AV40, AV40 )</f>
        <v>8</v>
      </c>
      <c r="AX40" s="208">
        <f t="shared" si="22"/>
        <v>3.8</v>
      </c>
      <c r="AY40" s="168">
        <f t="shared" si="23"/>
        <v>10</v>
      </c>
      <c r="AZ40" s="169"/>
      <c r="BA40" s="169"/>
      <c r="BC40" s="168">
        <f t="shared" ca="1" si="24"/>
        <v>34</v>
      </c>
      <c r="BD40" s="209">
        <f t="shared" ca="1" si="6"/>
        <v>8</v>
      </c>
      <c r="BF40" s="173" t="str">
        <f t="shared" ca="1" si="25"/>
        <v>Black Hills Corporation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BKH</v>
      </c>
    </row>
    <row r="41" spans="1:61" ht="13.8" x14ac:dyDescent="0.25">
      <c r="A41" s="223" t="s">
        <v>328</v>
      </c>
      <c r="B41" s="224" t="s">
        <v>141</v>
      </c>
      <c r="C41" s="224">
        <v>18</v>
      </c>
      <c r="D41" s="224" t="s">
        <v>331</v>
      </c>
      <c r="E41" s="225" t="str">
        <f t="shared" ca="1" si="8"/>
        <v>R</v>
      </c>
      <c r="F41" s="348"/>
      <c r="G41" s="349">
        <f t="shared" ca="1" si="1"/>
        <v>21</v>
      </c>
      <c r="H41" s="350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1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42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303</v>
      </c>
      <c r="AR41" s="207" t="s">
        <v>140</v>
      </c>
      <c r="AS41" s="207">
        <v>19</v>
      </c>
      <c r="AT41" s="207" t="s">
        <v>304</v>
      </c>
      <c r="AV41" s="168">
        <f t="shared" si="21"/>
        <v>16</v>
      </c>
      <c r="AW41" s="168">
        <f>COUNTIF( AV$7:AV41, AV41 )</f>
        <v>13</v>
      </c>
      <c r="AX41" s="208">
        <f t="shared" si="22"/>
        <v>17.3</v>
      </c>
      <c r="AY41" s="168">
        <f t="shared" si="23"/>
        <v>28</v>
      </c>
      <c r="AZ41" s="169"/>
      <c r="BA41" s="169"/>
      <c r="BC41" s="168">
        <f t="shared" ca="1" si="24"/>
        <v>35</v>
      </c>
      <c r="BD41" s="209">
        <f t="shared" ca="1" si="6"/>
        <v>18</v>
      </c>
      <c r="BF41" s="173" t="str">
        <f t="shared" ca="1" si="25"/>
        <v>El Paso Electric Company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EE</v>
      </c>
    </row>
    <row r="42" spans="1:61" ht="13.8" x14ac:dyDescent="0.25">
      <c r="A42" s="223" t="s">
        <v>269</v>
      </c>
      <c r="B42" s="224" t="s">
        <v>141</v>
      </c>
      <c r="C42" s="224">
        <v>18</v>
      </c>
      <c r="D42" s="224" t="s">
        <v>270</v>
      </c>
      <c r="E42" s="225" t="str">
        <f t="shared" ca="1" si="8"/>
        <v>MR</v>
      </c>
      <c r="F42" s="348"/>
      <c r="G42" s="349">
        <f t="shared" ca="1" si="1"/>
        <v>25</v>
      </c>
      <c r="H42" s="350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1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43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285</v>
      </c>
      <c r="AR42" s="207" t="s">
        <v>141</v>
      </c>
      <c r="AS42" s="207">
        <v>18</v>
      </c>
      <c r="AT42" s="207" t="s">
        <v>286</v>
      </c>
      <c r="AV42" s="168">
        <f t="shared" si="21"/>
        <v>33</v>
      </c>
      <c r="AW42" s="168">
        <f>COUNTIF( AV$7:AV42, AV42 )</f>
        <v>9</v>
      </c>
      <c r="AX42" s="208">
        <f t="shared" si="22"/>
        <v>33.9</v>
      </c>
      <c r="AY42" s="168">
        <f t="shared" si="23"/>
        <v>41</v>
      </c>
      <c r="AZ42" s="169"/>
      <c r="BA42" s="169"/>
      <c r="BC42" s="168">
        <f t="shared" ca="1" si="24"/>
        <v>36</v>
      </c>
      <c r="BD42" s="209">
        <f t="shared" ca="1" si="6"/>
        <v>21</v>
      </c>
      <c r="BF42" s="173" t="str">
        <f t="shared" ca="1" si="25"/>
        <v>Exelon Corporation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EXC</v>
      </c>
    </row>
    <row r="43" spans="1:61" ht="13.8" x14ac:dyDescent="0.25">
      <c r="A43" s="223" t="s">
        <v>283</v>
      </c>
      <c r="B43" s="224" t="s">
        <v>141</v>
      </c>
      <c r="C43" s="224">
        <v>18</v>
      </c>
      <c r="D43" s="224" t="s">
        <v>284</v>
      </c>
      <c r="E43" s="225" t="str">
        <f t="shared" ca="1" si="8"/>
        <v>R</v>
      </c>
      <c r="F43" s="348"/>
      <c r="G43" s="349">
        <f t="shared" ca="1" si="1"/>
        <v>28</v>
      </c>
      <c r="H43" s="350"/>
      <c r="I43" s="237"/>
      <c r="J43" s="191"/>
      <c r="K43" s="237"/>
      <c r="N43" s="237"/>
      <c r="Q43" s="237"/>
      <c r="T43" s="237"/>
      <c r="W43" s="237"/>
      <c r="AF43" s="169">
        <f t="shared" si="2"/>
        <v>1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44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243</v>
      </c>
      <c r="AR43" s="207" t="s">
        <v>139</v>
      </c>
      <c r="AS43" s="207">
        <v>20</v>
      </c>
      <c r="AT43" s="207" t="s">
        <v>244</v>
      </c>
      <c r="AV43" s="168">
        <f t="shared" si="21"/>
        <v>3</v>
      </c>
      <c r="AW43" s="168">
        <f>COUNTIF( AV$7:AV43, AV43 )</f>
        <v>9</v>
      </c>
      <c r="AX43" s="208">
        <f t="shared" si="22"/>
        <v>3.9</v>
      </c>
      <c r="AY43" s="168">
        <f t="shared" si="23"/>
        <v>11</v>
      </c>
      <c r="AZ43" s="169"/>
      <c r="BA43" s="169"/>
      <c r="BC43" s="168">
        <f t="shared" ca="1" si="24"/>
        <v>37</v>
      </c>
      <c r="BD43" s="209">
        <f t="shared" ca="1" si="6"/>
        <v>25</v>
      </c>
      <c r="BF43" s="173" t="str">
        <f t="shared" ca="1" si="25"/>
        <v>IDACORP, Inc.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IDA</v>
      </c>
    </row>
    <row r="44" spans="1:61" ht="13.8" x14ac:dyDescent="0.25">
      <c r="A44" s="223" t="s">
        <v>287</v>
      </c>
      <c r="B44" s="224" t="s">
        <v>141</v>
      </c>
      <c r="C44" s="224">
        <v>18</v>
      </c>
      <c r="D44" s="224" t="s">
        <v>288</v>
      </c>
      <c r="E44" s="225" t="str">
        <f t="shared" ca="1" si="8"/>
        <v>R</v>
      </c>
      <c r="F44" s="348"/>
      <c r="G44" s="349">
        <f t="shared" ca="1" si="1"/>
        <v>55</v>
      </c>
      <c r="H44" s="350"/>
      <c r="I44" s="237"/>
      <c r="J44" s="191"/>
      <c r="K44" s="237"/>
      <c r="N44" s="237"/>
      <c r="Q44" s="237"/>
      <c r="T44" s="237"/>
      <c r="W44" s="237"/>
      <c r="AF44" s="169">
        <f t="shared" si="2"/>
        <v>1</v>
      </c>
      <c r="AG44" s="169">
        <f t="shared" ca="1" si="3"/>
        <v>1</v>
      </c>
      <c r="AH44" s="169" t="str">
        <f t="shared" ca="1" si="18"/>
        <v/>
      </c>
      <c r="AJ44" s="169">
        <f t="shared" ca="1" si="19"/>
        <v>52</v>
      </c>
      <c r="AK44" s="169" t="str">
        <f t="shared" ca="1" si="20"/>
        <v>BBB-</v>
      </c>
      <c r="AL44" s="169">
        <f t="shared" ca="1" si="20"/>
        <v>17</v>
      </c>
      <c r="AM44" s="169" t="str">
        <f t="shared" ca="1" si="4"/>
        <v>Change</v>
      </c>
      <c r="AQ44" s="207" t="s">
        <v>289</v>
      </c>
      <c r="AR44" s="207" t="s">
        <v>140</v>
      </c>
      <c r="AS44" s="207">
        <v>19</v>
      </c>
      <c r="AT44" s="207" t="s">
        <v>290</v>
      </c>
      <c r="AV44" s="168">
        <f t="shared" si="21"/>
        <v>16</v>
      </c>
      <c r="AW44" s="168">
        <f>COUNTIF( AV$7:AV44, AV44 )</f>
        <v>14</v>
      </c>
      <c r="AX44" s="208">
        <f t="shared" si="22"/>
        <v>17.399999999999999</v>
      </c>
      <c r="AY44" s="168">
        <f t="shared" si="23"/>
        <v>29</v>
      </c>
      <c r="AZ44" s="169"/>
      <c r="BA44" s="169"/>
      <c r="BC44" s="168">
        <f t="shared" ca="1" si="24"/>
        <v>38</v>
      </c>
      <c r="BD44" s="209">
        <f t="shared" ca="1" si="6"/>
        <v>26</v>
      </c>
      <c r="BF44" s="173" t="str">
        <f t="shared" ca="1" si="25"/>
        <v>IPALCO Enterprises, Inc.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**IPALCO</v>
      </c>
    </row>
    <row r="45" spans="1:61" ht="13.8" x14ac:dyDescent="0.25">
      <c r="A45" s="223" t="s">
        <v>297</v>
      </c>
      <c r="B45" s="224" t="s">
        <v>141</v>
      </c>
      <c r="C45" s="224">
        <v>18</v>
      </c>
      <c r="D45" s="224" t="s">
        <v>298</v>
      </c>
      <c r="E45" s="225" t="str">
        <f t="shared" ca="1" si="8"/>
        <v>R</v>
      </c>
      <c r="F45" s="348"/>
      <c r="G45" s="349">
        <f t="shared" ca="1" si="1"/>
        <v>33</v>
      </c>
      <c r="H45" s="350"/>
      <c r="I45" s="237"/>
      <c r="J45" s="191"/>
      <c r="K45" s="237"/>
      <c r="N45" s="237"/>
      <c r="Q45" s="237"/>
      <c r="T45" s="237"/>
      <c r="W45" s="237"/>
      <c r="AF45" s="169">
        <f t="shared" si="2"/>
        <v>1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305</v>
      </c>
      <c r="AR45" s="207" t="s">
        <v>142</v>
      </c>
      <c r="AS45" s="207">
        <v>17</v>
      </c>
      <c r="AT45" s="207" t="s">
        <v>306</v>
      </c>
      <c r="AV45" s="168">
        <f t="shared" si="21"/>
        <v>43</v>
      </c>
      <c r="AW45" s="168">
        <f>COUNTIF( AV$7:AV45, AV45 )</f>
        <v>5</v>
      </c>
      <c r="AX45" s="208">
        <f t="shared" si="22"/>
        <v>43.5</v>
      </c>
      <c r="AY45" s="168">
        <f t="shared" si="23"/>
        <v>47</v>
      </c>
      <c r="AZ45" s="169"/>
      <c r="BA45" s="169"/>
      <c r="BC45" s="168">
        <f t="shared" ca="1" si="24"/>
        <v>39</v>
      </c>
      <c r="BD45" s="209">
        <f t="shared" ca="1" si="6"/>
        <v>30</v>
      </c>
      <c r="BF45" s="173" t="str">
        <f t="shared" ca="1" si="25"/>
        <v>NorthWestern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NWE</v>
      </c>
    </row>
    <row r="46" spans="1:61" ht="13.8" x14ac:dyDescent="0.25">
      <c r="A46" s="223" t="s">
        <v>299</v>
      </c>
      <c r="B46" s="224" t="s">
        <v>141</v>
      </c>
      <c r="C46" s="224">
        <v>18</v>
      </c>
      <c r="D46" s="224" t="s">
        <v>300</v>
      </c>
      <c r="E46" s="225" t="str">
        <f t="shared" ca="1" si="8"/>
        <v>R</v>
      </c>
      <c r="F46" s="348"/>
      <c r="G46" s="349">
        <f t="shared" ca="1" si="1"/>
        <v>35</v>
      </c>
      <c r="H46" s="350"/>
      <c r="I46" s="191"/>
      <c r="K46" s="191"/>
      <c r="N46" s="351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46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347</v>
      </c>
      <c r="AR46" s="207" t="s">
        <v>141</v>
      </c>
      <c r="AS46" s="207">
        <v>18</v>
      </c>
      <c r="AT46" s="207" t="s">
        <v>348</v>
      </c>
      <c r="AV46" s="168">
        <f t="shared" si="21"/>
        <v>33</v>
      </c>
      <c r="AW46" s="168">
        <f>COUNTIF( AV$7:AV46, AV46 )</f>
        <v>10</v>
      </c>
      <c r="AX46" s="208">
        <f t="shared" si="22"/>
        <v>34</v>
      </c>
      <c r="AY46" s="168">
        <f t="shared" si="23"/>
        <v>42</v>
      </c>
      <c r="AZ46" s="169"/>
      <c r="BA46" s="169"/>
      <c r="BC46" s="168">
        <f t="shared" ca="1" si="24"/>
        <v>40</v>
      </c>
      <c r="BD46" s="209">
        <f t="shared" ca="1" si="6"/>
        <v>32</v>
      </c>
      <c r="BF46" s="173" t="str">
        <f t="shared" ca="1" si="25"/>
        <v>Otter Tail Corporation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OTTR</v>
      </c>
    </row>
    <row r="47" spans="1:61" ht="13.8" x14ac:dyDescent="0.25">
      <c r="A47" s="223" t="s">
        <v>285</v>
      </c>
      <c r="B47" s="224" t="s">
        <v>141</v>
      </c>
      <c r="C47" s="224">
        <v>18</v>
      </c>
      <c r="D47" s="224" t="s">
        <v>286</v>
      </c>
      <c r="E47" s="225" t="str">
        <f t="shared" ca="1" si="8"/>
        <v>R</v>
      </c>
      <c r="F47" s="348"/>
      <c r="G47" s="349">
        <f t="shared" ca="1" si="1"/>
        <v>39</v>
      </c>
      <c r="H47" s="350"/>
      <c r="I47" s="350"/>
      <c r="J47" s="187" t="s">
        <v>307</v>
      </c>
      <c r="K47" s="191"/>
      <c r="M47" s="351"/>
      <c r="N47" s="351"/>
      <c r="AF47" s="169">
        <f t="shared" si="2"/>
        <v>1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47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291</v>
      </c>
      <c r="AR47" s="207" t="s">
        <v>140</v>
      </c>
      <c r="AS47" s="207">
        <v>19</v>
      </c>
      <c r="AT47" s="207" t="s">
        <v>292</v>
      </c>
      <c r="AV47" s="168">
        <f t="shared" si="21"/>
        <v>16</v>
      </c>
      <c r="AW47" s="168">
        <f>COUNTIF( AV$7:AV47, AV47 )</f>
        <v>15</v>
      </c>
      <c r="AX47" s="208">
        <f t="shared" si="22"/>
        <v>17.5</v>
      </c>
      <c r="AY47" s="168">
        <f t="shared" si="23"/>
        <v>30</v>
      </c>
      <c r="AZ47" s="169"/>
      <c r="BA47" s="169"/>
      <c r="BC47" s="168">
        <f t="shared" ca="1" si="24"/>
        <v>41</v>
      </c>
      <c r="BD47" s="209">
        <f t="shared" ca="1" si="6"/>
        <v>36</v>
      </c>
      <c r="BF47" s="173" t="str">
        <f t="shared" ca="1" si="25"/>
        <v>Portland General Electric Company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POR</v>
      </c>
    </row>
    <row r="48" spans="1:61" ht="13.8" x14ac:dyDescent="0.25">
      <c r="A48" s="223" t="s">
        <v>347</v>
      </c>
      <c r="B48" s="224" t="s">
        <v>141</v>
      </c>
      <c r="C48" s="224">
        <v>18</v>
      </c>
      <c r="D48" s="224" t="s">
        <v>348</v>
      </c>
      <c r="E48" s="225" t="str">
        <f t="shared" ca="1" si="8"/>
        <v>R</v>
      </c>
      <c r="F48" s="348"/>
      <c r="G48" s="349">
        <f t="shared" ca="1" si="1"/>
        <v>42</v>
      </c>
      <c r="H48" s="350"/>
      <c r="I48" s="350"/>
      <c r="K48" s="191"/>
      <c r="M48" s="351"/>
      <c r="N48" s="351"/>
      <c r="AF48" s="169">
        <f t="shared" si="2"/>
        <v>1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48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293</v>
      </c>
      <c r="AR48" s="207" t="s">
        <v>139</v>
      </c>
      <c r="AS48" s="207">
        <v>20</v>
      </c>
      <c r="AT48" s="207" t="s">
        <v>294</v>
      </c>
      <c r="AV48" s="168">
        <f t="shared" si="21"/>
        <v>3</v>
      </c>
      <c r="AW48" s="168">
        <f>COUNTIF( AV$7:AV48, AV48 )</f>
        <v>10</v>
      </c>
      <c r="AX48" s="208">
        <f t="shared" si="22"/>
        <v>4</v>
      </c>
      <c r="AY48" s="168">
        <f t="shared" si="23"/>
        <v>12</v>
      </c>
      <c r="AZ48" s="169"/>
      <c r="BA48" s="169"/>
      <c r="BC48" s="168">
        <f t="shared" ca="1" si="24"/>
        <v>42</v>
      </c>
      <c r="BD48" s="209">
        <f t="shared" ca="1" si="6"/>
        <v>40</v>
      </c>
      <c r="BF48" s="173" t="str">
        <f t="shared" ca="1" si="25"/>
        <v>SCANA Corporation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SCG</v>
      </c>
    </row>
    <row r="49" spans="1:61" ht="13.8" x14ac:dyDescent="0.25">
      <c r="A49" s="223" t="s">
        <v>254</v>
      </c>
      <c r="B49" s="224" t="s">
        <v>142</v>
      </c>
      <c r="C49" s="224">
        <v>17</v>
      </c>
      <c r="D49" s="224" t="s">
        <v>255</v>
      </c>
      <c r="E49" s="225" t="str">
        <f t="shared" ca="1" si="8"/>
        <v>R</v>
      </c>
      <c r="F49" s="348"/>
      <c r="G49" s="349">
        <f t="shared" ca="1" si="1"/>
        <v>53</v>
      </c>
      <c r="H49" s="350"/>
      <c r="I49" s="350"/>
      <c r="J49" s="191"/>
      <c r="K49" s="191"/>
      <c r="M49" s="351"/>
      <c r="N49" s="351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4"/>
        <v/>
      </c>
      <c r="AQ49" s="207" t="s">
        <v>295</v>
      </c>
      <c r="AR49" s="207" t="s">
        <v>140</v>
      </c>
      <c r="AS49" s="207">
        <v>19</v>
      </c>
      <c r="AT49" s="207" t="s">
        <v>296</v>
      </c>
      <c r="AV49" s="168">
        <f t="shared" si="21"/>
        <v>16</v>
      </c>
      <c r="AW49" s="168">
        <f>COUNTIF( AV$7:AV49, AV49 )</f>
        <v>16</v>
      </c>
      <c r="AX49" s="208">
        <f t="shared" si="22"/>
        <v>17.600000000000001</v>
      </c>
      <c r="AY49" s="168">
        <f t="shared" si="23"/>
        <v>31</v>
      </c>
      <c r="AZ49" s="169"/>
      <c r="BA49" s="169"/>
      <c r="BC49" s="168">
        <f t="shared" ca="1" si="24"/>
        <v>43</v>
      </c>
      <c r="BD49" s="209">
        <f t="shared" ca="1" si="6"/>
        <v>10</v>
      </c>
      <c r="BF49" s="173" t="str">
        <f t="shared" ca="1" si="25"/>
        <v>Cleco Corporation</v>
      </c>
      <c r="BG49" s="173" t="str">
        <f t="shared" ca="1" si="25"/>
        <v>BBB-</v>
      </c>
      <c r="BH49" s="173">
        <f t="shared" ca="1" si="25"/>
        <v>17</v>
      </c>
      <c r="BI49" s="173" t="str">
        <f t="shared" ca="1" si="25"/>
        <v>**CNL</v>
      </c>
    </row>
    <row r="50" spans="1:61" ht="13.8" x14ac:dyDescent="0.25">
      <c r="A50" s="223" t="s">
        <v>259</v>
      </c>
      <c r="B50" s="224" t="s">
        <v>142</v>
      </c>
      <c r="C50" s="224">
        <v>17</v>
      </c>
      <c r="D50" s="224" t="s">
        <v>260</v>
      </c>
      <c r="E50" s="225" t="str">
        <f t="shared" ca="1" si="8"/>
        <v>R</v>
      </c>
      <c r="F50" s="348"/>
      <c r="G50" s="349">
        <f t="shared" ca="1" si="1"/>
        <v>54</v>
      </c>
      <c r="H50" s="350"/>
      <c r="I50" s="350"/>
      <c r="J50" s="191"/>
      <c r="K50" s="191"/>
      <c r="M50" s="351"/>
      <c r="N50" s="351"/>
      <c r="AF50" s="169">
        <f t="shared" si="2"/>
        <v>0</v>
      </c>
      <c r="AG50" s="169">
        <f t="shared" ca="1" si="3"/>
        <v>1</v>
      </c>
      <c r="AH50" s="169" t="str">
        <f t="shared" ca="1" si="18"/>
        <v/>
      </c>
      <c r="AJ50" s="169">
        <f t="shared" ca="1" si="19"/>
        <v>54</v>
      </c>
      <c r="AK50" s="169" t="str">
        <f t="shared" ca="1" si="20"/>
        <v>BB</v>
      </c>
      <c r="AL50" s="169">
        <f t="shared" ca="1" si="20"/>
        <v>15</v>
      </c>
      <c r="AM50" s="169" t="str">
        <f t="shared" ca="1" si="4"/>
        <v>Change</v>
      </c>
      <c r="AQ50" s="207" t="s">
        <v>345</v>
      </c>
      <c r="AR50" s="207" t="s">
        <v>139</v>
      </c>
      <c r="AS50" s="207">
        <v>20</v>
      </c>
      <c r="AT50" s="207" t="s">
        <v>346</v>
      </c>
      <c r="AV50" s="168">
        <f t="shared" si="21"/>
        <v>3</v>
      </c>
      <c r="AW50" s="168">
        <f>COUNTIF( AV$7:AV50, AV50 )</f>
        <v>11</v>
      </c>
      <c r="AX50" s="208">
        <f t="shared" si="22"/>
        <v>4.0999999999999996</v>
      </c>
      <c r="AY50" s="168">
        <f t="shared" si="23"/>
        <v>13</v>
      </c>
      <c r="AZ50" s="169"/>
      <c r="BA50" s="169"/>
      <c r="BC50" s="168">
        <f t="shared" ca="1" si="24"/>
        <v>44</v>
      </c>
      <c r="BD50" s="209">
        <f t="shared" ca="1" si="6"/>
        <v>14</v>
      </c>
      <c r="BF50" s="173" t="str">
        <f t="shared" ca="1" si="25"/>
        <v>DPL Inc.</v>
      </c>
      <c r="BG50" s="173" t="str">
        <f t="shared" ca="1" si="25"/>
        <v>BBB-</v>
      </c>
      <c r="BH50" s="173">
        <f t="shared" ca="1" si="25"/>
        <v>17</v>
      </c>
      <c r="BI50" s="173" t="str">
        <f t="shared" ca="1" si="25"/>
        <v>**DPL</v>
      </c>
    </row>
    <row r="51" spans="1:61" ht="13.8" x14ac:dyDescent="0.25">
      <c r="A51" s="223" t="s">
        <v>275</v>
      </c>
      <c r="B51" s="224" t="s">
        <v>142</v>
      </c>
      <c r="C51" s="224">
        <v>17</v>
      </c>
      <c r="D51" s="224" t="s">
        <v>276</v>
      </c>
      <c r="E51" s="225" t="str">
        <f t="shared" ca="1" si="8"/>
        <v>R</v>
      </c>
      <c r="F51" s="348"/>
      <c r="G51" s="349">
        <f t="shared" ca="1" si="1"/>
        <v>26</v>
      </c>
      <c r="H51" s="350"/>
      <c r="I51" s="350"/>
      <c r="J51" s="191"/>
      <c r="K51" s="191"/>
      <c r="M51" s="351"/>
      <c r="N51" s="351"/>
      <c r="AF51" s="169">
        <f t="shared" si="2"/>
        <v>0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50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4"/>
        <v/>
      </c>
      <c r="AQ51" s="207" t="s">
        <v>354</v>
      </c>
      <c r="AR51" s="207" t="s">
        <v>140</v>
      </c>
      <c r="AS51" s="207">
        <v>19</v>
      </c>
      <c r="AT51" s="207" t="s">
        <v>355</v>
      </c>
      <c r="AV51" s="168">
        <f t="shared" si="21"/>
        <v>16</v>
      </c>
      <c r="AW51" s="168">
        <f>COUNTIF( AV$7:AV51, AV51 )</f>
        <v>17</v>
      </c>
      <c r="AX51" s="208">
        <f t="shared" si="22"/>
        <v>17.7</v>
      </c>
      <c r="AY51" s="168">
        <f t="shared" si="23"/>
        <v>32</v>
      </c>
      <c r="AZ51" s="169"/>
      <c r="BA51" s="169"/>
      <c r="BC51" s="168">
        <f t="shared" ca="1" si="24"/>
        <v>45</v>
      </c>
      <c r="BD51" s="209">
        <f t="shared" ca="1" si="6"/>
        <v>22</v>
      </c>
      <c r="BF51" s="173" t="str">
        <f t="shared" ca="1" si="25"/>
        <v>FirstEnergy Corp.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FE</v>
      </c>
    </row>
    <row r="52" spans="1:61" ht="13.8" x14ac:dyDescent="0.25">
      <c r="A52" s="223" t="s">
        <v>279</v>
      </c>
      <c r="B52" s="224" t="s">
        <v>142</v>
      </c>
      <c r="C52" s="224">
        <v>17</v>
      </c>
      <c r="D52" s="224" t="s">
        <v>280</v>
      </c>
      <c r="E52" s="225" t="str">
        <f t="shared" ca="1" si="8"/>
        <v>MR</v>
      </c>
      <c r="F52" s="348"/>
      <c r="G52" s="349">
        <f t="shared" ca="1" si="1"/>
        <v>27</v>
      </c>
      <c r="H52" s="350"/>
      <c r="I52" s="350"/>
      <c r="J52" s="191"/>
      <c r="K52" s="191"/>
      <c r="AF52" s="169">
        <f t="shared" si="2"/>
        <v>0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51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247</v>
      </c>
      <c r="AR52" s="207" t="s">
        <v>139</v>
      </c>
      <c r="AS52" s="207">
        <v>20</v>
      </c>
      <c r="AT52" s="207" t="s">
        <v>248</v>
      </c>
      <c r="AV52" s="168">
        <f t="shared" si="21"/>
        <v>3</v>
      </c>
      <c r="AW52" s="168">
        <f>COUNTIF( AV$7:AV52, AV52 )</f>
        <v>12</v>
      </c>
      <c r="AX52" s="208">
        <f t="shared" si="22"/>
        <v>4.2</v>
      </c>
      <c r="AY52" s="168">
        <f t="shared" si="23"/>
        <v>14</v>
      </c>
      <c r="AZ52" s="169"/>
      <c r="BA52" s="169"/>
      <c r="BC52" s="168">
        <f t="shared" ca="1" si="24"/>
        <v>46</v>
      </c>
      <c r="BD52" s="209">
        <f t="shared" ca="1" si="6"/>
        <v>24</v>
      </c>
      <c r="BF52" s="173" t="str">
        <f t="shared" ca="1" si="25"/>
        <v>Hawaiian Electric Industries, Inc.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HE</v>
      </c>
    </row>
    <row r="53" spans="1:61" ht="13.8" x14ac:dyDescent="0.25">
      <c r="A53" s="223" t="s">
        <v>305</v>
      </c>
      <c r="B53" s="224" t="s">
        <v>142</v>
      </c>
      <c r="C53" s="224">
        <v>17</v>
      </c>
      <c r="D53" s="224" t="s">
        <v>306</v>
      </c>
      <c r="E53" s="225" t="str">
        <f t="shared" ca="1" si="8"/>
        <v>R</v>
      </c>
      <c r="F53" s="348"/>
      <c r="G53" s="349">
        <f t="shared" ca="1" si="1"/>
        <v>57</v>
      </c>
      <c r="H53" s="350"/>
      <c r="I53" s="350"/>
      <c r="J53" s="191"/>
      <c r="K53" s="191"/>
      <c r="AF53" s="169">
        <f t="shared" si="2"/>
        <v>0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251</v>
      </c>
      <c r="AR53" s="207" t="s">
        <v>139</v>
      </c>
      <c r="AS53" s="207">
        <v>20</v>
      </c>
      <c r="AT53" s="207" t="s">
        <v>252</v>
      </c>
      <c r="AV53" s="168">
        <f t="shared" si="21"/>
        <v>3</v>
      </c>
      <c r="AW53" s="168">
        <f>COUNTIF( AV$7:AV53, AV53 )</f>
        <v>13</v>
      </c>
      <c r="AX53" s="208">
        <f t="shared" si="22"/>
        <v>4.3</v>
      </c>
      <c r="AY53" s="168">
        <f t="shared" si="23"/>
        <v>15</v>
      </c>
      <c r="AZ53" s="169"/>
      <c r="BA53" s="169"/>
      <c r="BC53" s="168">
        <f t="shared" ca="1" si="24"/>
        <v>47</v>
      </c>
      <c r="BD53" s="209">
        <f t="shared" ca="1" si="6"/>
        <v>39</v>
      </c>
      <c r="BF53" s="173" t="str">
        <f t="shared" ca="1" si="25"/>
        <v>Puget Energy,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**PSD</v>
      </c>
    </row>
    <row r="54" spans="1:61" ht="13.8" x14ac:dyDescent="0.25">
      <c r="A54" s="223"/>
      <c r="B54" s="224"/>
      <c r="C54" s="224"/>
      <c r="D54" s="224"/>
      <c r="E54" s="225"/>
      <c r="F54" s="348"/>
      <c r="G54" s="349" t="str">
        <f t="shared" ca="1" si="1"/>
        <v/>
      </c>
      <c r="H54" s="350"/>
      <c r="I54" s="350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8"/>
        <v/>
      </c>
      <c r="AJ54" s="169" t="e">
        <f t="shared" ca="1" si="19"/>
        <v>#N/A</v>
      </c>
      <c r="AK54" s="169" t="str">
        <f t="shared" ca="1" si="20"/>
        <v/>
      </c>
      <c r="AL54" s="169" t="str">
        <f t="shared" ca="1" si="20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21"/>
        <v>99</v>
      </c>
      <c r="AW54" s="168">
        <f>COUNTIF( AV$7:AV54, AV54 )</f>
        <v>1</v>
      </c>
      <c r="AX54" s="208">
        <f t="shared" si="22"/>
        <v>99.1</v>
      </c>
      <c r="AY54" s="168">
        <f t="shared" si="23"/>
        <v>48</v>
      </c>
      <c r="AZ54" s="169"/>
      <c r="BA54" s="169"/>
      <c r="BC54" s="168">
        <f t="shared" ca="1" si="24"/>
        <v>48</v>
      </c>
      <c r="BD54" s="209">
        <f t="shared" ca="1" si="6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3.8" x14ac:dyDescent="0.25">
      <c r="A55" s="223"/>
      <c r="B55" s="224"/>
      <c r="C55" s="224"/>
      <c r="D55" s="224"/>
      <c r="E55" s="225" t="str">
        <f t="shared" ca="1" si="8"/>
        <v/>
      </c>
      <c r="F55" s="348"/>
      <c r="G55" s="349" t="str">
        <f t="shared" ca="1" si="1"/>
        <v/>
      </c>
      <c r="H55" s="350"/>
      <c r="I55" s="350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8"/>
        <v/>
      </c>
      <c r="AJ55" s="169" t="e">
        <f t="shared" ca="1" si="19"/>
        <v>#N/A</v>
      </c>
      <c r="AK55" s="169" t="str">
        <f t="shared" ca="1" si="20"/>
        <v/>
      </c>
      <c r="AL55" s="169" t="str">
        <f t="shared" ca="1" si="20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1"/>
        <v>99</v>
      </c>
      <c r="AW55" s="168">
        <f>COUNTIF( AV$7:AV55, AV55 )</f>
        <v>2</v>
      </c>
      <c r="AX55" s="208">
        <f t="shared" si="22"/>
        <v>99.2</v>
      </c>
      <c r="AY55" s="168">
        <f t="shared" si="23"/>
        <v>49</v>
      </c>
      <c r="AZ55" s="169"/>
      <c r="BA55" s="169"/>
      <c r="BC55" s="168">
        <f t="shared" ca="1" si="24"/>
        <v>49</v>
      </c>
      <c r="BD55" s="209">
        <f t="shared" ca="1" si="6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3.8" x14ac:dyDescent="0.25">
      <c r="A56" s="223"/>
      <c r="B56" s="224"/>
      <c r="C56" s="224"/>
      <c r="D56" s="224"/>
      <c r="E56" s="225"/>
      <c r="F56" s="348"/>
      <c r="G56" s="349" t="str">
        <f t="shared" ca="1" si="1"/>
        <v/>
      </c>
      <c r="H56" s="350"/>
      <c r="I56" s="350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3</v>
      </c>
      <c r="AX56" s="208">
        <f t="shared" si="22"/>
        <v>99.3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8" x14ac:dyDescent="0.25">
      <c r="A57" s="223"/>
      <c r="B57" s="224"/>
      <c r="C57" s="224"/>
      <c r="D57" s="224"/>
      <c r="E57" s="225"/>
      <c r="F57" s="348"/>
      <c r="G57" s="349" t="str">
        <f t="shared" ca="1" si="1"/>
        <v/>
      </c>
      <c r="H57" s="350"/>
      <c r="I57" s="350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4</v>
      </c>
      <c r="AX57" s="208">
        <f t="shared" si="22"/>
        <v>99.4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8" x14ac:dyDescent="0.25">
      <c r="A58" s="223"/>
      <c r="B58" s="224"/>
      <c r="C58" s="224"/>
      <c r="D58" s="224"/>
      <c r="E58" s="225"/>
      <c r="F58" s="348"/>
      <c r="G58" s="349" t="str">
        <f t="shared" ca="1" si="1"/>
        <v/>
      </c>
      <c r="H58" s="350"/>
      <c r="I58" s="350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5</v>
      </c>
      <c r="AX58" s="208">
        <f t="shared" si="22"/>
        <v>99.5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8" x14ac:dyDescent="0.25">
      <c r="A59" s="223"/>
      <c r="B59" s="224"/>
      <c r="C59" s="224"/>
      <c r="D59" s="224"/>
      <c r="E59" s="225" t="str">
        <f t="shared" ca="1" si="8"/>
        <v/>
      </c>
      <c r="F59" s="348"/>
      <c r="G59" s="349" t="str">
        <f t="shared" ca="1" si="1"/>
        <v/>
      </c>
      <c r="H59" s="350"/>
      <c r="I59" s="350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6</v>
      </c>
      <c r="AX59" s="208">
        <f t="shared" si="22"/>
        <v>99.6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" thickBot="1" x14ac:dyDescent="0.3">
      <c r="A60" s="192"/>
      <c r="B60" s="193"/>
      <c r="C60" s="193"/>
      <c r="D60" s="193"/>
      <c r="E60" s="194" t="str">
        <f t="shared" ca="1" si="8"/>
        <v/>
      </c>
      <c r="F60" s="350"/>
      <c r="G60" s="353" t="str">
        <f t="shared" ca="1" si="1"/>
        <v/>
      </c>
      <c r="H60" s="350"/>
      <c r="I60" s="350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7</v>
      </c>
      <c r="AX60" s="208">
        <f t="shared" si="22"/>
        <v>99.7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8" x14ac:dyDescent="0.25">
      <c r="A61" s="226" t="s">
        <v>308</v>
      </c>
      <c r="B61" s="227" t="s">
        <v>162</v>
      </c>
      <c r="C61" s="227">
        <v>23</v>
      </c>
      <c r="D61" s="227" t="s">
        <v>309</v>
      </c>
      <c r="E61" s="228" t="str">
        <f t="shared" ca="1" si="8"/>
        <v>MR</v>
      </c>
      <c r="F61" s="354"/>
      <c r="G61" s="355">
        <f t="shared" ca="1" si="1"/>
        <v>30</v>
      </c>
      <c r="H61" s="350"/>
      <c r="I61" s="350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8</v>
      </c>
      <c r="AX61" s="208">
        <f t="shared" si="22"/>
        <v>99.8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8" x14ac:dyDescent="0.25">
      <c r="A62" s="223"/>
      <c r="B62" s="224"/>
      <c r="C62" s="224"/>
      <c r="D62" s="224"/>
      <c r="E62" s="225"/>
      <c r="F62" s="348"/>
      <c r="G62" s="349" t="str">
        <f t="shared" ca="1" si="1"/>
        <v/>
      </c>
      <c r="H62" s="350"/>
      <c r="I62" s="350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 t="e">
        <f t="shared" ca="1" si="19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9</v>
      </c>
      <c r="AX62" s="208">
        <f t="shared" si="22"/>
        <v>99.9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/>
      <c r="B63" s="229"/>
      <c r="C63" s="224"/>
      <c r="D63" s="224"/>
      <c r="E63" s="225"/>
      <c r="F63" s="348"/>
      <c r="G63" s="349"/>
      <c r="H63" s="350"/>
      <c r="I63" s="350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10</v>
      </c>
      <c r="AX63" s="208">
        <f t="shared" si="22"/>
        <v>100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/>
      <c r="B64" s="229"/>
      <c r="C64" s="224"/>
      <c r="D64" s="224"/>
      <c r="E64" s="225"/>
      <c r="F64" s="348"/>
      <c r="G64" s="349"/>
      <c r="H64" s="350"/>
      <c r="I64" s="350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308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58" ht="13.8" x14ac:dyDescent="0.25">
      <c r="A65" s="223"/>
      <c r="B65" s="229"/>
      <c r="C65" s="224"/>
      <c r="D65" s="224"/>
      <c r="E65" s="225"/>
      <c r="F65" s="348"/>
      <c r="G65" s="349"/>
      <c r="H65" s="350"/>
      <c r="I65" s="350"/>
      <c r="N65" s="168" t="s">
        <v>310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3.8" x14ac:dyDescent="0.25">
      <c r="A66" s="195"/>
      <c r="B66" s="196"/>
      <c r="C66" s="185"/>
      <c r="D66" s="185"/>
      <c r="E66" s="182"/>
      <c r="F66" s="350"/>
      <c r="H66" s="350"/>
      <c r="I66" s="350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50"/>
      <c r="H67" s="350"/>
      <c r="I67" s="350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8" x14ac:dyDescent="0.25">
      <c r="A68" s="200" t="s">
        <v>311</v>
      </c>
      <c r="B68" s="189" t="str">
        <f ca="1">OFFSET( Scale!$H$5, ROUND( C68, 0 ) - 1, 1 )</f>
        <v>BBB+</v>
      </c>
      <c r="C68" s="201">
        <f>AVERAGE(C7:C65)</f>
        <v>19.041666666666668</v>
      </c>
      <c r="D68" s="201"/>
      <c r="E68" s="201"/>
      <c r="F68" s="350"/>
      <c r="H68" s="350"/>
      <c r="I68" s="350"/>
      <c r="J68" s="351"/>
      <c r="K68" s="351"/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50"/>
      <c r="H69" s="350"/>
      <c r="I69" s="350"/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1"/>
      <c r="K70" s="351"/>
    </row>
    <row r="71" spans="1:58" x14ac:dyDescent="0.25">
      <c r="A71" s="203" t="s">
        <v>312</v>
      </c>
      <c r="F71" s="173"/>
      <c r="H71" s="173"/>
      <c r="I71" s="173"/>
    </row>
    <row r="72" spans="1:58" x14ac:dyDescent="0.25">
      <c r="A72" s="203" t="s">
        <v>313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314</v>
      </c>
      <c r="B73" s="173"/>
      <c r="D73" s="173"/>
      <c r="E73" s="173"/>
      <c r="F73" s="204"/>
      <c r="H73" s="204"/>
      <c r="I73" s="204"/>
    </row>
    <row r="74" spans="1:58" x14ac:dyDescent="0.25">
      <c r="A74" s="203" t="s">
        <v>315</v>
      </c>
      <c r="D74" s="204"/>
      <c r="F74" s="206"/>
      <c r="H74" s="206"/>
      <c r="I74" s="206"/>
      <c r="AQ74" s="207"/>
      <c r="AR74" s="207"/>
      <c r="AS74" s="207"/>
    </row>
    <row r="75" spans="1:58" x14ac:dyDescent="0.25">
      <c r="A75" s="203" t="s">
        <v>316</v>
      </c>
      <c r="D75" s="204"/>
      <c r="F75" s="206"/>
      <c r="H75" s="206"/>
      <c r="I75" s="206"/>
      <c r="AQ75" s="207"/>
      <c r="AR75" s="207"/>
      <c r="AS75" s="207"/>
    </row>
    <row r="76" spans="1:58" x14ac:dyDescent="0.25">
      <c r="A76" s="203"/>
      <c r="AQ76" s="207"/>
      <c r="AR76" s="207"/>
      <c r="AS76" s="207"/>
    </row>
    <row r="77" spans="1:58" x14ac:dyDescent="0.25">
      <c r="C77" s="190">
        <f>SUMPRODUCT( L8:L13, Y8:Y13 ) / L14</f>
        <v>18.979166666666668</v>
      </c>
      <c r="E77" s="191"/>
      <c r="G77" s="353"/>
      <c r="J77" s="173"/>
      <c r="K77" s="173"/>
      <c r="AQ77" s="207"/>
      <c r="AR77" s="207"/>
      <c r="AS77" s="207"/>
    </row>
    <row r="78" spans="1:58" s="173" customFormat="1" ht="13.8" x14ac:dyDescent="0.2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ref="AQ7:AT5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37 E39:E59">
    <cfRule type="expression" dxfId="983" priority="31" stopIfTrue="1">
      <formula>IF( $AH7 = 1, TRUE, FALSE )</formula>
    </cfRule>
    <cfRule type="expression" dxfId="982" priority="32" stopIfTrue="1">
      <formula>IF( $AG7 = 1, TRUE, FALSE )</formula>
    </cfRule>
    <cfRule type="expression" dxfId="981" priority="33" stopIfTrue="1">
      <formula>IF( $AF7 = 1, TRUE, FALSE )</formula>
    </cfRule>
  </conditionalFormatting>
  <conditionalFormatting sqref="A67:E67">
    <cfRule type="expression" dxfId="980" priority="34" stopIfTrue="1">
      <formula>IF( $AH67 = 1, TRUE, FALSE )</formula>
    </cfRule>
    <cfRule type="expression" dxfId="979" priority="35" stopIfTrue="1">
      <formula>IF( $AG67 = 1, TRUE, FALSE )</formula>
    </cfRule>
    <cfRule type="expression" dxfId="978" priority="36" stopIfTrue="1">
      <formula>IF( $AF67 = 1, TRUE, FALSE )</formula>
    </cfRule>
  </conditionalFormatting>
  <conditionalFormatting sqref="A66:E66">
    <cfRule type="expression" dxfId="977" priority="28" stopIfTrue="1">
      <formula>IF( $AH66 = 1, TRUE, FALSE )</formula>
    </cfRule>
    <cfRule type="expression" dxfId="976" priority="29" stopIfTrue="1">
      <formula>IF( $AG66 = 1, TRUE, FALSE )</formula>
    </cfRule>
    <cfRule type="expression" dxfId="975" priority="30" stopIfTrue="1">
      <formula>IF( $AF66 = 1, TRUE, FALSE )</formula>
    </cfRule>
  </conditionalFormatting>
  <conditionalFormatting sqref="A8:D33 B7:D7 A35:D37 A39:D58">
    <cfRule type="expression" dxfId="974" priority="25" stopIfTrue="1">
      <formula>IF( $AH7 = 1, TRUE, FALSE )</formula>
    </cfRule>
    <cfRule type="expression" dxfId="973" priority="26" stopIfTrue="1">
      <formula>IF( $AG7 = 1, TRUE, FALSE )</formula>
    </cfRule>
    <cfRule type="expression" dxfId="972" priority="27" stopIfTrue="1">
      <formula>IF( $AF7 = 1, TRUE, FALSE )</formula>
    </cfRule>
  </conditionalFormatting>
  <conditionalFormatting sqref="A59:D59">
    <cfRule type="expression" dxfId="971" priority="22" stopIfTrue="1">
      <formula>IF( $AH59 = 1, TRUE, FALSE )</formula>
    </cfRule>
    <cfRule type="expression" dxfId="970" priority="23" stopIfTrue="1">
      <formula>IF( $AG59 = 1, TRUE, FALSE )</formula>
    </cfRule>
    <cfRule type="expression" dxfId="969" priority="24" stopIfTrue="1">
      <formula>IF( $AF59 = 1, TRUE, FALSE )</formula>
    </cfRule>
  </conditionalFormatting>
  <conditionalFormatting sqref="A61:D65">
    <cfRule type="expression" dxfId="968" priority="19" stopIfTrue="1">
      <formula>IF( $AH61 = 1, TRUE, FALSE )</formula>
    </cfRule>
    <cfRule type="expression" dxfId="967" priority="20" stopIfTrue="1">
      <formula>IF( $AG61 = 1, TRUE, FALSE )</formula>
    </cfRule>
    <cfRule type="expression" dxfId="966" priority="21" stopIfTrue="1">
      <formula>IF( $AF61 = 1, TRUE, FALSE )</formula>
    </cfRule>
  </conditionalFormatting>
  <conditionalFormatting sqref="U8:U12">
    <cfRule type="cellIs" dxfId="965" priority="18" operator="equal">
      <formula>0</formula>
    </cfRule>
  </conditionalFormatting>
  <conditionalFormatting sqref="O8:O12 Q8:Q12">
    <cfRule type="cellIs" dxfId="964" priority="17" operator="equal">
      <formula>0</formula>
    </cfRule>
  </conditionalFormatting>
  <conditionalFormatting sqref="V8:V12">
    <cfRule type="cellIs" dxfId="963" priority="16" operator="equal">
      <formula>0</formula>
    </cfRule>
  </conditionalFormatting>
  <conditionalFormatting sqref="S8:S12">
    <cfRule type="cellIs" dxfId="962" priority="14" operator="equal">
      <formula>0</formula>
    </cfRule>
  </conditionalFormatting>
  <conditionalFormatting sqref="R8:R12">
    <cfRule type="cellIs" dxfId="961" priority="15" operator="equal">
      <formula>0</formula>
    </cfRule>
  </conditionalFormatting>
  <conditionalFormatting sqref="P8:P12">
    <cfRule type="cellIs" dxfId="960" priority="13" operator="equal">
      <formula>0</formula>
    </cfRule>
  </conditionalFormatting>
  <conditionalFormatting sqref="M8:M12">
    <cfRule type="cellIs" dxfId="959" priority="12" operator="equal">
      <formula>0</formula>
    </cfRule>
  </conditionalFormatting>
  <conditionalFormatting sqref="T8:T12">
    <cfRule type="cellIs" dxfId="958" priority="11" operator="equal">
      <formula>0</formula>
    </cfRule>
  </conditionalFormatting>
  <conditionalFormatting sqref="N8:N12">
    <cfRule type="cellIs" dxfId="957" priority="10" operator="equal">
      <formula>0</formula>
    </cfRule>
  </conditionalFormatting>
  <conditionalFormatting sqref="K8:K12">
    <cfRule type="cellIs" dxfId="956" priority="9" operator="equal">
      <formula>0</formula>
    </cfRule>
  </conditionalFormatting>
  <conditionalFormatting sqref="I8:I12">
    <cfRule type="cellIs" dxfId="955" priority="8" operator="equal">
      <formula>0</formula>
    </cfRule>
  </conditionalFormatting>
  <conditionalFormatting sqref="W8:W12">
    <cfRule type="cellIs" dxfId="954" priority="7" operator="equal">
      <formula>0</formula>
    </cfRule>
  </conditionalFormatting>
  <conditionalFormatting sqref="A7">
    <cfRule type="expression" dxfId="953" priority="4" stopIfTrue="1">
      <formula>IF( $AH7 = 1, TRUE, FALSE )</formula>
    </cfRule>
    <cfRule type="expression" dxfId="952" priority="5" stopIfTrue="1">
      <formula>IF( $AG7 = 1, TRUE, FALSE )</formula>
    </cfRule>
    <cfRule type="expression" dxfId="951" priority="6" stopIfTrue="1">
      <formula>IF( $AF7 = 1, TRUE, FALSE )</formula>
    </cfRule>
  </conditionalFormatting>
  <conditionalFormatting sqref="A34:D34">
    <cfRule type="expression" dxfId="950" priority="1" stopIfTrue="1">
      <formula>IF( $AH34 = 1, TRUE, FALSE )</formula>
    </cfRule>
    <cfRule type="expression" dxfId="949" priority="2" stopIfTrue="1">
      <formula>IF( $AG34 = 1, TRUE, FALSE )</formula>
    </cfRule>
    <cfRule type="expression" dxfId="948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hidden="1" customWidth="1" outlineLevel="1"/>
    <col min="23" max="23" width="2" style="168" hidden="1" customWidth="1" outlineLevel="1"/>
    <col min="24" max="24" width="4.109375" style="168" customWidth="1" collapsed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15.88671875" style="169" hidden="1" customWidth="1" outlineLevel="1" collapsed="1"/>
    <col min="37" max="38" width="15.88671875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-- 2017 Q4</v>
      </c>
      <c r="G1" s="175" t="s">
        <v>195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 x14ac:dyDescent="0.25">
      <c r="A2" s="167"/>
      <c r="E2" s="171" t="str">
        <f>G2</f>
        <v>Reg_Percent_2016</v>
      </c>
      <c r="G2" s="172" t="s">
        <v>356</v>
      </c>
      <c r="AJ2" s="173" t="str">
        <f>AJ4 &amp; AJ3</f>
        <v>'Credit_2017Q3'!d:d</v>
      </c>
      <c r="AK2" s="173" t="str">
        <f>AK4 &amp; AK3</f>
        <v>'Credit_2017Q3'!b1</v>
      </c>
      <c r="AL2" s="173" t="str">
        <f>AL4 &amp; AL3</f>
        <v>'Credit_2017Q3'!c1</v>
      </c>
      <c r="AQ2" s="169"/>
    </row>
    <row r="3" spans="1:61" ht="18" hidden="1" outlineLevel="1" x14ac:dyDescent="0.25">
      <c r="A3" s="167"/>
      <c r="E3" s="174" t="str">
        <f>"'" &amp; E2 &amp; "'!"</f>
        <v>'Reg_Percent_2016'!</v>
      </c>
      <c r="G3" s="168" t="str">
        <f>"'" &amp; G2 &amp; "'!"</f>
        <v>'Reg_Percent_2016'!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205</v>
      </c>
      <c r="AK3" s="149" t="s">
        <v>206</v>
      </c>
      <c r="AL3" s="149" t="s">
        <v>207</v>
      </c>
      <c r="AQ3" s="169"/>
    </row>
    <row r="4" spans="1:61" ht="18" hidden="1" outlineLevel="1" x14ac:dyDescent="0.25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>$AQ$5</f>
        <v>'Credit_2017Q3'!</v>
      </c>
      <c r="AK4" s="169" t="str">
        <f t="shared" ref="AK4:AL4" si="0">$AQ$5</f>
        <v>'Credit_2017Q3'!</v>
      </c>
      <c r="AL4" s="169" t="str">
        <f t="shared" si="0"/>
        <v>'Credit_2017Q3'!</v>
      </c>
      <c r="AQ4" s="169"/>
    </row>
    <row r="5" spans="1:61" ht="13.8" collapsed="1" x14ac:dyDescent="0.25">
      <c r="E5" s="176" t="s">
        <v>209</v>
      </c>
      <c r="G5" s="170" t="s">
        <v>199</v>
      </c>
      <c r="I5" s="230"/>
      <c r="J5" s="389" t="s">
        <v>210</v>
      </c>
      <c r="K5" s="230"/>
      <c r="L5" s="391" t="str">
        <f>"All Companies" &amp; CHAR( 10 ) &amp; "("&amp; L14 &amp; ")"</f>
        <v>All Companies
(49)</v>
      </c>
      <c r="M5" s="391"/>
      <c r="N5" s="230"/>
      <c r="O5" s="389" t="str">
        <f ca="1">"Regulated" &amp; CHAR( 10 ) &amp; "(" &amp; O14 &amp; ")"</f>
        <v>Regulated
(35)</v>
      </c>
      <c r="P5" s="393"/>
      <c r="Q5" s="230"/>
      <c r="R5" s="389" t="str">
        <f ca="1">"Mostly Regulated" &amp; CHAR( 10 ) &amp; "(" &amp; R14 &amp; ")"</f>
        <v>Mostly Regulated
(14)</v>
      </c>
      <c r="S5" s="393"/>
      <c r="T5" s="230"/>
      <c r="U5" s="389" t="str">
        <f ca="1">"Diversified" &amp; CHAR( 10 ) &amp; "(" &amp; U14 &amp; ")"</f>
        <v>Diversified
(0)</v>
      </c>
      <c r="V5" s="393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357</v>
      </c>
    </row>
    <row r="6" spans="1:61" ht="28.5" customHeight="1" x14ac:dyDescent="0.25">
      <c r="A6" s="219" t="s">
        <v>212</v>
      </c>
      <c r="B6" s="220" t="s">
        <v>71</v>
      </c>
      <c r="C6" s="249" t="s">
        <v>214</v>
      </c>
      <c r="D6" s="221"/>
      <c r="E6" s="222">
        <f ca="1">INDIRECT( E3 &amp; G1 )</f>
        <v>42735</v>
      </c>
      <c r="I6" s="231"/>
      <c r="J6" s="390"/>
      <c r="K6" s="231"/>
      <c r="L6" s="392"/>
      <c r="M6" s="392"/>
      <c r="N6" s="231"/>
      <c r="O6" s="390"/>
      <c r="P6" s="390"/>
      <c r="Q6" s="231"/>
      <c r="R6" s="390" t="s">
        <v>136</v>
      </c>
      <c r="S6" s="390"/>
      <c r="T6" s="231"/>
      <c r="U6" s="390"/>
      <c r="V6" s="390"/>
      <c r="W6" s="231"/>
      <c r="AE6" s="178"/>
      <c r="AJ6" s="179"/>
    </row>
    <row r="7" spans="1:61" ht="13.8" x14ac:dyDescent="0.25">
      <c r="A7" s="223" t="s">
        <v>235</v>
      </c>
      <c r="B7" s="224" t="s">
        <v>164</v>
      </c>
      <c r="C7" s="224">
        <v>22</v>
      </c>
      <c r="D7" s="224" t="s">
        <v>236</v>
      </c>
      <c r="E7" s="225" t="str">
        <f ca="1">IF( LEN( $G7 ) = 0, "", OFFSET( INDIRECT( E$3 &amp; E$4 ), $G7 - 1, 0 ) )</f>
        <v>R</v>
      </c>
      <c r="F7" s="348"/>
      <c r="G7" s="349">
        <f t="shared" ref="G7:G62" ca="1" si="1">IF( LEN( $D7 ) = 0, "", MATCH( $D7, INDIRECT( G$3 &amp; G$4 ), 0 ) )</f>
        <v>24</v>
      </c>
      <c r="H7" s="350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>
        <f t="shared" ref="AG7:AG64" ca="1" si="3">IF( LEN( $C7 ) = 0, "", IF( $C7 &gt; $AL7, 1, "" ) )</f>
        <v>1</v>
      </c>
      <c r="AH7" s="169" t="str">
        <f ca="1">IF( LEN( $C7 ) = 0, "", IF( $C7 &lt; $AL7, 1, "" ) )</f>
        <v/>
      </c>
      <c r="AJ7" s="169">
        <f ca="1">MATCH( $D7, INDIRECT( AJ$2 ), 0 )</f>
        <v>8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>Change</v>
      </c>
      <c r="AQ7" s="207" t="s">
        <v>217</v>
      </c>
      <c r="AR7" s="207" t="s">
        <v>140</v>
      </c>
      <c r="AS7" s="207">
        <v>19</v>
      </c>
      <c r="AT7" s="207" t="s">
        <v>218</v>
      </c>
      <c r="AV7" s="168">
        <f>IF( LEN( AS7 ) = 0, 99, RANK( AS7, $AS$7:$AS$63 ) )</f>
        <v>17</v>
      </c>
      <c r="AW7" s="168">
        <f>COUNTIF( AV7:AV$7, AV7 )</f>
        <v>1</v>
      </c>
      <c r="AX7" s="208">
        <f>AV7 + AW7 / 10</f>
        <v>17.100000000000001</v>
      </c>
      <c r="AY7" s="168">
        <f>RANK( AX7, $AX$7:$AX$63, 1 )</f>
        <v>17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20</v>
      </c>
      <c r="BF7" s="173" t="str">
        <f t="shared" ref="BF7:BI38" ca="1" si="7">OFFSET( AQ$6, $BD7, 0 )</f>
        <v>Eversource Energy</v>
      </c>
      <c r="BG7" s="173" t="str">
        <f t="shared" ca="1" si="7"/>
        <v>A+</v>
      </c>
      <c r="BH7" s="173">
        <f t="shared" ca="1" si="7"/>
        <v>22</v>
      </c>
      <c r="BI7" s="173" t="str">
        <f t="shared" ca="1" si="7"/>
        <v>ES</v>
      </c>
    </row>
    <row r="8" spans="1:61" ht="13.8" x14ac:dyDescent="0.25">
      <c r="A8" s="223" t="s">
        <v>215</v>
      </c>
      <c r="B8" s="224" t="s">
        <v>166</v>
      </c>
      <c r="C8" s="224">
        <v>21</v>
      </c>
      <c r="D8" s="224" t="s">
        <v>216</v>
      </c>
      <c r="E8" s="225" t="str">
        <f t="shared" ref="E8:E61" ca="1" si="8">IF( LEN( $G8 ) = 0, "", OFFSET( INDIRECT( E$3 &amp; E$4 ), $G8 - 1, 0 ) )</f>
        <v>R</v>
      </c>
      <c r="F8" s="348"/>
      <c r="G8" s="349">
        <f t="shared" ca="1" si="1"/>
        <v>58</v>
      </c>
      <c r="H8" s="350"/>
      <c r="I8" s="233"/>
      <c r="J8" s="213" t="s">
        <v>137</v>
      </c>
      <c r="K8" s="233"/>
      <c r="L8" s="213">
        <f t="shared" ref="L8:L13" si="9">COUNTIF($C$7:$C$67,$X8)</f>
        <v>3</v>
      </c>
      <c r="M8" s="214">
        <f t="shared" ref="M8:M13" si="10">IF( L8 = 0, "", L8/L$14 )</f>
        <v>6.1224489795918366E-2</v>
      </c>
      <c r="N8" s="233"/>
      <c r="O8" s="213">
        <f t="shared" ref="O8:O13" ca="1" si="11">COUNTIFS( $E$7:$E$66, O$3, $C$7:$C$66, $X8 )</f>
        <v>2</v>
      </c>
      <c r="P8" s="214">
        <f t="shared" ref="P8:P13" ca="1" si="12">IF( O8 = 0, "", O8/O$14 )</f>
        <v>5.7142857142857141E-2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7.1428571428571425E-2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7">SUM(O8, R8, U8)</f>
        <v>3</v>
      </c>
      <c r="AC8" s="351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7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7</v>
      </c>
      <c r="BF8" s="173" t="str">
        <f t="shared" ca="1" si="7"/>
        <v>Berkshire Energy Holdings Company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**BRK</v>
      </c>
    </row>
    <row r="9" spans="1:61" ht="13.8" x14ac:dyDescent="0.25">
      <c r="A9" s="223" t="s">
        <v>219</v>
      </c>
      <c r="B9" s="224" t="s">
        <v>139</v>
      </c>
      <c r="C9" s="224">
        <v>20</v>
      </c>
      <c r="D9" s="224" t="s">
        <v>220</v>
      </c>
      <c r="E9" s="225" t="str">
        <f t="shared" ca="1" si="8"/>
        <v>R</v>
      </c>
      <c r="F9" s="348"/>
      <c r="G9" s="349">
        <f t="shared" ca="1" si="1"/>
        <v>8</v>
      </c>
      <c r="H9" s="350"/>
      <c r="I9" s="234"/>
      <c r="J9" s="215" t="s">
        <v>139</v>
      </c>
      <c r="K9" s="234"/>
      <c r="L9" s="215">
        <f t="shared" si="9"/>
        <v>14</v>
      </c>
      <c r="M9" s="216">
        <f t="shared" si="10"/>
        <v>0.2857142857142857</v>
      </c>
      <c r="N9" s="234"/>
      <c r="O9" s="215">
        <f t="shared" ca="1" si="11"/>
        <v>12</v>
      </c>
      <c r="P9" s="216">
        <f t="shared" ca="1" si="12"/>
        <v>0.34285714285714286</v>
      </c>
      <c r="Q9" s="234"/>
      <c r="R9" s="215">
        <f t="shared" ca="1" si="13"/>
        <v>2</v>
      </c>
      <c r="S9" s="216">
        <f t="shared" ca="1" si="14"/>
        <v>0.14285714285714285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7"/>
        <v>14</v>
      </c>
      <c r="AC9" s="351"/>
      <c r="AE9" s="184"/>
      <c r="AF9" s="169">
        <f t="shared" si="2"/>
        <v>1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si="21"/>
        <v>17</v>
      </c>
      <c r="AW9" s="168">
        <f>COUNTIF( AV$7:AV9, AV9 )</f>
        <v>2</v>
      </c>
      <c r="AX9" s="208">
        <f t="shared" si="22"/>
        <v>17.2</v>
      </c>
      <c r="AY9" s="168">
        <f t="shared" si="23"/>
        <v>18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ht="13.8" x14ac:dyDescent="0.25">
      <c r="A10" s="223" t="s">
        <v>222</v>
      </c>
      <c r="B10" s="224" t="s">
        <v>139</v>
      </c>
      <c r="C10" s="224">
        <v>20</v>
      </c>
      <c r="D10" s="224" t="s">
        <v>223</v>
      </c>
      <c r="E10" s="225" t="str">
        <f t="shared" ca="1" si="8"/>
        <v>R</v>
      </c>
      <c r="F10" s="348"/>
      <c r="G10" s="349">
        <f t="shared" ca="1" si="1"/>
        <v>10</v>
      </c>
      <c r="H10" s="350"/>
      <c r="I10" s="234"/>
      <c r="J10" s="215" t="s">
        <v>140</v>
      </c>
      <c r="K10" s="234"/>
      <c r="L10" s="215">
        <f t="shared" si="9"/>
        <v>17</v>
      </c>
      <c r="M10" s="216">
        <f t="shared" si="10"/>
        <v>0.34693877551020408</v>
      </c>
      <c r="N10" s="234"/>
      <c r="O10" s="215">
        <f t="shared" ca="1" si="11"/>
        <v>10</v>
      </c>
      <c r="P10" s="216">
        <f t="shared" ca="1" si="12"/>
        <v>0.2857142857142857</v>
      </c>
      <c r="Q10" s="234"/>
      <c r="R10" s="215">
        <f t="shared" ca="1" si="13"/>
        <v>7</v>
      </c>
      <c r="S10" s="216">
        <f t="shared" ca="1" si="14"/>
        <v>0.5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229</v>
      </c>
      <c r="Y10" s="186">
        <v>19</v>
      </c>
      <c r="Z10" s="186">
        <v>1</v>
      </c>
      <c r="AA10" s="185">
        <f t="shared" ca="1" si="17"/>
        <v>17</v>
      </c>
      <c r="AE10" s="184"/>
      <c r="AF10" s="169">
        <f t="shared" si="2"/>
        <v>1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222</v>
      </c>
      <c r="AR10" s="207" t="s">
        <v>139</v>
      </c>
      <c r="AS10" s="207">
        <v>20</v>
      </c>
      <c r="AT10" s="207" t="s">
        <v>223</v>
      </c>
      <c r="AV10" s="168">
        <f t="shared" si="21"/>
        <v>3</v>
      </c>
      <c r="AW10" s="168">
        <f>COUNTIF( AV$7:AV10, AV10 )</f>
        <v>2</v>
      </c>
      <c r="AX10" s="208">
        <f t="shared" si="22"/>
        <v>3.2</v>
      </c>
      <c r="AY10" s="168">
        <f t="shared" si="23"/>
        <v>4</v>
      </c>
      <c r="AZ10" s="169"/>
      <c r="BA10" s="169"/>
      <c r="BC10" s="168">
        <f t="shared" ca="1" si="24"/>
        <v>4</v>
      </c>
      <c r="BD10" s="209">
        <f t="shared" ca="1" si="6"/>
        <v>4</v>
      </c>
      <c r="BF10" s="173" t="str">
        <f t="shared" ca="1" si="7"/>
        <v>American Electric Power Company,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AEP</v>
      </c>
    </row>
    <row r="11" spans="1:61" ht="13.8" x14ac:dyDescent="0.25">
      <c r="A11" s="223" t="s">
        <v>249</v>
      </c>
      <c r="B11" s="224" t="s">
        <v>139</v>
      </c>
      <c r="C11" s="224">
        <v>20</v>
      </c>
      <c r="D11" s="224" t="s">
        <v>250</v>
      </c>
      <c r="E11" s="225" t="str">
        <f t="shared" ca="1" si="8"/>
        <v>MR</v>
      </c>
      <c r="F11" s="348"/>
      <c r="G11" s="349">
        <f t="shared" ca="1" si="1"/>
        <v>14</v>
      </c>
      <c r="H11" s="350"/>
      <c r="I11" s="234"/>
      <c r="J11" s="215" t="s">
        <v>141</v>
      </c>
      <c r="K11" s="234"/>
      <c r="L11" s="215">
        <f t="shared" si="9"/>
        <v>9</v>
      </c>
      <c r="M11" s="216">
        <f t="shared" si="10"/>
        <v>0.18367346938775511</v>
      </c>
      <c r="N11" s="234"/>
      <c r="O11" s="215">
        <f t="shared" ca="1" si="11"/>
        <v>7</v>
      </c>
      <c r="P11" s="216">
        <f t="shared" ca="1" si="12"/>
        <v>0.2</v>
      </c>
      <c r="Q11" s="234"/>
      <c r="R11" s="215">
        <f t="shared" ca="1" si="13"/>
        <v>2</v>
      </c>
      <c r="S11" s="216">
        <f t="shared" ca="1" si="14"/>
        <v>0.14285714285714285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7"/>
        <v>9</v>
      </c>
      <c r="AE11" s="184"/>
      <c r="AF11" s="169">
        <f t="shared" si="2"/>
        <v>1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233</v>
      </c>
      <c r="AR11" s="207" t="s">
        <v>140</v>
      </c>
      <c r="AS11" s="207">
        <v>19</v>
      </c>
      <c r="AT11" s="207" t="s">
        <v>234</v>
      </c>
      <c r="AV11" s="168">
        <f t="shared" si="21"/>
        <v>17</v>
      </c>
      <c r="AW11" s="168">
        <f>COUNTIF( AV$7:AV11, AV11 )</f>
        <v>3</v>
      </c>
      <c r="AX11" s="208">
        <f t="shared" si="22"/>
        <v>17.3</v>
      </c>
      <c r="AY11" s="168">
        <f t="shared" si="23"/>
        <v>19</v>
      </c>
      <c r="AZ11" s="169"/>
      <c r="BA11" s="169"/>
      <c r="BC11" s="168">
        <f t="shared" ca="1" si="24"/>
        <v>5</v>
      </c>
      <c r="BD11" s="209">
        <f t="shared" ca="1" si="6"/>
        <v>9</v>
      </c>
      <c r="BF11" s="173" t="str">
        <f t="shared" ca="1" si="7"/>
        <v>CenterPoint Energy,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CNP</v>
      </c>
    </row>
    <row r="12" spans="1:61" ht="13.8" x14ac:dyDescent="0.25">
      <c r="A12" s="223" t="s">
        <v>227</v>
      </c>
      <c r="B12" s="224" t="s">
        <v>139</v>
      </c>
      <c r="C12" s="224">
        <v>20</v>
      </c>
      <c r="D12" s="224" t="s">
        <v>228</v>
      </c>
      <c r="E12" s="225" t="str">
        <f t="shared" ca="1" si="8"/>
        <v>R</v>
      </c>
      <c r="F12" s="348"/>
      <c r="G12" s="349">
        <f t="shared" ca="1" si="1"/>
        <v>16</v>
      </c>
      <c r="H12" s="350"/>
      <c r="I12" s="234"/>
      <c r="J12" s="215" t="s">
        <v>142</v>
      </c>
      <c r="K12" s="234"/>
      <c r="L12" s="215">
        <f t="shared" si="9"/>
        <v>5</v>
      </c>
      <c r="M12" s="216">
        <f t="shared" si="10"/>
        <v>0.10204081632653061</v>
      </c>
      <c r="N12" s="234"/>
      <c r="O12" s="215">
        <f t="shared" ca="1" si="11"/>
        <v>4</v>
      </c>
      <c r="P12" s="216">
        <f t="shared" ca="1" si="12"/>
        <v>0.11428571428571428</v>
      </c>
      <c r="Q12" s="234"/>
      <c r="R12" s="215">
        <f t="shared" ca="1" si="13"/>
        <v>1</v>
      </c>
      <c r="S12" s="216">
        <f t="shared" ca="1" si="14"/>
        <v>7.1428571428571425E-2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237</v>
      </c>
      <c r="Y12" s="186">
        <v>17</v>
      </c>
      <c r="Z12" s="186">
        <v>1</v>
      </c>
      <c r="AA12" s="185">
        <f t="shared" ca="1" si="17"/>
        <v>5</v>
      </c>
      <c r="AE12" s="184"/>
      <c r="AF12" s="169">
        <f t="shared" si="2"/>
        <v>1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238</v>
      </c>
      <c r="AR12" s="207" t="s">
        <v>141</v>
      </c>
      <c r="AS12" s="207">
        <v>18</v>
      </c>
      <c r="AT12" s="207" t="s">
        <v>239</v>
      </c>
      <c r="AV12" s="168">
        <f t="shared" si="21"/>
        <v>34</v>
      </c>
      <c r="AW12" s="168">
        <f>COUNTIF( AV$7:AV12, AV12 )</f>
        <v>1</v>
      </c>
      <c r="AX12" s="208">
        <f t="shared" si="22"/>
        <v>34.1</v>
      </c>
      <c r="AY12" s="168">
        <f t="shared" si="23"/>
        <v>34</v>
      </c>
      <c r="AZ12" s="169"/>
      <c r="BA12" s="169"/>
      <c r="BC12" s="168">
        <f t="shared" ca="1" si="24"/>
        <v>6</v>
      </c>
      <c r="BD12" s="209">
        <f t="shared" ca="1" si="6"/>
        <v>12</v>
      </c>
      <c r="BF12" s="173" t="str">
        <f t="shared" ca="1" si="7"/>
        <v>Consolidated Edison,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ED</v>
      </c>
    </row>
    <row r="13" spans="1:61" ht="13.8" x14ac:dyDescent="0.25">
      <c r="A13" s="223" t="s">
        <v>263</v>
      </c>
      <c r="B13" s="224" t="s">
        <v>139</v>
      </c>
      <c r="C13" s="224">
        <v>20</v>
      </c>
      <c r="D13" s="224" t="s">
        <v>264</v>
      </c>
      <c r="E13" s="225" t="str">
        <f t="shared" ca="1" si="8"/>
        <v>R</v>
      </c>
      <c r="F13" s="348"/>
      <c r="G13" s="349">
        <f t="shared" ca="1" si="1"/>
        <v>19</v>
      </c>
      <c r="H13" s="350"/>
      <c r="I13" s="235"/>
      <c r="J13" s="217" t="s">
        <v>143</v>
      </c>
      <c r="K13" s="235"/>
      <c r="L13" s="217">
        <f t="shared" si="9"/>
        <v>1</v>
      </c>
      <c r="M13" s="218">
        <f t="shared" si="10"/>
        <v>2.0408163265306121E-2</v>
      </c>
      <c r="N13" s="235"/>
      <c r="O13" s="217">
        <f t="shared" ca="1" si="11"/>
        <v>0</v>
      </c>
      <c r="P13" s="218" t="str">
        <f t="shared" ca="1" si="12"/>
        <v/>
      </c>
      <c r="Q13" s="235"/>
      <c r="R13" s="217">
        <f t="shared" ca="1" si="13"/>
        <v>1</v>
      </c>
      <c r="S13" s="218">
        <f t="shared" ca="1" si="14"/>
        <v>7.1428571428571425E-2</v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242</v>
      </c>
      <c r="Y13" s="186">
        <v>16</v>
      </c>
      <c r="Z13" s="186">
        <v>1</v>
      </c>
      <c r="AA13" s="188">
        <f t="shared" ca="1" si="17"/>
        <v>1</v>
      </c>
      <c r="AE13" s="184"/>
      <c r="AF13" s="169">
        <f t="shared" si="2"/>
        <v>1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215</v>
      </c>
      <c r="AR13" s="207" t="s">
        <v>166</v>
      </c>
      <c r="AS13" s="207">
        <v>21</v>
      </c>
      <c r="AT13" s="207" t="s">
        <v>216</v>
      </c>
      <c r="AV13" s="168">
        <f t="shared" si="21"/>
        <v>2</v>
      </c>
      <c r="AW13" s="168">
        <f>COUNTIF( AV$7:AV13, AV13 )</f>
        <v>1</v>
      </c>
      <c r="AX13" s="208">
        <f t="shared" si="22"/>
        <v>2.1</v>
      </c>
      <c r="AY13" s="168">
        <f t="shared" si="23"/>
        <v>2</v>
      </c>
      <c r="AZ13" s="169"/>
      <c r="BA13" s="169"/>
      <c r="BC13" s="168">
        <f t="shared" ca="1" si="24"/>
        <v>7</v>
      </c>
      <c r="BD13" s="209">
        <f t="shared" ca="1" si="6"/>
        <v>16</v>
      </c>
      <c r="BF13" s="173" t="str">
        <f t="shared" ca="1" si="7"/>
        <v>Duke Energy Corporation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DUK</v>
      </c>
    </row>
    <row r="14" spans="1:61" ht="13.8" x14ac:dyDescent="0.25">
      <c r="A14" s="223" t="s">
        <v>240</v>
      </c>
      <c r="B14" s="224" t="s">
        <v>139</v>
      </c>
      <c r="C14" s="224">
        <v>20</v>
      </c>
      <c r="D14" s="224" t="s">
        <v>241</v>
      </c>
      <c r="E14" s="225" t="str">
        <f t="shared" ca="1" si="8"/>
        <v>MR</v>
      </c>
      <c r="F14" s="348"/>
      <c r="G14" s="349">
        <f t="shared" ca="1" si="1"/>
        <v>32</v>
      </c>
      <c r="H14" s="350"/>
      <c r="I14" s="236"/>
      <c r="J14" s="211" t="s">
        <v>144</v>
      </c>
      <c r="K14" s="236"/>
      <c r="L14" s="211">
        <f>SUM(L8:L13)</f>
        <v>49</v>
      </c>
      <c r="M14" s="212">
        <f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14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18.959183673469386</v>
      </c>
      <c r="Z14" s="190"/>
      <c r="AA14" s="189">
        <f ca="1">SUM(AA8:AA13)</f>
        <v>49</v>
      </c>
      <c r="AE14" s="184"/>
      <c r="AF14" s="169">
        <f t="shared" si="2"/>
        <v>1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245</v>
      </c>
      <c r="AR14" s="207" t="s">
        <v>141</v>
      </c>
      <c r="AS14" s="207">
        <v>18</v>
      </c>
      <c r="AT14" s="207" t="s">
        <v>246</v>
      </c>
      <c r="AV14" s="168">
        <f>IF( LEN( AS14 ) = 0, 99, RANK( AS14, $AS$7:$AS$63 ) )</f>
        <v>34</v>
      </c>
      <c r="AW14" s="168">
        <f>COUNTIF( AV$7:AV14, AV14 )</f>
        <v>2</v>
      </c>
      <c r="AX14" s="208">
        <f t="shared" si="22"/>
        <v>34.200000000000003</v>
      </c>
      <c r="AY14" s="168">
        <f t="shared" si="23"/>
        <v>35</v>
      </c>
      <c r="AZ14" s="169"/>
      <c r="BA14" s="169"/>
      <c r="BC14" s="168">
        <f t="shared" ca="1" si="24"/>
        <v>8</v>
      </c>
      <c r="BD14" s="209">
        <f t="shared" ca="1" si="6"/>
        <v>28</v>
      </c>
      <c r="BF14" s="173" t="str">
        <f t="shared" ca="1" si="7"/>
        <v>NextEra Energy,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NEE</v>
      </c>
    </row>
    <row r="15" spans="1:61" ht="13.8" x14ac:dyDescent="0.25">
      <c r="A15" s="223" t="s">
        <v>277</v>
      </c>
      <c r="B15" s="224" t="s">
        <v>139</v>
      </c>
      <c r="C15" s="224">
        <v>20</v>
      </c>
      <c r="D15" s="224" t="s">
        <v>278</v>
      </c>
      <c r="E15" s="225" t="str">
        <f t="shared" ca="1" si="8"/>
        <v>R</v>
      </c>
      <c r="F15" s="348"/>
      <c r="G15" s="349">
        <f t="shared" ca="1" si="1"/>
        <v>35</v>
      </c>
      <c r="H15" s="350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1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249</v>
      </c>
      <c r="AR15" s="207" t="s">
        <v>139</v>
      </c>
      <c r="AS15" s="207">
        <v>20</v>
      </c>
      <c r="AT15" s="207" t="s">
        <v>250</v>
      </c>
      <c r="AV15" s="168">
        <f t="shared" si="21"/>
        <v>3</v>
      </c>
      <c r="AW15" s="168">
        <f>COUNTIF( AV$7:AV15, AV15 )</f>
        <v>3</v>
      </c>
      <c r="AX15" s="208">
        <f t="shared" si="22"/>
        <v>3.3</v>
      </c>
      <c r="AY15" s="168">
        <f t="shared" si="23"/>
        <v>5</v>
      </c>
      <c r="AZ15" s="169"/>
      <c r="BA15" s="169"/>
      <c r="BC15" s="168">
        <f t="shared" ca="1" si="24"/>
        <v>9</v>
      </c>
      <c r="BD15" s="209">
        <f t="shared" ca="1" si="6"/>
        <v>31</v>
      </c>
      <c r="BF15" s="173" t="str">
        <f t="shared" ca="1" si="7"/>
        <v>OGE Energy Corp.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OGE</v>
      </c>
    </row>
    <row r="16" spans="1:61" ht="13.8" x14ac:dyDescent="0.25">
      <c r="A16" s="223" t="s">
        <v>301</v>
      </c>
      <c r="B16" s="224" t="s">
        <v>139</v>
      </c>
      <c r="C16" s="224">
        <v>20</v>
      </c>
      <c r="D16" s="224" t="s">
        <v>302</v>
      </c>
      <c r="E16" s="225" t="str">
        <f t="shared" ca="1" si="8"/>
        <v>R</v>
      </c>
      <c r="F16" s="348"/>
      <c r="G16" s="349">
        <f t="shared" ca="1" si="1"/>
        <v>37</v>
      </c>
      <c r="H16" s="350"/>
      <c r="I16" s="232"/>
      <c r="J16" s="210" t="s">
        <v>253</v>
      </c>
      <c r="K16" s="232"/>
      <c r="L16" s="386">
        <f t="array" ref="L16">SUM( IF( LEN( $C$7:$C$65 ) = 0, 0, $C$7:$C$65 ) ) / SUM( IF( LEN( $C$7:$C$65 ) = 0, 0, 1  ) )</f>
        <v>19</v>
      </c>
      <c r="M16" s="387"/>
      <c r="N16" s="232"/>
      <c r="O16" s="386">
        <f t="array" aca="1" ref="O16" ca="1">SUM( IF( LEN( $C$7:$C$65 ) = 0, 0, IF( $E$7:$E$65 = O3, $C$7:$C$65, 0 ) ) ) / SUM( IF( LEN( $C$7:$C$65 ) = 0, 0, IF( $E$7:$E$65 = O3, 1, 0 ) ) )</f>
        <v>19.057142857142857</v>
      </c>
      <c r="P16" s="387"/>
      <c r="Q16" s="232"/>
      <c r="R16" s="386">
        <f t="array" aca="1" ref="R16" ca="1">SUM( IF( LEN( $C$7:$C$65 ) = 0, 0, IF( $E$7:$E$65 = R3, $C$7:$C$65, 0 ) ) ) / SUM( IF( LEN( $C$7:$C$65 ) = 0, 0, IF( $E$7:$E$65 = R3, 1, 0 ) ) )</f>
        <v>18.857142857142858</v>
      </c>
      <c r="S16" s="387"/>
      <c r="T16" s="232"/>
      <c r="U16" s="386" t="e">
        <f t="array" aca="1" ref="U16" ca="1">SUM( IF( LEN( $C$7:$C$65 ) = 0, 0, IF( $E$7:$E$65 = U3, $C$7:$C$65, 0 ) ) ) / SUM( IF( LEN( $C$7:$C$65 ) = 0, 0, IF( $E$7:$E$65 = U3, 1, 0 ) ) )</f>
        <v>#DIV/0!</v>
      </c>
      <c r="V16" s="388"/>
      <c r="W16" s="232"/>
      <c r="AE16" s="184"/>
      <c r="AF16" s="169">
        <f t="shared" si="2"/>
        <v>1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254</v>
      </c>
      <c r="AR16" s="207" t="s">
        <v>142</v>
      </c>
      <c r="AS16" s="207">
        <v>17</v>
      </c>
      <c r="AT16" s="207" t="s">
        <v>255</v>
      </c>
      <c r="AV16" s="168">
        <f t="shared" si="21"/>
        <v>43</v>
      </c>
      <c r="AW16" s="168">
        <f>COUNTIF( AV$7:AV16, AV16 )</f>
        <v>1</v>
      </c>
      <c r="AX16" s="208">
        <f t="shared" si="22"/>
        <v>43.1</v>
      </c>
      <c r="AY16" s="168">
        <f t="shared" si="23"/>
        <v>43</v>
      </c>
      <c r="AZ16" s="169"/>
      <c r="BA16" s="169"/>
      <c r="BC16" s="168">
        <f t="shared" ca="1" si="24"/>
        <v>10</v>
      </c>
      <c r="BD16" s="209">
        <f t="shared" ca="1" si="6"/>
        <v>34</v>
      </c>
      <c r="BF16" s="173" t="str">
        <f t="shared" ca="1" si="7"/>
        <v>PG&amp;E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PCG</v>
      </c>
    </row>
    <row r="17" spans="1:61" ht="13.8" x14ac:dyDescent="0.25">
      <c r="A17" s="223" t="s">
        <v>281</v>
      </c>
      <c r="B17" s="224" t="s">
        <v>139</v>
      </c>
      <c r="C17" s="224">
        <v>20</v>
      </c>
      <c r="D17" s="224" t="s">
        <v>282</v>
      </c>
      <c r="E17" s="225" t="str">
        <f t="shared" ca="1" si="8"/>
        <v>R</v>
      </c>
      <c r="F17" s="348"/>
      <c r="G17" s="349">
        <f t="shared" ca="1" si="1"/>
        <v>38</v>
      </c>
      <c r="H17" s="350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1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256</v>
      </c>
      <c r="AR17" s="207" t="s">
        <v>140</v>
      </c>
      <c r="AS17" s="207">
        <v>19</v>
      </c>
      <c r="AT17" s="207" t="s">
        <v>257</v>
      </c>
      <c r="AV17" s="168">
        <f t="shared" si="21"/>
        <v>17</v>
      </c>
      <c r="AW17" s="168">
        <f>COUNTIF( AV$7:AV17, AV17 )</f>
        <v>4</v>
      </c>
      <c r="AX17" s="208">
        <f t="shared" si="22"/>
        <v>17.399999999999999</v>
      </c>
      <c r="AY17" s="168">
        <f t="shared" si="23"/>
        <v>20</v>
      </c>
      <c r="AZ17" s="169"/>
      <c r="BA17" s="169"/>
      <c r="BC17" s="168">
        <f t="shared" ca="1" si="24"/>
        <v>11</v>
      </c>
      <c r="BD17" s="209">
        <f t="shared" ca="1" si="6"/>
        <v>35</v>
      </c>
      <c r="BF17" s="173" t="str">
        <f t="shared" ca="1" si="7"/>
        <v>Pinnacle West Capital Corporation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PNW</v>
      </c>
    </row>
    <row r="18" spans="1:61" ht="13.8" x14ac:dyDescent="0.25">
      <c r="A18" s="223" t="s">
        <v>243</v>
      </c>
      <c r="B18" s="224" t="s">
        <v>139</v>
      </c>
      <c r="C18" s="224">
        <v>20</v>
      </c>
      <c r="D18" s="224" t="s">
        <v>244</v>
      </c>
      <c r="E18" s="225" t="str">
        <f t="shared" ca="1" si="8"/>
        <v>R</v>
      </c>
      <c r="F18" s="348"/>
      <c r="G18" s="349">
        <f t="shared" ca="1" si="1"/>
        <v>41</v>
      </c>
      <c r="H18" s="350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1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227</v>
      </c>
      <c r="AR18" s="207" t="s">
        <v>139</v>
      </c>
      <c r="AS18" s="207">
        <v>20</v>
      </c>
      <c r="AT18" s="207" t="s">
        <v>228</v>
      </c>
      <c r="AV18" s="168">
        <f t="shared" si="21"/>
        <v>3</v>
      </c>
      <c r="AW18" s="168">
        <f>COUNTIF( AV$7:AV18, AV18 )</f>
        <v>4</v>
      </c>
      <c r="AX18" s="208">
        <f t="shared" si="22"/>
        <v>3.4</v>
      </c>
      <c r="AY18" s="168">
        <f t="shared" si="23"/>
        <v>6</v>
      </c>
      <c r="AZ18" s="169"/>
      <c r="BA18" s="169"/>
      <c r="BC18" s="168">
        <f t="shared" ca="1" si="24"/>
        <v>12</v>
      </c>
      <c r="BD18" s="209">
        <f t="shared" ca="1" si="6"/>
        <v>38</v>
      </c>
      <c r="BF18" s="173" t="str">
        <f t="shared" ca="1" si="7"/>
        <v>PPL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PPL</v>
      </c>
    </row>
    <row r="19" spans="1:61" ht="13.8" x14ac:dyDescent="0.25">
      <c r="A19" s="223" t="s">
        <v>293</v>
      </c>
      <c r="B19" s="224" t="s">
        <v>139</v>
      </c>
      <c r="C19" s="224">
        <v>20</v>
      </c>
      <c r="D19" s="224" t="s">
        <v>294</v>
      </c>
      <c r="E19" s="225" t="str">
        <f t="shared" ca="1" si="8"/>
        <v>R</v>
      </c>
      <c r="F19" s="348"/>
      <c r="G19" s="349">
        <f t="shared" ca="1" si="1"/>
        <v>45</v>
      </c>
      <c r="H19" s="350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258</v>
      </c>
      <c r="AR19" s="207" t="s">
        <v>140</v>
      </c>
      <c r="AS19" s="207">
        <v>19</v>
      </c>
      <c r="AT19" s="207" t="s">
        <v>194</v>
      </c>
      <c r="AV19" s="168">
        <f t="shared" si="21"/>
        <v>17</v>
      </c>
      <c r="AW19" s="168">
        <f>COUNTIF( AV$7:AV19, AV19 )</f>
        <v>5</v>
      </c>
      <c r="AX19" s="208">
        <f t="shared" si="22"/>
        <v>17.5</v>
      </c>
      <c r="AY19" s="168">
        <f t="shared" si="23"/>
        <v>21</v>
      </c>
      <c r="AZ19" s="169"/>
      <c r="BA19" s="169"/>
      <c r="BC19" s="168">
        <f t="shared" ca="1" si="24"/>
        <v>13</v>
      </c>
      <c r="BD19" s="209">
        <f t="shared" ca="1" si="6"/>
        <v>43</v>
      </c>
      <c r="BF19" s="173" t="str">
        <f t="shared" ca="1" si="7"/>
        <v>Southern Company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SO</v>
      </c>
    </row>
    <row r="20" spans="1:61" ht="13.8" x14ac:dyDescent="0.25">
      <c r="A20" s="223" t="s">
        <v>345</v>
      </c>
      <c r="B20" s="224" t="s">
        <v>139</v>
      </c>
      <c r="C20" s="224">
        <v>20</v>
      </c>
      <c r="D20" s="224" t="s">
        <v>346</v>
      </c>
      <c r="E20" s="225" t="str">
        <f t="shared" ca="1" si="8"/>
        <v>R</v>
      </c>
      <c r="F20" s="348"/>
      <c r="G20" s="349">
        <f t="shared" ca="1" si="1"/>
        <v>47</v>
      </c>
      <c r="H20" s="350"/>
      <c r="I20" s="352"/>
      <c r="K20" s="352"/>
      <c r="N20" s="352"/>
      <c r="O20" s="173"/>
      <c r="Q20" s="352"/>
      <c r="T20" s="352"/>
      <c r="W20" s="352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259</v>
      </c>
      <c r="AR20" s="207" t="s">
        <v>175</v>
      </c>
      <c r="AS20" s="207">
        <v>15</v>
      </c>
      <c r="AT20" s="207" t="s">
        <v>260</v>
      </c>
      <c r="AV20" s="168">
        <f t="shared" si="21"/>
        <v>48</v>
      </c>
      <c r="AW20" s="168">
        <f>COUNTIF( AV$7:AV20, AV20 )</f>
        <v>1</v>
      </c>
      <c r="AX20" s="208">
        <f t="shared" si="22"/>
        <v>48.1</v>
      </c>
      <c r="AY20" s="168">
        <f t="shared" si="23"/>
        <v>48</v>
      </c>
      <c r="AZ20" s="169"/>
      <c r="BA20" s="169"/>
      <c r="BC20" s="168">
        <f t="shared" ca="1" si="24"/>
        <v>14</v>
      </c>
      <c r="BD20" s="209">
        <f t="shared" ca="1" si="6"/>
        <v>45</v>
      </c>
      <c r="BF20" s="173" t="str">
        <f t="shared" ca="1" si="7"/>
        <v>Vectren Corporation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VVC</v>
      </c>
    </row>
    <row r="21" spans="1:61" ht="13.8" x14ac:dyDescent="0.25">
      <c r="A21" s="223" t="s">
        <v>247</v>
      </c>
      <c r="B21" s="224" t="s">
        <v>139</v>
      </c>
      <c r="C21" s="224">
        <v>20</v>
      </c>
      <c r="D21" s="224" t="s">
        <v>248</v>
      </c>
      <c r="E21" s="225" t="str">
        <f t="shared" ca="1" si="8"/>
        <v>R</v>
      </c>
      <c r="F21" s="348"/>
      <c r="G21" s="349">
        <f t="shared" ca="1" si="1"/>
        <v>48</v>
      </c>
      <c r="H21" s="350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A-</v>
      </c>
      <c r="AL21" s="169">
        <f t="shared" ca="1" si="20"/>
        <v>20</v>
      </c>
      <c r="AM21" s="169" t="str">
        <f t="shared" ca="1" si="4"/>
        <v/>
      </c>
      <c r="AQ21" s="207" t="s">
        <v>261</v>
      </c>
      <c r="AR21" s="207" t="s">
        <v>140</v>
      </c>
      <c r="AS21" s="207">
        <v>19</v>
      </c>
      <c r="AT21" s="207" t="s">
        <v>262</v>
      </c>
      <c r="AV21" s="168">
        <f t="shared" si="21"/>
        <v>17</v>
      </c>
      <c r="AW21" s="168">
        <f>COUNTIF( AV$7:AV21, AV21 )</f>
        <v>6</v>
      </c>
      <c r="AX21" s="208">
        <f t="shared" si="22"/>
        <v>17.600000000000001</v>
      </c>
      <c r="AY21" s="168">
        <f t="shared" si="23"/>
        <v>22</v>
      </c>
      <c r="AZ21" s="169"/>
      <c r="BA21" s="169"/>
      <c r="BC21" s="168">
        <f t="shared" ca="1" si="24"/>
        <v>15</v>
      </c>
      <c r="BD21" s="209">
        <f t="shared" ca="1" si="6"/>
        <v>47</v>
      </c>
      <c r="BF21" s="173" t="str">
        <f t="shared" ca="1" si="7"/>
        <v>Wisconsin Energy Corporation</v>
      </c>
      <c r="BG21" s="173" t="str">
        <f t="shared" ca="1" si="7"/>
        <v>A-</v>
      </c>
      <c r="BH21" s="173">
        <f t="shared" ca="1" si="7"/>
        <v>20</v>
      </c>
      <c r="BI21" s="173" t="str">
        <f t="shared" ca="1" si="7"/>
        <v>WEC</v>
      </c>
    </row>
    <row r="22" spans="1:61" ht="13.8" x14ac:dyDescent="0.25">
      <c r="A22" s="223" t="s">
        <v>251</v>
      </c>
      <c r="B22" s="224" t="s">
        <v>139</v>
      </c>
      <c r="C22" s="224">
        <v>20</v>
      </c>
      <c r="D22" s="224" t="s">
        <v>252</v>
      </c>
      <c r="E22" s="225" t="str">
        <f t="shared" ca="1" si="8"/>
        <v>R</v>
      </c>
      <c r="F22" s="348"/>
      <c r="G22" s="349">
        <f t="shared" ca="1" si="1"/>
        <v>50</v>
      </c>
      <c r="H22" s="350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A-</v>
      </c>
      <c r="AL22" s="169">
        <f t="shared" ca="1" si="20"/>
        <v>20</v>
      </c>
      <c r="AM22" s="169" t="str">
        <f t="shared" ca="1" si="4"/>
        <v/>
      </c>
      <c r="AQ22" s="207" t="s">
        <v>263</v>
      </c>
      <c r="AR22" s="207" t="s">
        <v>139</v>
      </c>
      <c r="AS22" s="207">
        <v>20</v>
      </c>
      <c r="AT22" s="207" t="s">
        <v>264</v>
      </c>
      <c r="AV22" s="168">
        <f t="shared" si="21"/>
        <v>3</v>
      </c>
      <c r="AW22" s="168">
        <f>COUNTIF( AV$7:AV22, AV22 )</f>
        <v>5</v>
      </c>
      <c r="AX22" s="208">
        <f t="shared" si="22"/>
        <v>3.5</v>
      </c>
      <c r="AY22" s="168">
        <f t="shared" si="23"/>
        <v>7</v>
      </c>
      <c r="AZ22" s="169"/>
      <c r="BA22" s="169"/>
      <c r="BC22" s="168">
        <f t="shared" ca="1" si="24"/>
        <v>16</v>
      </c>
      <c r="BD22" s="209">
        <f t="shared" ca="1" si="6"/>
        <v>48</v>
      </c>
      <c r="BF22" s="173" t="str">
        <f t="shared" ca="1" si="7"/>
        <v>Xcel Energy Inc.</v>
      </c>
      <c r="BG22" s="173" t="str">
        <f t="shared" ca="1" si="7"/>
        <v>A-</v>
      </c>
      <c r="BH22" s="173">
        <f t="shared" ca="1" si="7"/>
        <v>20</v>
      </c>
      <c r="BI22" s="173" t="str">
        <f t="shared" ca="1" si="7"/>
        <v>XEL</v>
      </c>
    </row>
    <row r="23" spans="1:61" ht="13.8" x14ac:dyDescent="0.25">
      <c r="A23" s="223" t="s">
        <v>217</v>
      </c>
      <c r="B23" s="224" t="s">
        <v>140</v>
      </c>
      <c r="C23" s="224">
        <v>19</v>
      </c>
      <c r="D23" s="224" t="s">
        <v>218</v>
      </c>
      <c r="E23" s="225" t="str">
        <f t="shared" ca="1" si="8"/>
        <v>MR</v>
      </c>
      <c r="F23" s="348"/>
      <c r="G23" s="349">
        <f t="shared" ca="1" si="1"/>
        <v>7</v>
      </c>
      <c r="H23" s="350"/>
      <c r="I23" s="237"/>
      <c r="K23" s="237"/>
      <c r="N23" s="237"/>
      <c r="Q23" s="237"/>
      <c r="T23" s="237"/>
      <c r="W23" s="237"/>
      <c r="AE23" s="184"/>
      <c r="AF23" s="169">
        <f t="shared" si="2"/>
        <v>0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265</v>
      </c>
      <c r="AR23" s="207" t="s">
        <v>140</v>
      </c>
      <c r="AS23" s="207">
        <v>19</v>
      </c>
      <c r="AT23" s="207" t="s">
        <v>266</v>
      </c>
      <c r="AV23" s="168">
        <f t="shared" si="21"/>
        <v>17</v>
      </c>
      <c r="AW23" s="168">
        <f>COUNTIF( AV$7:AV23, AV23 )</f>
        <v>7</v>
      </c>
      <c r="AX23" s="208">
        <f t="shared" si="22"/>
        <v>17.7</v>
      </c>
      <c r="AY23" s="168">
        <f t="shared" si="23"/>
        <v>23</v>
      </c>
      <c r="AZ23" s="169"/>
      <c r="BA23" s="169"/>
      <c r="BC23" s="168">
        <f t="shared" ca="1" si="24"/>
        <v>17</v>
      </c>
      <c r="BD23" s="209">
        <f t="shared" ca="1" si="6"/>
        <v>1</v>
      </c>
      <c r="BF23" s="173" t="str">
        <f t="shared" ca="1" si="7"/>
        <v>ALLETE, Inc.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ALE</v>
      </c>
    </row>
    <row r="24" spans="1:61" ht="13.8" x14ac:dyDescent="0.25">
      <c r="A24" s="223" t="s">
        <v>225</v>
      </c>
      <c r="B24" s="224" t="s">
        <v>140</v>
      </c>
      <c r="C24" s="224">
        <v>19</v>
      </c>
      <c r="D24" s="224" t="s">
        <v>226</v>
      </c>
      <c r="E24" s="225" t="str">
        <f t="shared" ca="1" si="8"/>
        <v>R</v>
      </c>
      <c r="F24" s="348"/>
      <c r="G24" s="349">
        <f t="shared" ca="1" si="1"/>
        <v>9</v>
      </c>
      <c r="H24" s="350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0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328</v>
      </c>
      <c r="AR24" s="207" t="s">
        <v>141</v>
      </c>
      <c r="AS24" s="207">
        <v>18</v>
      </c>
      <c r="AT24" s="207" t="s">
        <v>331</v>
      </c>
      <c r="AV24" s="168">
        <f t="shared" si="21"/>
        <v>34</v>
      </c>
      <c r="AW24" s="168">
        <f>COUNTIF( AV$7:AV24, AV24 )</f>
        <v>3</v>
      </c>
      <c r="AX24" s="208">
        <f t="shared" si="22"/>
        <v>34.299999999999997</v>
      </c>
      <c r="AY24" s="168">
        <f t="shared" si="23"/>
        <v>36</v>
      </c>
      <c r="AZ24" s="169"/>
      <c r="BA24" s="169"/>
      <c r="BC24" s="168">
        <f t="shared" ca="1" si="24"/>
        <v>18</v>
      </c>
      <c r="BD24" s="209">
        <f t="shared" ca="1" si="6"/>
        <v>3</v>
      </c>
      <c r="BF24" s="173" t="str">
        <f t="shared" ca="1" si="7"/>
        <v>Ameren Corporation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AEE</v>
      </c>
    </row>
    <row r="25" spans="1:61" ht="13.8" x14ac:dyDescent="0.25">
      <c r="A25" s="223" t="s">
        <v>233</v>
      </c>
      <c r="B25" s="224" t="s">
        <v>140</v>
      </c>
      <c r="C25" s="224">
        <v>19</v>
      </c>
      <c r="D25" s="224" t="s">
        <v>234</v>
      </c>
      <c r="E25" s="225" t="str">
        <f t="shared" ca="1" si="8"/>
        <v>MR</v>
      </c>
      <c r="F25" s="348"/>
      <c r="G25" s="349">
        <f t="shared" ca="1" si="1"/>
        <v>11</v>
      </c>
      <c r="H25" s="350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0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267</v>
      </c>
      <c r="AR25" s="207" t="s">
        <v>140</v>
      </c>
      <c r="AS25" s="207">
        <v>19</v>
      </c>
      <c r="AT25" s="207" t="s">
        <v>268</v>
      </c>
      <c r="AV25" s="168">
        <f t="shared" si="21"/>
        <v>17</v>
      </c>
      <c r="AW25" s="168">
        <f>COUNTIF( AV$7:AV25, AV25 )</f>
        <v>8</v>
      </c>
      <c r="AX25" s="208">
        <f t="shared" si="22"/>
        <v>17.8</v>
      </c>
      <c r="AY25" s="168">
        <f t="shared" si="23"/>
        <v>24</v>
      </c>
      <c r="AZ25" s="169"/>
      <c r="BA25" s="169"/>
      <c r="BC25" s="168">
        <f t="shared" ca="1" si="24"/>
        <v>19</v>
      </c>
      <c r="BD25" s="209">
        <f t="shared" ca="1" si="6"/>
        <v>5</v>
      </c>
      <c r="BF25" s="173" t="str">
        <f t="shared" ca="1" si="7"/>
        <v>AVANGRID, Inc.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AGR</v>
      </c>
    </row>
    <row r="26" spans="1:61" ht="13.8" x14ac:dyDescent="0.25">
      <c r="A26" s="223" t="s">
        <v>256</v>
      </c>
      <c r="B26" s="224" t="s">
        <v>140</v>
      </c>
      <c r="C26" s="224">
        <v>19</v>
      </c>
      <c r="D26" s="224" t="s">
        <v>257</v>
      </c>
      <c r="E26" s="225" t="str">
        <f t="shared" ca="1" si="8"/>
        <v>R</v>
      </c>
      <c r="F26" s="348"/>
      <c r="G26" s="349">
        <f t="shared" ca="1" si="1"/>
        <v>15</v>
      </c>
      <c r="H26" s="350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0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235</v>
      </c>
      <c r="AR26" s="207" t="s">
        <v>164</v>
      </c>
      <c r="AS26" s="207">
        <v>22</v>
      </c>
      <c r="AT26" s="207" t="s">
        <v>236</v>
      </c>
      <c r="AV26" s="168">
        <f t="shared" si="21"/>
        <v>1</v>
      </c>
      <c r="AW26" s="168">
        <f>COUNTIF( AV$7:AV26, AV26 )</f>
        <v>1</v>
      </c>
      <c r="AX26" s="208">
        <f t="shared" si="22"/>
        <v>1.1000000000000001</v>
      </c>
      <c r="AY26" s="168">
        <f t="shared" si="23"/>
        <v>1</v>
      </c>
      <c r="AZ26" s="169"/>
      <c r="BA26" s="169"/>
      <c r="BC26" s="168">
        <f t="shared" ca="1" si="24"/>
        <v>20</v>
      </c>
      <c r="BD26" s="209">
        <f t="shared" ca="1" si="6"/>
        <v>11</v>
      </c>
      <c r="BF26" s="173" t="str">
        <f t="shared" ca="1" si="7"/>
        <v>CMS Energy Corporation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CMS</v>
      </c>
    </row>
    <row r="27" spans="1:61" ht="13.8" x14ac:dyDescent="0.25">
      <c r="A27" s="223" t="s">
        <v>258</v>
      </c>
      <c r="B27" s="224" t="s">
        <v>140</v>
      </c>
      <c r="C27" s="224">
        <v>19</v>
      </c>
      <c r="D27" s="224" t="s">
        <v>194</v>
      </c>
      <c r="E27" s="225" t="str">
        <f t="shared" ca="1" si="8"/>
        <v>MR</v>
      </c>
      <c r="F27" s="348"/>
      <c r="G27" s="349">
        <f t="shared" ca="1" si="1"/>
        <v>17</v>
      </c>
      <c r="H27" s="350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0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269</v>
      </c>
      <c r="AR27" s="207" t="s">
        <v>141</v>
      </c>
      <c r="AS27" s="207">
        <v>18</v>
      </c>
      <c r="AT27" s="207" t="s">
        <v>270</v>
      </c>
      <c r="AV27" s="168">
        <f t="shared" si="21"/>
        <v>34</v>
      </c>
      <c r="AW27" s="168">
        <f>COUNTIF( AV$7:AV27, AV27 )</f>
        <v>4</v>
      </c>
      <c r="AX27" s="208">
        <f t="shared" si="22"/>
        <v>34.4</v>
      </c>
      <c r="AY27" s="168">
        <f t="shared" si="23"/>
        <v>37</v>
      </c>
      <c r="AZ27" s="169"/>
      <c r="BA27" s="169"/>
      <c r="BC27" s="168">
        <f t="shared" ca="1" si="24"/>
        <v>21</v>
      </c>
      <c r="BD27" s="209">
        <f t="shared" ca="1" si="6"/>
        <v>13</v>
      </c>
      <c r="BF27" s="173" t="str">
        <f t="shared" ca="1" si="7"/>
        <v>Dominion Energy, Inc.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</v>
      </c>
    </row>
    <row r="28" spans="1:61" ht="13.8" x14ac:dyDescent="0.25">
      <c r="A28" s="223" t="s">
        <v>261</v>
      </c>
      <c r="B28" s="224" t="s">
        <v>140</v>
      </c>
      <c r="C28" s="224">
        <v>19</v>
      </c>
      <c r="D28" s="224" t="s">
        <v>262</v>
      </c>
      <c r="E28" s="225" t="str">
        <f t="shared" ca="1" si="8"/>
        <v>MR</v>
      </c>
      <c r="F28" s="348"/>
      <c r="G28" s="349">
        <f t="shared" ca="1" si="1"/>
        <v>18</v>
      </c>
      <c r="H28" s="350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0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275</v>
      </c>
      <c r="AR28" s="207" t="s">
        <v>142</v>
      </c>
      <c r="AS28" s="207">
        <v>17</v>
      </c>
      <c r="AT28" s="207" t="s">
        <v>276</v>
      </c>
      <c r="AV28" s="168">
        <f t="shared" si="21"/>
        <v>43</v>
      </c>
      <c r="AW28" s="168">
        <f>COUNTIF( AV$7:AV28, AV28 )</f>
        <v>2</v>
      </c>
      <c r="AX28" s="208">
        <f t="shared" si="22"/>
        <v>43.2</v>
      </c>
      <c r="AY28" s="168">
        <f t="shared" si="23"/>
        <v>44</v>
      </c>
      <c r="AZ28" s="169"/>
      <c r="BA28" s="169"/>
      <c r="BC28" s="168">
        <f t="shared" ca="1" si="24"/>
        <v>22</v>
      </c>
      <c r="BD28" s="209">
        <f t="shared" ca="1" si="6"/>
        <v>15</v>
      </c>
      <c r="BF28" s="173" t="str">
        <f t="shared" ca="1" si="7"/>
        <v>DTE Energy Company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DTE</v>
      </c>
    </row>
    <row r="29" spans="1:61" ht="13.8" x14ac:dyDescent="0.25">
      <c r="A29" s="223" t="s">
        <v>265</v>
      </c>
      <c r="B29" s="224" t="s">
        <v>140</v>
      </c>
      <c r="C29" s="224">
        <v>19</v>
      </c>
      <c r="D29" s="224" t="s">
        <v>266</v>
      </c>
      <c r="E29" s="225" t="str">
        <f t="shared" ca="1" si="8"/>
        <v>R</v>
      </c>
      <c r="F29" s="348"/>
      <c r="G29" s="349">
        <f t="shared" ca="1" si="1"/>
        <v>20</v>
      </c>
      <c r="H29" s="350"/>
      <c r="I29" s="237"/>
      <c r="J29" s="191"/>
      <c r="K29" s="237"/>
      <c r="N29" s="237"/>
      <c r="Q29" s="237"/>
      <c r="T29" s="237"/>
      <c r="W29" s="237"/>
      <c r="AF29" s="169">
        <f t="shared" si="2"/>
        <v>0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352</v>
      </c>
      <c r="AR29" s="207" t="s">
        <v>140</v>
      </c>
      <c r="AS29" s="207">
        <v>19</v>
      </c>
      <c r="AT29" s="207" t="s">
        <v>353</v>
      </c>
      <c r="AV29" s="168">
        <f t="shared" si="21"/>
        <v>17</v>
      </c>
      <c r="AW29" s="168">
        <f>COUNTIF( AV$7:AV29, AV29 )</f>
        <v>9</v>
      </c>
      <c r="AX29" s="208">
        <f t="shared" si="22"/>
        <v>17.899999999999999</v>
      </c>
      <c r="AY29" s="168">
        <f t="shared" si="23"/>
        <v>25</v>
      </c>
      <c r="AZ29" s="169"/>
      <c r="BA29" s="169"/>
      <c r="BC29" s="168">
        <f t="shared" ca="1" si="24"/>
        <v>23</v>
      </c>
      <c r="BD29" s="209">
        <f t="shared" ca="1" si="6"/>
        <v>17</v>
      </c>
      <c r="BF29" s="173" t="str">
        <f t="shared" ca="1" si="7"/>
        <v>Edison International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EIX</v>
      </c>
    </row>
    <row r="30" spans="1:61" ht="13.8" x14ac:dyDescent="0.25">
      <c r="A30" s="223" t="s">
        <v>267</v>
      </c>
      <c r="B30" s="224" t="s">
        <v>140</v>
      </c>
      <c r="C30" s="224">
        <v>19</v>
      </c>
      <c r="D30" s="224" t="s">
        <v>268</v>
      </c>
      <c r="E30" s="225" t="str">
        <f t="shared" ca="1" si="8"/>
        <v>R</v>
      </c>
      <c r="F30" s="348"/>
      <c r="G30" s="349">
        <f t="shared" ca="1" si="1"/>
        <v>23</v>
      </c>
      <c r="H30" s="350"/>
      <c r="I30" s="237"/>
      <c r="J30" s="191"/>
      <c r="K30" s="237"/>
      <c r="N30" s="237"/>
      <c r="Q30" s="237"/>
      <c r="T30" s="237"/>
      <c r="W30" s="237"/>
      <c r="AF30" s="169">
        <f t="shared" si="2"/>
        <v>0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279</v>
      </c>
      <c r="AR30" s="207" t="s">
        <v>142</v>
      </c>
      <c r="AS30" s="207">
        <v>17</v>
      </c>
      <c r="AT30" s="207" t="s">
        <v>280</v>
      </c>
      <c r="AV30" s="168">
        <f t="shared" si="21"/>
        <v>43</v>
      </c>
      <c r="AW30" s="168">
        <f>COUNTIF( AV$7:AV30, AV30 )</f>
        <v>3</v>
      </c>
      <c r="AX30" s="208">
        <f t="shared" si="22"/>
        <v>43.3</v>
      </c>
      <c r="AY30" s="168">
        <f t="shared" si="23"/>
        <v>45</v>
      </c>
      <c r="AZ30" s="169"/>
      <c r="BA30" s="169"/>
      <c r="BC30" s="168">
        <f t="shared" ca="1" si="24"/>
        <v>24</v>
      </c>
      <c r="BD30" s="209">
        <f t="shared" ca="1" si="6"/>
        <v>19</v>
      </c>
      <c r="BF30" s="173" t="str">
        <f t="shared" ca="1" si="7"/>
        <v>Entergy Corporation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ETR</v>
      </c>
    </row>
    <row r="31" spans="1:61" ht="13.8" x14ac:dyDescent="0.25">
      <c r="A31" s="223" t="s">
        <v>352</v>
      </c>
      <c r="B31" s="224" t="s">
        <v>140</v>
      </c>
      <c r="C31" s="224">
        <v>19</v>
      </c>
      <c r="D31" s="224" t="s">
        <v>353</v>
      </c>
      <c r="E31" s="225" t="str">
        <f t="shared" ca="1" si="8"/>
        <v>R</v>
      </c>
      <c r="F31" s="348"/>
      <c r="G31" s="349">
        <f t="shared" ca="1" si="1"/>
        <v>27</v>
      </c>
      <c r="H31" s="350"/>
      <c r="I31" s="237"/>
      <c r="J31" s="191"/>
      <c r="K31" s="237"/>
      <c r="N31" s="237"/>
      <c r="O31" s="351"/>
      <c r="Q31" s="237"/>
      <c r="T31" s="237"/>
      <c r="W31" s="237"/>
      <c r="AF31" s="169">
        <f t="shared" si="2"/>
        <v>0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283</v>
      </c>
      <c r="AR31" s="207" t="s">
        <v>141</v>
      </c>
      <c r="AS31" s="207">
        <v>18</v>
      </c>
      <c r="AT31" s="207" t="s">
        <v>284</v>
      </c>
      <c r="AV31" s="168">
        <f t="shared" si="21"/>
        <v>34</v>
      </c>
      <c r="AW31" s="168">
        <f>COUNTIF( AV$7:AV31, AV31 )</f>
        <v>5</v>
      </c>
      <c r="AX31" s="208">
        <f t="shared" si="22"/>
        <v>34.5</v>
      </c>
      <c r="AY31" s="168">
        <f t="shared" si="23"/>
        <v>38</v>
      </c>
      <c r="AZ31" s="169"/>
      <c r="BA31" s="169"/>
      <c r="BC31" s="168">
        <f t="shared" ca="1" si="24"/>
        <v>25</v>
      </c>
      <c r="BD31" s="209">
        <f t="shared" ca="1" si="6"/>
        <v>23</v>
      </c>
      <c r="BF31" s="173" t="str">
        <f t="shared" ca="1" si="7"/>
        <v>Great Plains Energy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GXP</v>
      </c>
    </row>
    <row r="32" spans="1:61" ht="13.8" x14ac:dyDescent="0.25">
      <c r="A32" s="223" t="s">
        <v>271</v>
      </c>
      <c r="B32" s="224" t="s">
        <v>140</v>
      </c>
      <c r="C32" s="224">
        <v>19</v>
      </c>
      <c r="D32" s="224" t="s">
        <v>272</v>
      </c>
      <c r="E32" s="225" t="str">
        <f t="shared" ca="1" si="8"/>
        <v>MR</v>
      </c>
      <c r="F32" s="348"/>
      <c r="G32" s="349">
        <f t="shared" ca="1" si="1"/>
        <v>30</v>
      </c>
      <c r="H32" s="350"/>
      <c r="I32" s="237"/>
      <c r="J32" s="191"/>
      <c r="K32" s="237"/>
      <c r="N32" s="237"/>
      <c r="Q32" s="237"/>
      <c r="T32" s="237"/>
      <c r="W32" s="237"/>
      <c r="AF32" s="169">
        <f t="shared" si="2"/>
        <v>0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32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287</v>
      </c>
      <c r="AR32" s="207" t="s">
        <v>142</v>
      </c>
      <c r="AS32" s="207">
        <v>17</v>
      </c>
      <c r="AT32" s="207" t="s">
        <v>288</v>
      </c>
      <c r="AV32" s="168">
        <f t="shared" si="21"/>
        <v>43</v>
      </c>
      <c r="AW32" s="168">
        <f>COUNTIF( AV$7:AV32, AV32 )</f>
        <v>4</v>
      </c>
      <c r="AX32" s="208">
        <f t="shared" si="22"/>
        <v>43.4</v>
      </c>
      <c r="AY32" s="168">
        <f t="shared" si="23"/>
        <v>46</v>
      </c>
      <c r="AZ32" s="169"/>
      <c r="BA32" s="169"/>
      <c r="BC32" s="168">
        <f t="shared" ca="1" si="24"/>
        <v>26</v>
      </c>
      <c r="BD32" s="209">
        <f t="shared" ca="1" si="6"/>
        <v>27</v>
      </c>
      <c r="BF32" s="173" t="str">
        <f t="shared" ca="1" si="7"/>
        <v>MDU Resources Group, Inc.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MDU</v>
      </c>
    </row>
    <row r="33" spans="1:61" ht="13.8" x14ac:dyDescent="0.25">
      <c r="A33" s="223" t="s">
        <v>273</v>
      </c>
      <c r="B33" s="224" t="s">
        <v>140</v>
      </c>
      <c r="C33" s="224">
        <v>19</v>
      </c>
      <c r="D33" s="224" t="s">
        <v>274</v>
      </c>
      <c r="E33" s="225" t="str">
        <f t="shared" ca="1" si="8"/>
        <v>R</v>
      </c>
      <c r="F33" s="348"/>
      <c r="G33" s="349">
        <f t="shared" ca="1" si="1"/>
        <v>33</v>
      </c>
      <c r="H33" s="350"/>
      <c r="I33" s="237"/>
      <c r="J33" s="191"/>
      <c r="K33" s="237"/>
      <c r="N33" s="237"/>
      <c r="Q33" s="237"/>
      <c r="T33" s="237"/>
      <c r="W33" s="237"/>
      <c r="AF33" s="169">
        <f t="shared" si="2"/>
        <v>0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33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271</v>
      </c>
      <c r="AR33" s="207" t="s">
        <v>140</v>
      </c>
      <c r="AS33" s="207">
        <v>19</v>
      </c>
      <c r="AT33" s="207" t="s">
        <v>272</v>
      </c>
      <c r="AV33" s="168">
        <f t="shared" si="21"/>
        <v>17</v>
      </c>
      <c r="AW33" s="168">
        <f>COUNTIF( AV$7:AV33, AV33 )</f>
        <v>10</v>
      </c>
      <c r="AX33" s="208">
        <f t="shared" si="22"/>
        <v>18</v>
      </c>
      <c r="AY33" s="168">
        <f t="shared" si="23"/>
        <v>26</v>
      </c>
      <c r="AZ33" s="169"/>
      <c r="BA33" s="169"/>
      <c r="BC33" s="168">
        <f t="shared" ca="1" si="24"/>
        <v>27</v>
      </c>
      <c r="BD33" s="209">
        <f t="shared" ca="1" si="6"/>
        <v>29</v>
      </c>
      <c r="BF33" s="173" t="str">
        <f t="shared" ca="1" si="7"/>
        <v>NiSource Inc.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NI</v>
      </c>
    </row>
    <row r="34" spans="1:61" ht="13.8" x14ac:dyDescent="0.25">
      <c r="A34" s="223" t="s">
        <v>358</v>
      </c>
      <c r="B34" s="224" t="s">
        <v>140</v>
      </c>
      <c r="C34" s="224">
        <v>19</v>
      </c>
      <c r="D34" s="224" t="s">
        <v>359</v>
      </c>
      <c r="E34" s="225" t="str">
        <f t="shared" ca="1" si="8"/>
        <v>R</v>
      </c>
      <c r="F34" s="348"/>
      <c r="G34" s="349">
        <f t="shared" ca="1" si="1"/>
        <v>56</v>
      </c>
      <c r="H34" s="350"/>
      <c r="I34" s="237"/>
      <c r="J34" s="191"/>
      <c r="K34" s="237"/>
      <c r="N34" s="237"/>
      <c r="Q34" s="237"/>
      <c r="T34" s="237"/>
      <c r="W34" s="237"/>
      <c r="AF34" s="169">
        <f t="shared" si="2"/>
        <v>0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34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240</v>
      </c>
      <c r="AR34" s="207" t="s">
        <v>139</v>
      </c>
      <c r="AS34" s="207">
        <v>20</v>
      </c>
      <c r="AT34" s="207" t="s">
        <v>241</v>
      </c>
      <c r="AV34" s="168">
        <f t="shared" si="21"/>
        <v>3</v>
      </c>
      <c r="AW34" s="168">
        <f>COUNTIF( AV$7:AV34, AV34 )</f>
        <v>6</v>
      </c>
      <c r="AX34" s="208">
        <f t="shared" si="22"/>
        <v>3.6</v>
      </c>
      <c r="AY34" s="168">
        <f t="shared" si="23"/>
        <v>8</v>
      </c>
      <c r="AZ34" s="169"/>
      <c r="BA34" s="169"/>
      <c r="BC34" s="168">
        <f t="shared" ca="1" si="24"/>
        <v>28</v>
      </c>
      <c r="BD34" s="209">
        <f t="shared" ca="1" si="6"/>
        <v>32</v>
      </c>
      <c r="BF34" s="173" t="str">
        <f t="shared" ca="1" si="7"/>
        <v>Oncor Electric Delivery Company LLC</v>
      </c>
      <c r="BG34" s="173" t="str">
        <f t="shared" ca="1" si="7"/>
        <v>BBB+</v>
      </c>
      <c r="BH34" s="173">
        <f t="shared" ca="1" si="7"/>
        <v>19</v>
      </c>
      <c r="BI34" s="173" t="str">
        <f ca="1">OFFSET( AT$6, $BD34, 0 )</f>
        <v>**EFH</v>
      </c>
    </row>
    <row r="35" spans="1:61" ht="13.8" x14ac:dyDescent="0.25">
      <c r="A35" s="223" t="s">
        <v>303</v>
      </c>
      <c r="B35" s="224" t="s">
        <v>140</v>
      </c>
      <c r="C35" s="224">
        <v>19</v>
      </c>
      <c r="D35" s="224" t="s">
        <v>304</v>
      </c>
      <c r="E35" s="225" t="str">
        <f t="shared" ca="1" si="8"/>
        <v>R</v>
      </c>
      <c r="F35" s="348"/>
      <c r="G35" s="349">
        <f t="shared" ca="1" si="1"/>
        <v>39</v>
      </c>
      <c r="H35" s="350"/>
      <c r="I35" s="237"/>
      <c r="K35" s="237"/>
      <c r="N35" s="237"/>
      <c r="Q35" s="237"/>
      <c r="T35" s="237"/>
      <c r="W35" s="237"/>
      <c r="AF35" s="169">
        <f t="shared" si="2"/>
        <v>0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35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273</v>
      </c>
      <c r="AR35" s="207" t="s">
        <v>140</v>
      </c>
      <c r="AS35" s="207">
        <v>19</v>
      </c>
      <c r="AT35" s="207" t="s">
        <v>274</v>
      </c>
      <c r="AV35" s="168">
        <f t="shared" si="21"/>
        <v>17</v>
      </c>
      <c r="AW35" s="168">
        <f>COUNTIF( AV$7:AV35, AV35 )</f>
        <v>11</v>
      </c>
      <c r="AX35" s="208">
        <f t="shared" si="22"/>
        <v>18.100000000000001</v>
      </c>
      <c r="AY35" s="168">
        <f t="shared" si="23"/>
        <v>27</v>
      </c>
      <c r="AZ35" s="169"/>
      <c r="BA35" s="169"/>
      <c r="BC35" s="168">
        <f t="shared" ca="1" si="24"/>
        <v>29</v>
      </c>
      <c r="BD35" s="209">
        <f t="shared" ca="1" si="6"/>
        <v>36</v>
      </c>
      <c r="BF35" s="173" t="str">
        <f t="shared" ca="1" si="7"/>
        <v>PNM Resources, Inc.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PNM</v>
      </c>
    </row>
    <row r="36" spans="1:61" ht="13.8" x14ac:dyDescent="0.25">
      <c r="A36" s="223" t="s">
        <v>289</v>
      </c>
      <c r="B36" s="224" t="s">
        <v>140</v>
      </c>
      <c r="C36" s="224">
        <v>19</v>
      </c>
      <c r="D36" s="224" t="s">
        <v>290</v>
      </c>
      <c r="E36" s="225" t="str">
        <f t="shared" ca="1" si="8"/>
        <v>MR</v>
      </c>
      <c r="F36" s="348"/>
      <c r="G36" s="349">
        <f t="shared" ca="1" si="1"/>
        <v>42</v>
      </c>
      <c r="H36" s="350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36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297</v>
      </c>
      <c r="AR36" s="207" t="s">
        <v>141</v>
      </c>
      <c r="AS36" s="207">
        <v>18</v>
      </c>
      <c r="AT36" s="207" t="s">
        <v>298</v>
      </c>
      <c r="AV36" s="168">
        <f t="shared" si="21"/>
        <v>34</v>
      </c>
      <c r="AW36" s="168">
        <f>COUNTIF( AV$7:AV36, AV36 )</f>
        <v>6</v>
      </c>
      <c r="AX36" s="208">
        <f t="shared" si="22"/>
        <v>34.6</v>
      </c>
      <c r="AY36" s="168">
        <f t="shared" si="23"/>
        <v>39</v>
      </c>
      <c r="AZ36" s="169"/>
      <c r="BA36" s="169"/>
      <c r="BC36" s="168">
        <f t="shared" ca="1" si="24"/>
        <v>30</v>
      </c>
      <c r="BD36" s="209">
        <f t="shared" ca="1" si="6"/>
        <v>39</v>
      </c>
      <c r="BF36" s="173" t="str">
        <f t="shared" ca="1" si="7"/>
        <v>Public Service Enterprise Group Incorporated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PEG</v>
      </c>
    </row>
    <row r="37" spans="1:61" ht="13.8" x14ac:dyDescent="0.25">
      <c r="A37" s="223" t="s">
        <v>291</v>
      </c>
      <c r="B37" s="224" t="s">
        <v>140</v>
      </c>
      <c r="C37" s="224">
        <v>19</v>
      </c>
      <c r="D37" s="224" t="s">
        <v>292</v>
      </c>
      <c r="E37" s="225" t="str">
        <f t="shared" ca="1" si="8"/>
        <v>MR</v>
      </c>
      <c r="F37" s="348"/>
      <c r="G37" s="349">
        <f t="shared" ca="1" si="1"/>
        <v>44</v>
      </c>
      <c r="H37" s="350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38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277</v>
      </c>
      <c r="AR37" s="207" t="s">
        <v>139</v>
      </c>
      <c r="AS37" s="207">
        <v>20</v>
      </c>
      <c r="AT37" s="207" t="s">
        <v>278</v>
      </c>
      <c r="AV37" s="168">
        <f t="shared" si="21"/>
        <v>3</v>
      </c>
      <c r="AW37" s="168">
        <f>COUNTIF( AV$7:AV37, AV37 )</f>
        <v>7</v>
      </c>
      <c r="AX37" s="208">
        <f t="shared" si="22"/>
        <v>3.7</v>
      </c>
      <c r="AY37" s="168">
        <f t="shared" si="23"/>
        <v>9</v>
      </c>
      <c r="AZ37" s="169"/>
      <c r="BA37" s="169"/>
      <c r="BC37" s="168">
        <f t="shared" ca="1" si="24"/>
        <v>31</v>
      </c>
      <c r="BD37" s="209">
        <f t="shared" ca="1" si="6"/>
        <v>42</v>
      </c>
      <c r="BF37" s="173" t="str">
        <f t="shared" ca="1" si="7"/>
        <v>Sempra Energy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SRE</v>
      </c>
    </row>
    <row r="38" spans="1:61" ht="13.8" x14ac:dyDescent="0.25">
      <c r="A38" s="223" t="s">
        <v>295</v>
      </c>
      <c r="B38" s="224" t="s">
        <v>140</v>
      </c>
      <c r="C38" s="224">
        <v>19</v>
      </c>
      <c r="D38" s="224" t="s">
        <v>296</v>
      </c>
      <c r="E38" s="225" t="str">
        <f t="shared" ca="1" si="8"/>
        <v>R</v>
      </c>
      <c r="F38" s="348"/>
      <c r="G38" s="349">
        <f t="shared" ca="1" si="1"/>
        <v>46</v>
      </c>
      <c r="H38" s="350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39</v>
      </c>
      <c r="AK38" s="169" t="str">
        <f t="shared" ca="1" si="20"/>
        <v>BBB+</v>
      </c>
      <c r="AL38" s="169">
        <f t="shared" ca="1" si="20"/>
        <v>19</v>
      </c>
      <c r="AM38" s="169" t="str">
        <f t="shared" ca="1" si="4"/>
        <v/>
      </c>
      <c r="AQ38" s="207" t="s">
        <v>358</v>
      </c>
      <c r="AR38" s="207" t="s">
        <v>140</v>
      </c>
      <c r="AS38" s="207">
        <v>19</v>
      </c>
      <c r="AT38" s="207" t="s">
        <v>359</v>
      </c>
      <c r="AV38" s="168">
        <f t="shared" si="21"/>
        <v>17</v>
      </c>
      <c r="AW38" s="168">
        <f>COUNTIF( AV$7:AV38, AV38 )</f>
        <v>12</v>
      </c>
      <c r="AX38" s="208">
        <f t="shared" si="22"/>
        <v>18.2</v>
      </c>
      <c r="AY38" s="168">
        <f t="shared" si="23"/>
        <v>28</v>
      </c>
      <c r="AZ38" s="169"/>
      <c r="BA38" s="169"/>
      <c r="BC38" s="168">
        <f t="shared" ca="1" si="24"/>
        <v>32</v>
      </c>
      <c r="BD38" s="209">
        <f t="shared" ca="1" si="6"/>
        <v>44</v>
      </c>
      <c r="BF38" s="173" t="str">
        <f t="shared" ca="1" si="7"/>
        <v>Unitil Corporation</v>
      </c>
      <c r="BG38" s="173" t="str">
        <f t="shared" ca="1" si="7"/>
        <v>BBB+</v>
      </c>
      <c r="BH38" s="173">
        <f t="shared" ca="1" si="7"/>
        <v>19</v>
      </c>
      <c r="BI38" s="173" t="str">
        <f t="shared" ca="1" si="7"/>
        <v>UTL</v>
      </c>
    </row>
    <row r="39" spans="1:61" ht="13.8" x14ac:dyDescent="0.25">
      <c r="A39" s="223" t="s">
        <v>354</v>
      </c>
      <c r="B39" s="224" t="s">
        <v>140</v>
      </c>
      <c r="C39" s="224">
        <v>19</v>
      </c>
      <c r="D39" s="224" t="s">
        <v>355</v>
      </c>
      <c r="E39" s="225" t="str">
        <f t="shared" ca="1" si="8"/>
        <v>R</v>
      </c>
      <c r="F39" s="348"/>
      <c r="G39" s="349">
        <f t="shared" ca="1" si="1"/>
        <v>49</v>
      </c>
      <c r="H39" s="350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40</v>
      </c>
      <c r="AK39" s="169" t="str">
        <f t="shared" ca="1" si="20"/>
        <v>BBB+</v>
      </c>
      <c r="AL39" s="169">
        <f t="shared" ca="1" si="20"/>
        <v>19</v>
      </c>
      <c r="AM39" s="169" t="str">
        <f t="shared" ca="1" si="4"/>
        <v/>
      </c>
      <c r="AQ39" s="207" t="s">
        <v>299</v>
      </c>
      <c r="AR39" s="207" t="s">
        <v>141</v>
      </c>
      <c r="AS39" s="207">
        <v>18</v>
      </c>
      <c r="AT39" s="207" t="s">
        <v>300</v>
      </c>
      <c r="AV39" s="168">
        <f t="shared" si="21"/>
        <v>34</v>
      </c>
      <c r="AW39" s="168">
        <f>COUNTIF( AV$7:AV39, AV39 )</f>
        <v>7</v>
      </c>
      <c r="AX39" s="208">
        <f t="shared" si="22"/>
        <v>34.700000000000003</v>
      </c>
      <c r="AY39" s="168">
        <f t="shared" si="23"/>
        <v>40</v>
      </c>
      <c r="AZ39" s="169"/>
      <c r="BA39" s="169"/>
      <c r="BC39" s="168">
        <f t="shared" ca="1" si="24"/>
        <v>33</v>
      </c>
      <c r="BD39" s="209">
        <f t="shared" ca="1" si="6"/>
        <v>46</v>
      </c>
      <c r="BF39" s="173" t="str">
        <f t="shared" ref="BF39:BI63" ca="1" si="25">OFFSET( AQ$6, $BD39, 0 )</f>
        <v>Westar Energy, Inc.</v>
      </c>
      <c r="BG39" s="173" t="str">
        <f t="shared" ca="1" si="25"/>
        <v>BBB+</v>
      </c>
      <c r="BH39" s="173">
        <f t="shared" ca="1" si="25"/>
        <v>19</v>
      </c>
      <c r="BI39" s="173" t="str">
        <f t="shared" ca="1" si="25"/>
        <v>WR</v>
      </c>
    </row>
    <row r="40" spans="1:61" ht="13.8" x14ac:dyDescent="0.25">
      <c r="A40" s="223" t="s">
        <v>238</v>
      </c>
      <c r="B40" s="224" t="s">
        <v>141</v>
      </c>
      <c r="C40" s="224">
        <v>18</v>
      </c>
      <c r="D40" s="224" t="s">
        <v>239</v>
      </c>
      <c r="E40" s="225" t="str">
        <f t="shared" ca="1" si="8"/>
        <v>R</v>
      </c>
      <c r="F40" s="348"/>
      <c r="G40" s="349">
        <f t="shared" ca="1" si="1"/>
        <v>12</v>
      </c>
      <c r="H40" s="350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1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41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301</v>
      </c>
      <c r="AR40" s="207" t="s">
        <v>139</v>
      </c>
      <c r="AS40" s="207">
        <v>20</v>
      </c>
      <c r="AT40" s="207" t="s">
        <v>302</v>
      </c>
      <c r="AV40" s="168">
        <f t="shared" si="21"/>
        <v>3</v>
      </c>
      <c r="AW40" s="168">
        <f>COUNTIF( AV$7:AV40, AV40 )</f>
        <v>8</v>
      </c>
      <c r="AX40" s="208">
        <f t="shared" si="22"/>
        <v>3.8</v>
      </c>
      <c r="AY40" s="168">
        <f t="shared" si="23"/>
        <v>10</v>
      </c>
      <c r="AZ40" s="169"/>
      <c r="BA40" s="169"/>
      <c r="BC40" s="168">
        <f t="shared" ca="1" si="24"/>
        <v>34</v>
      </c>
      <c r="BD40" s="209">
        <f t="shared" ca="1" si="6"/>
        <v>6</v>
      </c>
      <c r="BF40" s="173" t="str">
        <f t="shared" ca="1" si="25"/>
        <v>Avista Corporation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AVA</v>
      </c>
    </row>
    <row r="41" spans="1:61" ht="13.8" x14ac:dyDescent="0.25">
      <c r="A41" s="223" t="s">
        <v>245</v>
      </c>
      <c r="B41" s="224" t="s">
        <v>141</v>
      </c>
      <c r="C41" s="224">
        <v>18</v>
      </c>
      <c r="D41" s="224" t="s">
        <v>246</v>
      </c>
      <c r="E41" s="225" t="str">
        <f t="shared" ca="1" si="8"/>
        <v>R</v>
      </c>
      <c r="F41" s="348"/>
      <c r="G41" s="349">
        <f t="shared" ca="1" si="1"/>
        <v>13</v>
      </c>
      <c r="H41" s="350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1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42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281</v>
      </c>
      <c r="AR41" s="207" t="s">
        <v>139</v>
      </c>
      <c r="AS41" s="207">
        <v>20</v>
      </c>
      <c r="AT41" s="207" t="s">
        <v>282</v>
      </c>
      <c r="AV41" s="168">
        <f t="shared" si="21"/>
        <v>3</v>
      </c>
      <c r="AW41" s="168">
        <f>COUNTIF( AV$7:AV41, AV41 )</f>
        <v>9</v>
      </c>
      <c r="AX41" s="208">
        <f t="shared" si="22"/>
        <v>3.9</v>
      </c>
      <c r="AY41" s="168">
        <f t="shared" si="23"/>
        <v>11</v>
      </c>
      <c r="AZ41" s="169"/>
      <c r="BA41" s="169"/>
      <c r="BC41" s="168">
        <f t="shared" ca="1" si="24"/>
        <v>35</v>
      </c>
      <c r="BD41" s="209">
        <f t="shared" ca="1" si="6"/>
        <v>8</v>
      </c>
      <c r="BF41" s="173" t="str">
        <f t="shared" ca="1" si="25"/>
        <v>Black Hills Corporation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BKH</v>
      </c>
    </row>
    <row r="42" spans="1:61" ht="13.8" x14ac:dyDescent="0.25">
      <c r="A42" s="223" t="s">
        <v>328</v>
      </c>
      <c r="B42" s="224" t="s">
        <v>141</v>
      </c>
      <c r="C42" s="224">
        <v>18</v>
      </c>
      <c r="D42" s="224" t="s">
        <v>331</v>
      </c>
      <c r="E42" s="225" t="str">
        <f t="shared" ca="1" si="8"/>
        <v>R</v>
      </c>
      <c r="F42" s="348"/>
      <c r="G42" s="349">
        <f t="shared" ca="1" si="1"/>
        <v>21</v>
      </c>
      <c r="H42" s="350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1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43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303</v>
      </c>
      <c r="AR42" s="207" t="s">
        <v>140</v>
      </c>
      <c r="AS42" s="207">
        <v>19</v>
      </c>
      <c r="AT42" s="207" t="s">
        <v>304</v>
      </c>
      <c r="AV42" s="168">
        <f t="shared" si="21"/>
        <v>17</v>
      </c>
      <c r="AW42" s="168">
        <f>COUNTIF( AV$7:AV42, AV42 )</f>
        <v>13</v>
      </c>
      <c r="AX42" s="208">
        <f t="shared" si="22"/>
        <v>18.3</v>
      </c>
      <c r="AY42" s="168">
        <f t="shared" si="23"/>
        <v>29</v>
      </c>
      <c r="AZ42" s="169"/>
      <c r="BA42" s="169"/>
      <c r="BC42" s="168">
        <f t="shared" ca="1" si="24"/>
        <v>36</v>
      </c>
      <c r="BD42" s="209">
        <f t="shared" ca="1" si="6"/>
        <v>18</v>
      </c>
      <c r="BF42" s="173" t="str">
        <f t="shared" ca="1" si="25"/>
        <v>El Paso Electric Company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EE</v>
      </c>
    </row>
    <row r="43" spans="1:61" ht="13.8" x14ac:dyDescent="0.25">
      <c r="A43" s="223" t="s">
        <v>269</v>
      </c>
      <c r="B43" s="224" t="s">
        <v>141</v>
      </c>
      <c r="C43" s="224">
        <v>18</v>
      </c>
      <c r="D43" s="224" t="s">
        <v>270</v>
      </c>
      <c r="E43" s="225" t="str">
        <f t="shared" ca="1" si="8"/>
        <v>MR</v>
      </c>
      <c r="F43" s="348"/>
      <c r="G43" s="349">
        <f t="shared" ca="1" si="1"/>
        <v>25</v>
      </c>
      <c r="H43" s="350"/>
      <c r="I43" s="237"/>
      <c r="J43" s="191"/>
      <c r="K43" s="237"/>
      <c r="N43" s="237"/>
      <c r="Q43" s="237"/>
      <c r="T43" s="237"/>
      <c r="W43" s="237"/>
      <c r="AF43" s="169">
        <f t="shared" si="2"/>
        <v>1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44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285</v>
      </c>
      <c r="AR43" s="207" t="s">
        <v>141</v>
      </c>
      <c r="AS43" s="207">
        <v>18</v>
      </c>
      <c r="AT43" s="207" t="s">
        <v>286</v>
      </c>
      <c r="AV43" s="168">
        <f t="shared" si="21"/>
        <v>34</v>
      </c>
      <c r="AW43" s="168">
        <f>COUNTIF( AV$7:AV43, AV43 )</f>
        <v>8</v>
      </c>
      <c r="AX43" s="208">
        <f t="shared" si="22"/>
        <v>34.799999999999997</v>
      </c>
      <c r="AY43" s="168">
        <f t="shared" si="23"/>
        <v>41</v>
      </c>
      <c r="AZ43" s="169"/>
      <c r="BA43" s="169"/>
      <c r="BC43" s="168">
        <f t="shared" ca="1" si="24"/>
        <v>37</v>
      </c>
      <c r="BD43" s="209">
        <f t="shared" ca="1" si="6"/>
        <v>21</v>
      </c>
      <c r="BF43" s="173" t="str">
        <f t="shared" ca="1" si="25"/>
        <v>Exelon Corporation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EXC</v>
      </c>
    </row>
    <row r="44" spans="1:61" ht="13.8" x14ac:dyDescent="0.25">
      <c r="A44" s="223" t="s">
        <v>283</v>
      </c>
      <c r="B44" s="224" t="s">
        <v>141</v>
      </c>
      <c r="C44" s="224">
        <v>18</v>
      </c>
      <c r="D44" s="224" t="s">
        <v>284</v>
      </c>
      <c r="E44" s="225" t="str">
        <f t="shared" ca="1" si="8"/>
        <v>R</v>
      </c>
      <c r="F44" s="348"/>
      <c r="G44" s="349">
        <f t="shared" ca="1" si="1"/>
        <v>29</v>
      </c>
      <c r="H44" s="350"/>
      <c r="I44" s="237"/>
      <c r="J44" s="191"/>
      <c r="K44" s="237"/>
      <c r="N44" s="237"/>
      <c r="Q44" s="237"/>
      <c r="T44" s="237"/>
      <c r="W44" s="237"/>
      <c r="AF44" s="169">
        <f t="shared" si="2"/>
        <v>1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45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243</v>
      </c>
      <c r="AR44" s="207" t="s">
        <v>139</v>
      </c>
      <c r="AS44" s="207">
        <v>20</v>
      </c>
      <c r="AT44" s="207" t="s">
        <v>244</v>
      </c>
      <c r="AV44" s="168">
        <f t="shared" si="21"/>
        <v>3</v>
      </c>
      <c r="AW44" s="168">
        <f>COUNTIF( AV$7:AV44, AV44 )</f>
        <v>10</v>
      </c>
      <c r="AX44" s="208">
        <f t="shared" si="22"/>
        <v>4</v>
      </c>
      <c r="AY44" s="168">
        <f t="shared" si="23"/>
        <v>12</v>
      </c>
      <c r="AZ44" s="169"/>
      <c r="BA44" s="169"/>
      <c r="BC44" s="168">
        <f t="shared" ca="1" si="24"/>
        <v>38</v>
      </c>
      <c r="BD44" s="209">
        <f t="shared" ca="1" si="6"/>
        <v>25</v>
      </c>
      <c r="BF44" s="173" t="str">
        <f t="shared" ca="1" si="25"/>
        <v>IDACORP, Inc.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IDA</v>
      </c>
    </row>
    <row r="45" spans="1:61" ht="13.8" x14ac:dyDescent="0.25">
      <c r="A45" s="223" t="s">
        <v>297</v>
      </c>
      <c r="B45" s="224" t="s">
        <v>141</v>
      </c>
      <c r="C45" s="224">
        <v>18</v>
      </c>
      <c r="D45" s="224" t="s">
        <v>298</v>
      </c>
      <c r="E45" s="225" t="str">
        <f t="shared" ca="1" si="8"/>
        <v>R</v>
      </c>
      <c r="F45" s="348"/>
      <c r="G45" s="349">
        <f t="shared" ca="1" si="1"/>
        <v>34</v>
      </c>
      <c r="H45" s="350"/>
      <c r="I45" s="237"/>
      <c r="J45" s="191"/>
      <c r="K45" s="237"/>
      <c r="N45" s="237"/>
      <c r="Q45" s="237"/>
      <c r="T45" s="237"/>
      <c r="W45" s="237"/>
      <c r="AF45" s="169">
        <f t="shared" si="2"/>
        <v>1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46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289</v>
      </c>
      <c r="AR45" s="207" t="s">
        <v>140</v>
      </c>
      <c r="AS45" s="207">
        <v>19</v>
      </c>
      <c r="AT45" s="207" t="s">
        <v>290</v>
      </c>
      <c r="AV45" s="168">
        <f t="shared" si="21"/>
        <v>17</v>
      </c>
      <c r="AW45" s="168">
        <f>COUNTIF( AV$7:AV45, AV45 )</f>
        <v>14</v>
      </c>
      <c r="AX45" s="208">
        <f t="shared" si="22"/>
        <v>18.399999999999999</v>
      </c>
      <c r="AY45" s="168">
        <f t="shared" si="23"/>
        <v>30</v>
      </c>
      <c r="AZ45" s="169"/>
      <c r="BA45" s="169"/>
      <c r="BC45" s="168">
        <f t="shared" ca="1" si="24"/>
        <v>39</v>
      </c>
      <c r="BD45" s="209">
        <f t="shared" ca="1" si="6"/>
        <v>30</v>
      </c>
      <c r="BF45" s="173" t="str">
        <f t="shared" ca="1" si="25"/>
        <v>NorthWestern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NWE</v>
      </c>
    </row>
    <row r="46" spans="1:61" ht="13.8" x14ac:dyDescent="0.25">
      <c r="A46" s="223" t="s">
        <v>299</v>
      </c>
      <c r="B46" s="224" t="s">
        <v>141</v>
      </c>
      <c r="C46" s="224">
        <v>18</v>
      </c>
      <c r="D46" s="224" t="s">
        <v>300</v>
      </c>
      <c r="E46" s="225" t="str">
        <f t="shared" ca="1" si="8"/>
        <v>R</v>
      </c>
      <c r="F46" s="348"/>
      <c r="G46" s="349">
        <f t="shared" ca="1" si="1"/>
        <v>36</v>
      </c>
      <c r="H46" s="350"/>
      <c r="I46" s="191"/>
      <c r="K46" s="191"/>
      <c r="N46" s="351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47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305</v>
      </c>
      <c r="AR46" s="207" t="s">
        <v>142</v>
      </c>
      <c r="AS46" s="207">
        <v>17</v>
      </c>
      <c r="AT46" s="207" t="s">
        <v>306</v>
      </c>
      <c r="AV46" s="168">
        <f t="shared" si="21"/>
        <v>43</v>
      </c>
      <c r="AW46" s="168">
        <f>COUNTIF( AV$7:AV46, AV46 )</f>
        <v>5</v>
      </c>
      <c r="AX46" s="208">
        <f t="shared" si="22"/>
        <v>43.5</v>
      </c>
      <c r="AY46" s="168">
        <f t="shared" si="23"/>
        <v>47</v>
      </c>
      <c r="AZ46" s="169"/>
      <c r="BA46" s="169"/>
      <c r="BC46" s="168">
        <f t="shared" ca="1" si="24"/>
        <v>40</v>
      </c>
      <c r="BD46" s="209">
        <f t="shared" ca="1" si="6"/>
        <v>33</v>
      </c>
      <c r="BF46" s="173" t="str">
        <f t="shared" ca="1" si="25"/>
        <v>Otter Tail Corporation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OTTR</v>
      </c>
    </row>
    <row r="47" spans="1:61" ht="13.8" x14ac:dyDescent="0.25">
      <c r="A47" s="223" t="s">
        <v>285</v>
      </c>
      <c r="B47" s="224" t="s">
        <v>141</v>
      </c>
      <c r="C47" s="224">
        <v>18</v>
      </c>
      <c r="D47" s="224" t="s">
        <v>286</v>
      </c>
      <c r="E47" s="225" t="str">
        <f t="shared" ca="1" si="8"/>
        <v>R</v>
      </c>
      <c r="F47" s="348"/>
      <c r="G47" s="349">
        <f t="shared" ca="1" si="1"/>
        <v>40</v>
      </c>
      <c r="H47" s="350"/>
      <c r="I47" s="350"/>
      <c r="J47" s="187" t="s">
        <v>307</v>
      </c>
      <c r="K47" s="191"/>
      <c r="M47" s="351"/>
      <c r="N47" s="351"/>
      <c r="AF47" s="169">
        <f t="shared" si="2"/>
        <v>1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48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347</v>
      </c>
      <c r="AR47" s="207" t="s">
        <v>141</v>
      </c>
      <c r="AS47" s="207">
        <v>18</v>
      </c>
      <c r="AT47" s="207" t="s">
        <v>348</v>
      </c>
      <c r="AV47" s="168">
        <f t="shared" si="21"/>
        <v>34</v>
      </c>
      <c r="AW47" s="168">
        <f>COUNTIF( AV$7:AV47, AV47 )</f>
        <v>9</v>
      </c>
      <c r="AX47" s="208">
        <f t="shared" si="22"/>
        <v>34.9</v>
      </c>
      <c r="AY47" s="168">
        <f t="shared" si="23"/>
        <v>42</v>
      </c>
      <c r="AZ47" s="169"/>
      <c r="BA47" s="169"/>
      <c r="BC47" s="168">
        <f t="shared" ca="1" si="24"/>
        <v>41</v>
      </c>
      <c r="BD47" s="209">
        <f t="shared" ca="1" si="6"/>
        <v>37</v>
      </c>
      <c r="BF47" s="173" t="str">
        <f t="shared" ca="1" si="25"/>
        <v>Portland General Electric Company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POR</v>
      </c>
    </row>
    <row r="48" spans="1:61" ht="13.8" x14ac:dyDescent="0.25">
      <c r="A48" s="223" t="s">
        <v>347</v>
      </c>
      <c r="B48" s="224" t="s">
        <v>141</v>
      </c>
      <c r="C48" s="224">
        <v>18</v>
      </c>
      <c r="D48" s="224" t="s">
        <v>348</v>
      </c>
      <c r="E48" s="225" t="str">
        <f t="shared" ca="1" si="8"/>
        <v>MR</v>
      </c>
      <c r="F48" s="348"/>
      <c r="G48" s="349">
        <f t="shared" ca="1" si="1"/>
        <v>43</v>
      </c>
      <c r="H48" s="350"/>
      <c r="I48" s="350"/>
      <c r="K48" s="191"/>
      <c r="M48" s="351"/>
      <c r="N48" s="351"/>
      <c r="AF48" s="169">
        <f t="shared" si="2"/>
        <v>1</v>
      </c>
      <c r="AG48" s="169" t="str">
        <f t="shared" ca="1" si="3"/>
        <v/>
      </c>
      <c r="AH48" s="169">
        <f t="shared" ca="1" si="18"/>
        <v>1</v>
      </c>
      <c r="AJ48" s="169">
        <f t="shared" ca="1" si="19"/>
        <v>37</v>
      </c>
      <c r="AK48" s="169" t="str">
        <f t="shared" ca="1" si="20"/>
        <v>BBB+</v>
      </c>
      <c r="AL48" s="169">
        <f t="shared" ca="1" si="20"/>
        <v>19</v>
      </c>
      <c r="AM48" s="169" t="str">
        <f t="shared" ca="1" si="4"/>
        <v>Change</v>
      </c>
      <c r="AQ48" s="207" t="s">
        <v>291</v>
      </c>
      <c r="AR48" s="207" t="s">
        <v>140</v>
      </c>
      <c r="AS48" s="207">
        <v>19</v>
      </c>
      <c r="AT48" s="207" t="s">
        <v>292</v>
      </c>
      <c r="AV48" s="168">
        <f t="shared" si="21"/>
        <v>17</v>
      </c>
      <c r="AW48" s="168">
        <f>COUNTIF( AV$7:AV48, AV48 )</f>
        <v>15</v>
      </c>
      <c r="AX48" s="208">
        <f t="shared" si="22"/>
        <v>18.5</v>
      </c>
      <c r="AY48" s="168">
        <f t="shared" si="23"/>
        <v>31</v>
      </c>
      <c r="AZ48" s="169"/>
      <c r="BA48" s="169"/>
      <c r="BC48" s="168">
        <f t="shared" ca="1" si="24"/>
        <v>42</v>
      </c>
      <c r="BD48" s="209">
        <f t="shared" ca="1" si="6"/>
        <v>41</v>
      </c>
      <c r="BF48" s="173" t="str">
        <f t="shared" ca="1" si="25"/>
        <v>SCANA Corporation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SCG</v>
      </c>
    </row>
    <row r="49" spans="1:61" ht="13.8" x14ac:dyDescent="0.25">
      <c r="A49" s="223" t="s">
        <v>254</v>
      </c>
      <c r="B49" s="224" t="s">
        <v>142</v>
      </c>
      <c r="C49" s="224">
        <v>17</v>
      </c>
      <c r="D49" s="224" t="s">
        <v>255</v>
      </c>
      <c r="E49" s="225" t="str">
        <f t="shared" ca="1" si="8"/>
        <v>R</v>
      </c>
      <c r="F49" s="348"/>
      <c r="G49" s="349">
        <f t="shared" ca="1" si="1"/>
        <v>54</v>
      </c>
      <c r="H49" s="350"/>
      <c r="I49" s="350"/>
      <c r="J49" s="191"/>
      <c r="K49" s="191"/>
      <c r="M49" s="351"/>
      <c r="N49" s="351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4"/>
        <v/>
      </c>
      <c r="AQ49" s="207" t="s">
        <v>293</v>
      </c>
      <c r="AR49" s="207" t="s">
        <v>139</v>
      </c>
      <c r="AS49" s="207">
        <v>20</v>
      </c>
      <c r="AT49" s="207" t="s">
        <v>294</v>
      </c>
      <c r="AV49" s="168">
        <f t="shared" si="21"/>
        <v>3</v>
      </c>
      <c r="AW49" s="168">
        <f>COUNTIF( AV$7:AV49, AV49 )</f>
        <v>11</v>
      </c>
      <c r="AX49" s="208">
        <f t="shared" si="22"/>
        <v>4.0999999999999996</v>
      </c>
      <c r="AY49" s="168">
        <f t="shared" si="23"/>
        <v>13</v>
      </c>
      <c r="AZ49" s="169"/>
      <c r="BA49" s="169"/>
      <c r="BC49" s="168">
        <f t="shared" ca="1" si="24"/>
        <v>43</v>
      </c>
      <c r="BD49" s="209">
        <f t="shared" ca="1" si="6"/>
        <v>10</v>
      </c>
      <c r="BF49" s="173" t="str">
        <f t="shared" ca="1" si="25"/>
        <v>Cleco Corporation</v>
      </c>
      <c r="BG49" s="173" t="str">
        <f t="shared" ca="1" si="25"/>
        <v>BBB-</v>
      </c>
      <c r="BH49" s="173">
        <f t="shared" ca="1" si="25"/>
        <v>17</v>
      </c>
      <c r="BI49" s="173" t="str">
        <f t="shared" ca="1" si="25"/>
        <v>**CNL</v>
      </c>
    </row>
    <row r="50" spans="1:61" ht="13.8" x14ac:dyDescent="0.25">
      <c r="A50" s="223" t="s">
        <v>275</v>
      </c>
      <c r="B50" s="224" t="s">
        <v>142</v>
      </c>
      <c r="C50" s="224">
        <v>17</v>
      </c>
      <c r="D50" s="224" t="s">
        <v>276</v>
      </c>
      <c r="E50" s="225" t="str">
        <f t="shared" ca="1" si="8"/>
        <v>R</v>
      </c>
      <c r="F50" s="348"/>
      <c r="G50" s="349">
        <f t="shared" ca="1" si="1"/>
        <v>26</v>
      </c>
      <c r="H50" s="350"/>
      <c r="I50" s="350"/>
      <c r="J50" s="191"/>
      <c r="K50" s="191"/>
      <c r="M50" s="351"/>
      <c r="N50" s="351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50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4"/>
        <v/>
      </c>
      <c r="AQ50" s="207" t="s">
        <v>295</v>
      </c>
      <c r="AR50" s="207" t="s">
        <v>140</v>
      </c>
      <c r="AS50" s="207">
        <v>19</v>
      </c>
      <c r="AT50" s="207" t="s">
        <v>296</v>
      </c>
      <c r="AV50" s="168">
        <f t="shared" si="21"/>
        <v>17</v>
      </c>
      <c r="AW50" s="168">
        <f>COUNTIF( AV$7:AV50, AV50 )</f>
        <v>16</v>
      </c>
      <c r="AX50" s="208">
        <f t="shared" si="22"/>
        <v>18.600000000000001</v>
      </c>
      <c r="AY50" s="168">
        <f t="shared" si="23"/>
        <v>32</v>
      </c>
      <c r="AZ50" s="169"/>
      <c r="BA50" s="169"/>
      <c r="BC50" s="168">
        <f t="shared" ca="1" si="24"/>
        <v>44</v>
      </c>
      <c r="BD50" s="209">
        <f t="shared" ca="1" si="6"/>
        <v>22</v>
      </c>
      <c r="BF50" s="173" t="str">
        <f t="shared" ca="1" si="25"/>
        <v>FirstEnergy Corp.</v>
      </c>
      <c r="BG50" s="173" t="str">
        <f t="shared" ca="1" si="25"/>
        <v>BBB-</v>
      </c>
      <c r="BH50" s="173">
        <f t="shared" ca="1" si="25"/>
        <v>17</v>
      </c>
      <c r="BI50" s="173" t="str">
        <f t="shared" ca="1" si="25"/>
        <v>FE</v>
      </c>
    </row>
    <row r="51" spans="1:61" ht="13.8" x14ac:dyDescent="0.25">
      <c r="A51" s="223" t="s">
        <v>279</v>
      </c>
      <c r="B51" s="224" t="s">
        <v>142</v>
      </c>
      <c r="C51" s="224">
        <v>17</v>
      </c>
      <c r="D51" s="224" t="s">
        <v>280</v>
      </c>
      <c r="E51" s="225" t="str">
        <f t="shared" ca="1" si="8"/>
        <v>MR</v>
      </c>
      <c r="F51" s="348"/>
      <c r="G51" s="349">
        <f t="shared" ca="1" si="1"/>
        <v>28</v>
      </c>
      <c r="H51" s="350"/>
      <c r="I51" s="350"/>
      <c r="J51" s="191"/>
      <c r="K51" s="191"/>
      <c r="M51" s="351"/>
      <c r="N51" s="351"/>
      <c r="AF51" s="169">
        <f t="shared" si="2"/>
        <v>0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51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4"/>
        <v/>
      </c>
      <c r="AQ51" s="207" t="s">
        <v>345</v>
      </c>
      <c r="AR51" s="207" t="s">
        <v>139</v>
      </c>
      <c r="AS51" s="207">
        <v>20</v>
      </c>
      <c r="AT51" s="207" t="s">
        <v>346</v>
      </c>
      <c r="AV51" s="168">
        <f t="shared" si="21"/>
        <v>3</v>
      </c>
      <c r="AW51" s="168">
        <f>COUNTIF( AV$7:AV51, AV51 )</f>
        <v>12</v>
      </c>
      <c r="AX51" s="208">
        <f t="shared" si="22"/>
        <v>4.2</v>
      </c>
      <c r="AY51" s="168">
        <f t="shared" si="23"/>
        <v>14</v>
      </c>
      <c r="AZ51" s="169"/>
      <c r="BA51" s="169"/>
      <c r="BC51" s="168">
        <f t="shared" ca="1" si="24"/>
        <v>45</v>
      </c>
      <c r="BD51" s="209">
        <f t="shared" ca="1" si="6"/>
        <v>24</v>
      </c>
      <c r="BF51" s="173" t="str">
        <f t="shared" ca="1" si="25"/>
        <v>Hawaiian Electric Industries, Inc.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HE</v>
      </c>
    </row>
    <row r="52" spans="1:61" ht="13.8" x14ac:dyDescent="0.25">
      <c r="A52" s="223" t="s">
        <v>287</v>
      </c>
      <c r="B52" s="224" t="s">
        <v>142</v>
      </c>
      <c r="C52" s="224">
        <v>17</v>
      </c>
      <c r="D52" s="224" t="s">
        <v>288</v>
      </c>
      <c r="E52" s="225" t="str">
        <f t="shared" ca="1" si="8"/>
        <v>R</v>
      </c>
      <c r="F52" s="348"/>
      <c r="G52" s="349">
        <f t="shared" ca="1" si="1"/>
        <v>57</v>
      </c>
      <c r="H52" s="350"/>
      <c r="I52" s="350"/>
      <c r="J52" s="191"/>
      <c r="K52" s="191"/>
      <c r="AF52" s="169">
        <f t="shared" si="2"/>
        <v>0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52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354</v>
      </c>
      <c r="AR52" s="207" t="s">
        <v>140</v>
      </c>
      <c r="AS52" s="207">
        <v>19</v>
      </c>
      <c r="AT52" s="207" t="s">
        <v>355</v>
      </c>
      <c r="AV52" s="168">
        <f t="shared" si="21"/>
        <v>17</v>
      </c>
      <c r="AW52" s="168">
        <f>COUNTIF( AV$7:AV52, AV52 )</f>
        <v>17</v>
      </c>
      <c r="AX52" s="208">
        <f t="shared" si="22"/>
        <v>18.7</v>
      </c>
      <c r="AY52" s="168">
        <f t="shared" si="23"/>
        <v>33</v>
      </c>
      <c r="AZ52" s="169"/>
      <c r="BA52" s="169"/>
      <c r="BC52" s="168">
        <f t="shared" ca="1" si="24"/>
        <v>46</v>
      </c>
      <c r="BD52" s="209">
        <f t="shared" ca="1" si="6"/>
        <v>26</v>
      </c>
      <c r="BF52" s="173" t="str">
        <f t="shared" ca="1" si="25"/>
        <v>IPALCO Enterprises, Inc.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**IPALCO</v>
      </c>
    </row>
    <row r="53" spans="1:61" ht="13.8" x14ac:dyDescent="0.25">
      <c r="A53" s="223" t="s">
        <v>305</v>
      </c>
      <c r="B53" s="224" t="s">
        <v>142</v>
      </c>
      <c r="C53" s="224">
        <v>17</v>
      </c>
      <c r="D53" s="224" t="s">
        <v>306</v>
      </c>
      <c r="E53" s="225" t="str">
        <f t="shared" ca="1" si="8"/>
        <v>R</v>
      </c>
      <c r="F53" s="348"/>
      <c r="G53" s="349">
        <f t="shared" ca="1" si="1"/>
        <v>59</v>
      </c>
      <c r="H53" s="350"/>
      <c r="I53" s="350"/>
      <c r="J53" s="191"/>
      <c r="K53" s="191"/>
      <c r="AF53" s="169">
        <f t="shared" si="2"/>
        <v>0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247</v>
      </c>
      <c r="AR53" s="207" t="s">
        <v>139</v>
      </c>
      <c r="AS53" s="207">
        <v>20</v>
      </c>
      <c r="AT53" s="207" t="s">
        <v>248</v>
      </c>
      <c r="AV53" s="168">
        <f t="shared" si="21"/>
        <v>3</v>
      </c>
      <c r="AW53" s="168">
        <f>COUNTIF( AV$7:AV53, AV53 )</f>
        <v>13</v>
      </c>
      <c r="AX53" s="208">
        <f t="shared" si="22"/>
        <v>4.3</v>
      </c>
      <c r="AY53" s="168">
        <f t="shared" si="23"/>
        <v>15</v>
      </c>
      <c r="AZ53" s="169"/>
      <c r="BA53" s="169"/>
      <c r="BC53" s="168">
        <f t="shared" ca="1" si="24"/>
        <v>47</v>
      </c>
      <c r="BD53" s="209">
        <f t="shared" ca="1" si="6"/>
        <v>40</v>
      </c>
      <c r="BF53" s="173" t="str">
        <f t="shared" ca="1" si="25"/>
        <v>Puget Energy,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**PSD</v>
      </c>
    </row>
    <row r="54" spans="1:61" ht="13.8" x14ac:dyDescent="0.25">
      <c r="A54" s="223" t="s">
        <v>259</v>
      </c>
      <c r="B54" s="224" t="s">
        <v>175</v>
      </c>
      <c r="C54" s="224">
        <v>15</v>
      </c>
      <c r="D54" s="224" t="s">
        <v>260</v>
      </c>
      <c r="E54" s="225" t="str">
        <f t="shared" ca="1" si="8"/>
        <v>MR</v>
      </c>
      <c r="F54" s="348"/>
      <c r="G54" s="349">
        <f t="shared" ca="1" si="1"/>
        <v>55</v>
      </c>
      <c r="H54" s="350"/>
      <c r="I54" s="350"/>
      <c r="J54" s="191"/>
      <c r="K54" s="191"/>
      <c r="AF54" s="169">
        <f t="shared" si="2"/>
        <v>1</v>
      </c>
      <c r="AG54" s="169">
        <f t="shared" ca="1" si="3"/>
        <v>1</v>
      </c>
      <c r="AH54" s="169" t="str">
        <f t="shared" ca="1" si="18"/>
        <v/>
      </c>
      <c r="AJ54" s="169">
        <f t="shared" ca="1" si="19"/>
        <v>54</v>
      </c>
      <c r="AK54" s="169" t="str">
        <f t="shared" ca="1" si="20"/>
        <v>BB-</v>
      </c>
      <c r="AL54" s="169">
        <f t="shared" ca="1" si="20"/>
        <v>14</v>
      </c>
      <c r="AM54" s="169" t="str">
        <f t="shared" ca="1" si="4"/>
        <v>Change</v>
      </c>
      <c r="AQ54" s="207" t="s">
        <v>251</v>
      </c>
      <c r="AR54" s="207" t="s">
        <v>139</v>
      </c>
      <c r="AS54" s="207">
        <v>20</v>
      </c>
      <c r="AT54" s="207" t="s">
        <v>252</v>
      </c>
      <c r="AV54" s="168">
        <f t="shared" si="21"/>
        <v>3</v>
      </c>
      <c r="AW54" s="168">
        <f>COUNTIF( AV$7:AV54, AV54 )</f>
        <v>14</v>
      </c>
      <c r="AX54" s="208">
        <f t="shared" si="22"/>
        <v>4.4000000000000004</v>
      </c>
      <c r="AY54" s="168">
        <f t="shared" si="23"/>
        <v>16</v>
      </c>
      <c r="AZ54" s="169"/>
      <c r="BA54" s="169"/>
      <c r="BC54" s="168">
        <f t="shared" ca="1" si="24"/>
        <v>48</v>
      </c>
      <c r="BD54" s="209">
        <f t="shared" ca="1" si="6"/>
        <v>14</v>
      </c>
      <c r="BF54" s="173" t="str">
        <f t="shared" ca="1" si="25"/>
        <v>DPL Inc.</v>
      </c>
      <c r="BG54" s="173" t="str">
        <f t="shared" ca="1" si="25"/>
        <v>BB</v>
      </c>
      <c r="BH54" s="173">
        <f t="shared" ca="1" si="25"/>
        <v>15</v>
      </c>
      <c r="BI54" s="173" t="str">
        <f t="shared" ca="1" si="25"/>
        <v>**DPL</v>
      </c>
    </row>
    <row r="55" spans="1:61" ht="13.8" x14ac:dyDescent="0.25">
      <c r="A55" s="223"/>
      <c r="B55" s="224"/>
      <c r="C55" s="224"/>
      <c r="D55" s="224"/>
      <c r="E55" s="225" t="str">
        <f t="shared" ca="1" si="8"/>
        <v/>
      </c>
      <c r="F55" s="348"/>
      <c r="G55" s="349" t="str">
        <f t="shared" ca="1" si="1"/>
        <v/>
      </c>
      <c r="H55" s="350"/>
      <c r="I55" s="350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8"/>
        <v/>
      </c>
      <c r="AJ55" s="169" t="e">
        <f t="shared" ca="1" si="19"/>
        <v>#N/A</v>
      </c>
      <c r="AK55" s="169" t="str">
        <f t="shared" ca="1" si="20"/>
        <v/>
      </c>
      <c r="AL55" s="169" t="str">
        <f t="shared" ca="1" si="20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1"/>
        <v>99</v>
      </c>
      <c r="AW55" s="168">
        <f>COUNTIF( AV$7:AV55, AV55 )</f>
        <v>1</v>
      </c>
      <c r="AX55" s="208">
        <f t="shared" si="22"/>
        <v>99.1</v>
      </c>
      <c r="AY55" s="168">
        <f t="shared" si="23"/>
        <v>49</v>
      </c>
      <c r="AZ55" s="169"/>
      <c r="BA55" s="169"/>
      <c r="BC55" s="168">
        <f t="shared" ca="1" si="24"/>
        <v>49</v>
      </c>
      <c r="BD55" s="209">
        <f t="shared" ca="1" si="6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3.8" x14ac:dyDescent="0.25">
      <c r="A56" s="223"/>
      <c r="B56" s="224"/>
      <c r="C56" s="224"/>
      <c r="D56" s="224"/>
      <c r="E56" s="225"/>
      <c r="F56" s="348"/>
      <c r="G56" s="349" t="str">
        <f t="shared" ca="1" si="1"/>
        <v/>
      </c>
      <c r="H56" s="350"/>
      <c r="I56" s="350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2</v>
      </c>
      <c r="AX56" s="208">
        <f t="shared" si="22"/>
        <v>99.2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8" x14ac:dyDescent="0.25">
      <c r="A57" s="223"/>
      <c r="B57" s="224"/>
      <c r="C57" s="224"/>
      <c r="D57" s="224"/>
      <c r="E57" s="225"/>
      <c r="F57" s="348"/>
      <c r="G57" s="349" t="str">
        <f t="shared" ca="1" si="1"/>
        <v/>
      </c>
      <c r="H57" s="350"/>
      <c r="I57" s="350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3</v>
      </c>
      <c r="AX57" s="208">
        <f t="shared" si="22"/>
        <v>99.3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8" x14ac:dyDescent="0.25">
      <c r="A58" s="223"/>
      <c r="B58" s="224"/>
      <c r="C58" s="224"/>
      <c r="D58" s="224"/>
      <c r="E58" s="225"/>
      <c r="F58" s="348"/>
      <c r="G58" s="349" t="str">
        <f t="shared" ca="1" si="1"/>
        <v/>
      </c>
      <c r="H58" s="350"/>
      <c r="I58" s="350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4</v>
      </c>
      <c r="AX58" s="208">
        <f t="shared" si="22"/>
        <v>99.4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8" x14ac:dyDescent="0.25">
      <c r="A59" s="223"/>
      <c r="B59" s="224"/>
      <c r="C59" s="224"/>
      <c r="D59" s="224"/>
      <c r="E59" s="225" t="str">
        <f t="shared" ca="1" si="8"/>
        <v/>
      </c>
      <c r="F59" s="348"/>
      <c r="G59" s="349" t="str">
        <f t="shared" ca="1" si="1"/>
        <v/>
      </c>
      <c r="H59" s="350"/>
      <c r="I59" s="350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5</v>
      </c>
      <c r="AX59" s="208">
        <f t="shared" si="22"/>
        <v>99.5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" thickBot="1" x14ac:dyDescent="0.3">
      <c r="A60" s="192"/>
      <c r="B60" s="193"/>
      <c r="C60" s="193"/>
      <c r="D60" s="193"/>
      <c r="E60" s="194" t="str">
        <f t="shared" ca="1" si="8"/>
        <v/>
      </c>
      <c r="F60" s="350"/>
      <c r="G60" s="353" t="str">
        <f t="shared" ca="1" si="1"/>
        <v/>
      </c>
      <c r="H60" s="350"/>
      <c r="I60" s="350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6</v>
      </c>
      <c r="AX60" s="208">
        <f t="shared" si="22"/>
        <v>99.6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8" x14ac:dyDescent="0.25">
      <c r="A61" s="226" t="s">
        <v>308</v>
      </c>
      <c r="B61" s="227" t="s">
        <v>162</v>
      </c>
      <c r="C61" s="227">
        <v>23</v>
      </c>
      <c r="D61" s="227" t="s">
        <v>309</v>
      </c>
      <c r="E61" s="228" t="str">
        <f t="shared" ca="1" si="8"/>
        <v>MR</v>
      </c>
      <c r="F61" s="354"/>
      <c r="G61" s="355">
        <f t="shared" ca="1" si="1"/>
        <v>31</v>
      </c>
      <c r="H61" s="350"/>
      <c r="I61" s="350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7</v>
      </c>
      <c r="AX61" s="208">
        <f t="shared" si="22"/>
        <v>99.7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8" x14ac:dyDescent="0.25">
      <c r="A62" s="223"/>
      <c r="B62" s="224"/>
      <c r="C62" s="224"/>
      <c r="D62" s="224"/>
      <c r="E62" s="225"/>
      <c r="F62" s="348"/>
      <c r="G62" s="349" t="str">
        <f t="shared" ca="1" si="1"/>
        <v/>
      </c>
      <c r="H62" s="350"/>
      <c r="I62" s="350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 t="e">
        <f t="shared" ca="1" si="19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8</v>
      </c>
      <c r="AX62" s="208">
        <f t="shared" si="22"/>
        <v>99.8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/>
      <c r="B63" s="229"/>
      <c r="C63" s="224"/>
      <c r="D63" s="224"/>
      <c r="E63" s="225"/>
      <c r="F63" s="348"/>
      <c r="G63" s="349"/>
      <c r="H63" s="350"/>
      <c r="I63" s="350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9</v>
      </c>
      <c r="AX63" s="208">
        <f t="shared" si="22"/>
        <v>99.9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/>
      <c r="B64" s="229"/>
      <c r="C64" s="224"/>
      <c r="D64" s="224"/>
      <c r="E64" s="225"/>
      <c r="F64" s="348"/>
      <c r="G64" s="349"/>
      <c r="H64" s="350"/>
      <c r="I64" s="350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308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58" ht="13.8" x14ac:dyDescent="0.25">
      <c r="A65" s="223"/>
      <c r="B65" s="229"/>
      <c r="C65" s="224"/>
      <c r="D65" s="224"/>
      <c r="E65" s="225"/>
      <c r="F65" s="348"/>
      <c r="G65" s="349"/>
      <c r="H65" s="350"/>
      <c r="I65" s="350"/>
      <c r="N65" s="168" t="s">
        <v>310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3.8" x14ac:dyDescent="0.25">
      <c r="A66" s="195"/>
      <c r="B66" s="196"/>
      <c r="C66" s="185"/>
      <c r="D66" s="185"/>
      <c r="E66" s="182"/>
      <c r="F66" s="350"/>
      <c r="H66" s="350"/>
      <c r="I66" s="350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50"/>
      <c r="H67" s="350"/>
      <c r="I67" s="350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8" x14ac:dyDescent="0.25">
      <c r="A68" s="200" t="s">
        <v>311</v>
      </c>
      <c r="B68" s="189" t="str">
        <f ca="1">OFFSET( Scale!$H$5, ROUND( C68, 0 ) - 1, 1 )</f>
        <v>BBB+</v>
      </c>
      <c r="C68" s="201">
        <f>AVERAGE(C7:C65)</f>
        <v>19</v>
      </c>
      <c r="D68" s="201"/>
      <c r="E68" s="201"/>
      <c r="F68" s="350"/>
      <c r="H68" s="350"/>
      <c r="I68" s="350"/>
      <c r="J68" s="351"/>
      <c r="K68" s="351"/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50"/>
      <c r="H69" s="350"/>
      <c r="I69" s="350"/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1"/>
      <c r="K70" s="351"/>
    </row>
    <row r="71" spans="1:58" x14ac:dyDescent="0.25">
      <c r="A71" s="203" t="s">
        <v>312</v>
      </c>
      <c r="F71" s="173"/>
      <c r="H71" s="173"/>
      <c r="I71" s="173"/>
    </row>
    <row r="72" spans="1:58" x14ac:dyDescent="0.25">
      <c r="A72" s="203" t="s">
        <v>313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314</v>
      </c>
      <c r="B73" s="173"/>
      <c r="D73" s="173"/>
      <c r="E73" s="173"/>
      <c r="F73" s="204"/>
      <c r="H73" s="204"/>
      <c r="I73" s="204"/>
    </row>
    <row r="74" spans="1:58" x14ac:dyDescent="0.25">
      <c r="A74" s="203" t="s">
        <v>315</v>
      </c>
      <c r="D74" s="204"/>
      <c r="F74" s="206"/>
      <c r="H74" s="206"/>
      <c r="I74" s="206"/>
      <c r="AQ74" s="207"/>
      <c r="AR74" s="207"/>
      <c r="AS74" s="207"/>
    </row>
    <row r="75" spans="1:58" x14ac:dyDescent="0.25">
      <c r="A75" s="203" t="s">
        <v>316</v>
      </c>
      <c r="D75" s="204"/>
      <c r="F75" s="206"/>
      <c r="H75" s="206"/>
      <c r="I75" s="206"/>
      <c r="AQ75" s="207"/>
      <c r="AR75" s="207"/>
      <c r="AS75" s="207"/>
    </row>
    <row r="76" spans="1:58" x14ac:dyDescent="0.25">
      <c r="A76" s="203"/>
      <c r="AQ76" s="207"/>
      <c r="AR76" s="207"/>
      <c r="AS76" s="207"/>
    </row>
    <row r="77" spans="1:58" x14ac:dyDescent="0.25">
      <c r="C77" s="190">
        <f>SUMPRODUCT( L8:L13, Y8:Y13 ) / L14</f>
        <v>18.959183673469386</v>
      </c>
      <c r="E77" s="191"/>
      <c r="G77" s="353"/>
      <c r="J77" s="173"/>
      <c r="K77" s="173"/>
      <c r="AQ77" s="207"/>
      <c r="AR77" s="207"/>
      <c r="AS77" s="207"/>
    </row>
    <row r="78" spans="1:58" s="173" customFormat="1" ht="13.8" x14ac:dyDescent="0.2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ref="AQ7:AT5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947" priority="31" stopIfTrue="1">
      <formula>IF( $AH7 = 1, TRUE, FALSE )</formula>
    </cfRule>
    <cfRule type="expression" dxfId="946" priority="32" stopIfTrue="1">
      <formula>IF( $AG7 = 1, TRUE, FALSE )</formula>
    </cfRule>
    <cfRule type="expression" dxfId="945" priority="33" stopIfTrue="1">
      <formula>IF( $AF7 = 1, TRUE, FALSE )</formula>
    </cfRule>
  </conditionalFormatting>
  <conditionalFormatting sqref="A67:E67">
    <cfRule type="expression" dxfId="944" priority="34" stopIfTrue="1">
      <formula>IF( $AH67 = 1, TRUE, FALSE )</formula>
    </cfRule>
    <cfRule type="expression" dxfId="943" priority="35" stopIfTrue="1">
      <formula>IF( $AG67 = 1, TRUE, FALSE )</formula>
    </cfRule>
    <cfRule type="expression" dxfId="942" priority="36" stopIfTrue="1">
      <formula>IF( $AF67 = 1, TRUE, FALSE )</formula>
    </cfRule>
  </conditionalFormatting>
  <conditionalFormatting sqref="A66:E66">
    <cfRule type="expression" dxfId="941" priority="28" stopIfTrue="1">
      <formula>IF( $AH66 = 1, TRUE, FALSE )</formula>
    </cfRule>
    <cfRule type="expression" dxfId="940" priority="29" stopIfTrue="1">
      <formula>IF( $AG66 = 1, TRUE, FALSE )</formula>
    </cfRule>
    <cfRule type="expression" dxfId="939" priority="30" stopIfTrue="1">
      <formula>IF( $AF66 = 1, TRUE, FALSE )</formula>
    </cfRule>
  </conditionalFormatting>
  <conditionalFormatting sqref="A8:D33 B7:D7 A35:D58">
    <cfRule type="expression" dxfId="938" priority="25" stopIfTrue="1">
      <formula>IF( $AH7 = 1, TRUE, FALSE )</formula>
    </cfRule>
    <cfRule type="expression" dxfId="937" priority="26" stopIfTrue="1">
      <formula>IF( $AG7 = 1, TRUE, FALSE )</formula>
    </cfRule>
    <cfRule type="expression" dxfId="936" priority="27" stopIfTrue="1">
      <formula>IF( $AF7 = 1, TRUE, FALSE )</formula>
    </cfRule>
  </conditionalFormatting>
  <conditionalFormatting sqref="A59:D59">
    <cfRule type="expression" dxfId="935" priority="22" stopIfTrue="1">
      <formula>IF( $AH59 = 1, TRUE, FALSE )</formula>
    </cfRule>
    <cfRule type="expression" dxfId="934" priority="23" stopIfTrue="1">
      <formula>IF( $AG59 = 1, TRUE, FALSE )</formula>
    </cfRule>
    <cfRule type="expression" dxfId="933" priority="24" stopIfTrue="1">
      <formula>IF( $AF59 = 1, TRUE, FALSE )</formula>
    </cfRule>
  </conditionalFormatting>
  <conditionalFormatting sqref="A61:D65">
    <cfRule type="expression" dxfId="932" priority="19" stopIfTrue="1">
      <formula>IF( $AH61 = 1, TRUE, FALSE )</formula>
    </cfRule>
    <cfRule type="expression" dxfId="931" priority="20" stopIfTrue="1">
      <formula>IF( $AG61 = 1, TRUE, FALSE )</formula>
    </cfRule>
    <cfRule type="expression" dxfId="930" priority="21" stopIfTrue="1">
      <formula>IF( $AF61 = 1, TRUE, FALSE )</formula>
    </cfRule>
  </conditionalFormatting>
  <conditionalFormatting sqref="U8:U12">
    <cfRule type="cellIs" dxfId="929" priority="18" operator="equal">
      <formula>0</formula>
    </cfRule>
  </conditionalFormatting>
  <conditionalFormatting sqref="O8:O12 Q8:Q12">
    <cfRule type="cellIs" dxfId="928" priority="17" operator="equal">
      <formula>0</formula>
    </cfRule>
  </conditionalFormatting>
  <conditionalFormatting sqref="V8:V12">
    <cfRule type="cellIs" dxfId="927" priority="16" operator="equal">
      <formula>0</formula>
    </cfRule>
  </conditionalFormatting>
  <conditionalFormatting sqref="S8:S12">
    <cfRule type="cellIs" dxfId="926" priority="14" operator="equal">
      <formula>0</formula>
    </cfRule>
  </conditionalFormatting>
  <conditionalFormatting sqref="R8:R12">
    <cfRule type="cellIs" dxfId="925" priority="15" operator="equal">
      <formula>0</formula>
    </cfRule>
  </conditionalFormatting>
  <conditionalFormatting sqref="P8:P12">
    <cfRule type="cellIs" dxfId="924" priority="13" operator="equal">
      <formula>0</formula>
    </cfRule>
  </conditionalFormatting>
  <conditionalFormatting sqref="M8:M12">
    <cfRule type="cellIs" dxfId="923" priority="12" operator="equal">
      <formula>0</formula>
    </cfRule>
  </conditionalFormatting>
  <conditionalFormatting sqref="T8:T12">
    <cfRule type="cellIs" dxfId="922" priority="11" operator="equal">
      <formula>0</formula>
    </cfRule>
  </conditionalFormatting>
  <conditionalFormatting sqref="N8:N12">
    <cfRule type="cellIs" dxfId="921" priority="10" operator="equal">
      <formula>0</formula>
    </cfRule>
  </conditionalFormatting>
  <conditionalFormatting sqref="K8:K12">
    <cfRule type="cellIs" dxfId="920" priority="9" operator="equal">
      <formula>0</formula>
    </cfRule>
  </conditionalFormatting>
  <conditionalFormatting sqref="I8:I12">
    <cfRule type="cellIs" dxfId="919" priority="8" operator="equal">
      <formula>0</formula>
    </cfRule>
  </conditionalFormatting>
  <conditionalFormatting sqref="W8:W12">
    <cfRule type="cellIs" dxfId="918" priority="7" operator="equal">
      <formula>0</formula>
    </cfRule>
  </conditionalFormatting>
  <conditionalFormatting sqref="A7">
    <cfRule type="expression" dxfId="917" priority="4" stopIfTrue="1">
      <formula>IF( $AH7 = 1, TRUE, FALSE )</formula>
    </cfRule>
    <cfRule type="expression" dxfId="916" priority="5" stopIfTrue="1">
      <formula>IF( $AG7 = 1, TRUE, FALSE )</formula>
    </cfRule>
    <cfRule type="expression" dxfId="915" priority="6" stopIfTrue="1">
      <formula>IF( $AF7 = 1, TRUE, FALSE )</formula>
    </cfRule>
  </conditionalFormatting>
  <conditionalFormatting sqref="A34:D34">
    <cfRule type="expression" dxfId="914" priority="1" stopIfTrue="1">
      <formula>IF( $AH34 = 1, TRUE, FALSE )</formula>
    </cfRule>
    <cfRule type="expression" dxfId="913" priority="2" stopIfTrue="1">
      <formula>IF( $AG34 = 1, TRUE, FALSE )</formula>
    </cfRule>
    <cfRule type="expression" dxfId="912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hidden="1" customWidth="1" outlineLevel="1"/>
    <col min="23" max="23" width="2" style="168" hidden="1" customWidth="1" outlineLevel="1"/>
    <col min="24" max="24" width="4.109375" style="168" customWidth="1" collapsed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15.88671875" style="169" hidden="1" customWidth="1" outlineLevel="1" collapsed="1"/>
    <col min="37" max="38" width="15.88671875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-- 2017 Q3</v>
      </c>
      <c r="G1" s="175" t="s">
        <v>195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 x14ac:dyDescent="0.25">
      <c r="A2" s="167"/>
      <c r="E2" s="171" t="str">
        <f>G2</f>
        <v>Reg_Percent_2016</v>
      </c>
      <c r="G2" s="172" t="s">
        <v>356</v>
      </c>
      <c r="AJ2" s="173" t="str">
        <f>AJ4 &amp; AJ3</f>
        <v>'Credit_2017Q2'!d:d</v>
      </c>
      <c r="AK2" s="173" t="str">
        <f>AK4 &amp; AK3</f>
        <v>'Credit_2017Q2'!b1</v>
      </c>
      <c r="AL2" s="173" t="str">
        <f>AL4 &amp; AL3</f>
        <v>'Credit_2017Q2'!c1</v>
      </c>
      <c r="AQ2" s="169"/>
    </row>
    <row r="3" spans="1:61" ht="18" hidden="1" outlineLevel="1" x14ac:dyDescent="0.25">
      <c r="A3" s="167"/>
      <c r="E3" s="174" t="str">
        <f>"'" &amp; E2 &amp; "'!"</f>
        <v>'Reg_Percent_2016'!</v>
      </c>
      <c r="G3" s="168" t="str">
        <f>"'" &amp; G2 &amp; "'!"</f>
        <v>'Reg_Percent_2016'!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205</v>
      </c>
      <c r="AK3" s="149" t="s">
        <v>206</v>
      </c>
      <c r="AL3" s="149" t="s">
        <v>207</v>
      </c>
      <c r="AQ3" s="169"/>
    </row>
    <row r="4" spans="1:61" ht="18" hidden="1" outlineLevel="1" x14ac:dyDescent="0.25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>$AQ$5</f>
        <v>'Credit_2017Q2'!</v>
      </c>
      <c r="AK4" s="169" t="str">
        <f t="shared" ref="AK4:AL4" si="0">$AQ$5</f>
        <v>'Credit_2017Q2'!</v>
      </c>
      <c r="AL4" s="169" t="str">
        <f t="shared" si="0"/>
        <v>'Credit_2017Q2'!</v>
      </c>
      <c r="AQ4" s="169"/>
    </row>
    <row r="5" spans="1:61" ht="13.8" collapsed="1" x14ac:dyDescent="0.25">
      <c r="E5" s="176" t="s">
        <v>209</v>
      </c>
      <c r="G5" s="170" t="s">
        <v>199</v>
      </c>
      <c r="I5" s="230"/>
      <c r="J5" s="389" t="s">
        <v>210</v>
      </c>
      <c r="K5" s="230"/>
      <c r="L5" s="391" t="str">
        <f>"All Companies" &amp; CHAR( 10 ) &amp; "("&amp; L14 &amp; ")"</f>
        <v>All Companies
(49)</v>
      </c>
      <c r="M5" s="391"/>
      <c r="N5" s="230"/>
      <c r="O5" s="389" t="str">
        <f ca="1">"Regulated" &amp; CHAR( 10 ) &amp; "(" &amp; O14 &amp; ")"</f>
        <v>Regulated
(35)</v>
      </c>
      <c r="P5" s="393"/>
      <c r="Q5" s="230"/>
      <c r="R5" s="389" t="str">
        <f ca="1">"Mostly Regulated" &amp; CHAR( 10 ) &amp; "(" &amp; R14 &amp; ")"</f>
        <v>Mostly Regulated
(14)</v>
      </c>
      <c r="S5" s="393"/>
      <c r="T5" s="230"/>
      <c r="U5" s="389" t="str">
        <f ca="1">"Diversified" &amp; CHAR( 10 ) &amp; "(" &amp; U14 &amp; ")"</f>
        <v>Diversified
(0)</v>
      </c>
      <c r="V5" s="393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360</v>
      </c>
    </row>
    <row r="6" spans="1:61" ht="28.5" customHeight="1" x14ac:dyDescent="0.25">
      <c r="A6" s="219" t="s">
        <v>212</v>
      </c>
      <c r="B6" s="220" t="s">
        <v>70</v>
      </c>
      <c r="C6" s="249" t="s">
        <v>214</v>
      </c>
      <c r="D6" s="221"/>
      <c r="E6" s="222">
        <f ca="1">INDIRECT( E3 &amp; G1 )</f>
        <v>42735</v>
      </c>
      <c r="I6" s="231"/>
      <c r="J6" s="390"/>
      <c r="K6" s="231"/>
      <c r="L6" s="392"/>
      <c r="M6" s="392"/>
      <c r="N6" s="231"/>
      <c r="O6" s="390"/>
      <c r="P6" s="390"/>
      <c r="Q6" s="231"/>
      <c r="R6" s="390" t="s">
        <v>136</v>
      </c>
      <c r="S6" s="390"/>
      <c r="T6" s="231"/>
      <c r="U6" s="390"/>
      <c r="V6" s="390"/>
      <c r="W6" s="231"/>
      <c r="AE6" s="178"/>
      <c r="AJ6" s="179"/>
    </row>
    <row r="7" spans="1:61" ht="13.8" x14ac:dyDescent="0.25">
      <c r="A7" s="223" t="s">
        <v>215</v>
      </c>
      <c r="B7" s="224" t="s">
        <v>166</v>
      </c>
      <c r="C7" s="224">
        <v>21</v>
      </c>
      <c r="D7" s="224" t="s">
        <v>216</v>
      </c>
      <c r="E7" s="225" t="str">
        <f ca="1">IF( LEN( $G7 ) = 0, "", OFFSET( INDIRECT( E$3 &amp; E$4 ), $G7 - 1, 0 ) )</f>
        <v>R</v>
      </c>
      <c r="F7" s="348"/>
      <c r="G7" s="349">
        <f t="shared" ref="G7:G62" ca="1" si="1">IF( LEN( $D7 ) = 0, "", MATCH( $D7, INDIRECT( G$3 &amp; G$4 ), 0 ) )</f>
        <v>58</v>
      </c>
      <c r="H7" s="350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217</v>
      </c>
      <c r="AR7" s="207" t="s">
        <v>140</v>
      </c>
      <c r="AS7" s="207">
        <v>19</v>
      </c>
      <c r="AT7" s="207" t="s">
        <v>218</v>
      </c>
      <c r="AV7" s="168">
        <f>IF( LEN( AS7 ) = 0, 99, RANK( AS7, $AS$7:$AS$63 ) )</f>
        <v>17</v>
      </c>
      <c r="AW7" s="168">
        <f>COUNTIF( AV7:AV$7, AV7 )</f>
        <v>1</v>
      </c>
      <c r="AX7" s="208">
        <f>AV7 + AW7 / 10</f>
        <v>17.100000000000001</v>
      </c>
      <c r="AY7" s="168">
        <f>RANK( AX7, $AX$7:$AX$63, 1 )</f>
        <v>17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7</v>
      </c>
      <c r="BF7" s="173" t="str">
        <f t="shared" ref="BF7:BI38" ca="1" si="7">OFFSET( AQ$6, $BD7, 0 )</f>
        <v>Berkshire Energy Holdings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**BRK</v>
      </c>
    </row>
    <row r="8" spans="1:61" ht="13.8" x14ac:dyDescent="0.25">
      <c r="A8" s="223" t="s">
        <v>235</v>
      </c>
      <c r="B8" s="224" t="s">
        <v>166</v>
      </c>
      <c r="C8" s="224">
        <v>21</v>
      </c>
      <c r="D8" s="224" t="s">
        <v>236</v>
      </c>
      <c r="E8" s="225" t="str">
        <f t="shared" ref="E8:E61" ca="1" si="8">IF( LEN( $G8 ) = 0, "", OFFSET( INDIRECT( E$3 &amp; E$4 ), $G8 - 1, 0 ) )</f>
        <v>R</v>
      </c>
      <c r="F8" s="348"/>
      <c r="G8" s="349">
        <f t="shared" ca="1" si="1"/>
        <v>24</v>
      </c>
      <c r="H8" s="350"/>
      <c r="I8" s="233"/>
      <c r="J8" s="213" t="s">
        <v>137</v>
      </c>
      <c r="K8" s="233"/>
      <c r="L8" s="213">
        <f t="shared" ref="L8:L13" si="9">COUNTIF($C$7:$C$67,$X8)</f>
        <v>3</v>
      </c>
      <c r="M8" s="214">
        <f t="shared" ref="M8:M13" si="10">IF( L8 = 0, "", L8/L$14 )</f>
        <v>6.1224489795918366E-2</v>
      </c>
      <c r="N8" s="233"/>
      <c r="O8" s="213">
        <f t="shared" ref="O8:O13" ca="1" si="11">COUNTIFS( $E$7:$E$66, O$3, $C$7:$C$66, $X8 )</f>
        <v>2</v>
      </c>
      <c r="P8" s="214">
        <f t="shared" ref="P8:P13" ca="1" si="12">IF( O8 = 0, "", O8/O$14 )</f>
        <v>5.7142857142857141E-2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7.1428571428571425E-2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7">SUM(O8, R8, U8)</f>
        <v>3</v>
      </c>
      <c r="AC8" s="351"/>
      <c r="AE8" s="184"/>
      <c r="AF8" s="169">
        <f t="shared" si="2"/>
        <v>1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20</v>
      </c>
      <c r="BF8" s="173" t="str">
        <f t="shared" ca="1" si="7"/>
        <v>Eversource Energy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ES</v>
      </c>
    </row>
    <row r="9" spans="1:61" ht="13.8" x14ac:dyDescent="0.25">
      <c r="A9" s="223" t="s">
        <v>219</v>
      </c>
      <c r="B9" s="224" t="s">
        <v>139</v>
      </c>
      <c r="C9" s="224">
        <v>20</v>
      </c>
      <c r="D9" s="224" t="s">
        <v>220</v>
      </c>
      <c r="E9" s="225" t="str">
        <f t="shared" ca="1" si="8"/>
        <v>R</v>
      </c>
      <c r="F9" s="348"/>
      <c r="G9" s="349">
        <f t="shared" ca="1" si="1"/>
        <v>8</v>
      </c>
      <c r="H9" s="350"/>
      <c r="I9" s="234"/>
      <c r="J9" s="215" t="s">
        <v>139</v>
      </c>
      <c r="K9" s="234"/>
      <c r="L9" s="215">
        <f t="shared" si="9"/>
        <v>14</v>
      </c>
      <c r="M9" s="216">
        <f t="shared" si="10"/>
        <v>0.2857142857142857</v>
      </c>
      <c r="N9" s="234"/>
      <c r="O9" s="215">
        <f t="shared" ca="1" si="11"/>
        <v>12</v>
      </c>
      <c r="P9" s="216">
        <f t="shared" ca="1" si="12"/>
        <v>0.34285714285714286</v>
      </c>
      <c r="Q9" s="234"/>
      <c r="R9" s="215">
        <f t="shared" ca="1" si="13"/>
        <v>2</v>
      </c>
      <c r="S9" s="216">
        <f t="shared" ca="1" si="14"/>
        <v>0.14285714285714285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7"/>
        <v>14</v>
      </c>
      <c r="AC9" s="351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si="21"/>
        <v>17</v>
      </c>
      <c r="AW9" s="168">
        <f>COUNTIF( AV$7:AV9, AV9 )</f>
        <v>2</v>
      </c>
      <c r="AX9" s="208">
        <f t="shared" si="22"/>
        <v>17.2</v>
      </c>
      <c r="AY9" s="168">
        <f t="shared" si="23"/>
        <v>18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ht="13.8" x14ac:dyDescent="0.25">
      <c r="A10" s="223" t="s">
        <v>222</v>
      </c>
      <c r="B10" s="224" t="s">
        <v>139</v>
      </c>
      <c r="C10" s="224">
        <v>20</v>
      </c>
      <c r="D10" s="224" t="s">
        <v>223</v>
      </c>
      <c r="E10" s="225" t="str">
        <f t="shared" ca="1" si="8"/>
        <v>R</v>
      </c>
      <c r="F10" s="348"/>
      <c r="G10" s="349">
        <f t="shared" ca="1" si="1"/>
        <v>10</v>
      </c>
      <c r="H10" s="350"/>
      <c r="I10" s="234"/>
      <c r="J10" s="215" t="s">
        <v>140</v>
      </c>
      <c r="K10" s="234"/>
      <c r="L10" s="215">
        <f t="shared" si="9"/>
        <v>18</v>
      </c>
      <c r="M10" s="216">
        <f t="shared" si="10"/>
        <v>0.36734693877551022</v>
      </c>
      <c r="N10" s="234"/>
      <c r="O10" s="215">
        <f t="shared" ca="1" si="11"/>
        <v>10</v>
      </c>
      <c r="P10" s="216">
        <f t="shared" ca="1" si="12"/>
        <v>0.2857142857142857</v>
      </c>
      <c r="Q10" s="234"/>
      <c r="R10" s="215">
        <f t="shared" ca="1" si="13"/>
        <v>8</v>
      </c>
      <c r="S10" s="216">
        <f t="shared" ca="1" si="14"/>
        <v>0.5714285714285714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229</v>
      </c>
      <c r="Y10" s="186">
        <v>19</v>
      </c>
      <c r="Z10" s="186">
        <v>1</v>
      </c>
      <c r="AA10" s="185">
        <f t="shared" ca="1" si="17"/>
        <v>18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222</v>
      </c>
      <c r="AR10" s="207" t="s">
        <v>139</v>
      </c>
      <c r="AS10" s="207">
        <v>20</v>
      </c>
      <c r="AT10" s="207" t="s">
        <v>223</v>
      </c>
      <c r="AV10" s="168">
        <f t="shared" si="21"/>
        <v>3</v>
      </c>
      <c r="AW10" s="168">
        <f>COUNTIF( AV$7:AV10, AV10 )</f>
        <v>2</v>
      </c>
      <c r="AX10" s="208">
        <f t="shared" si="22"/>
        <v>3.2</v>
      </c>
      <c r="AY10" s="168">
        <f t="shared" si="23"/>
        <v>4</v>
      </c>
      <c r="AZ10" s="169"/>
      <c r="BA10" s="169"/>
      <c r="BC10" s="168">
        <f t="shared" ca="1" si="24"/>
        <v>4</v>
      </c>
      <c r="BD10" s="209">
        <f t="shared" ca="1" si="6"/>
        <v>4</v>
      </c>
      <c r="BF10" s="173" t="str">
        <f t="shared" ca="1" si="7"/>
        <v>American Electric Power Company,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AEP</v>
      </c>
    </row>
    <row r="11" spans="1:61" ht="13.8" x14ac:dyDescent="0.25">
      <c r="A11" s="223" t="s">
        <v>249</v>
      </c>
      <c r="B11" s="224" t="s">
        <v>139</v>
      </c>
      <c r="C11" s="224">
        <v>20</v>
      </c>
      <c r="D11" s="224" t="s">
        <v>250</v>
      </c>
      <c r="E11" s="225" t="str">
        <f t="shared" ca="1" si="8"/>
        <v>MR</v>
      </c>
      <c r="F11" s="348"/>
      <c r="G11" s="349">
        <f t="shared" ca="1" si="1"/>
        <v>14</v>
      </c>
      <c r="H11" s="350"/>
      <c r="I11" s="234"/>
      <c r="J11" s="215" t="s">
        <v>141</v>
      </c>
      <c r="K11" s="234"/>
      <c r="L11" s="215">
        <f t="shared" si="9"/>
        <v>8</v>
      </c>
      <c r="M11" s="216">
        <f t="shared" si="10"/>
        <v>0.16326530612244897</v>
      </c>
      <c r="N11" s="234"/>
      <c r="O11" s="215">
        <f t="shared" ca="1" si="11"/>
        <v>7</v>
      </c>
      <c r="P11" s="216">
        <f t="shared" ca="1" si="12"/>
        <v>0.2</v>
      </c>
      <c r="Q11" s="234"/>
      <c r="R11" s="215">
        <f t="shared" ca="1" si="13"/>
        <v>1</v>
      </c>
      <c r="S11" s="216">
        <f t="shared" ca="1" si="14"/>
        <v>7.1428571428571425E-2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7"/>
        <v>8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233</v>
      </c>
      <c r="AR11" s="207" t="s">
        <v>140</v>
      </c>
      <c r="AS11" s="207">
        <v>19</v>
      </c>
      <c r="AT11" s="207" t="s">
        <v>234</v>
      </c>
      <c r="AV11" s="168">
        <f t="shared" si="21"/>
        <v>17</v>
      </c>
      <c r="AW11" s="168">
        <f>COUNTIF( AV$7:AV11, AV11 )</f>
        <v>3</v>
      </c>
      <c r="AX11" s="208">
        <f t="shared" si="22"/>
        <v>17.3</v>
      </c>
      <c r="AY11" s="168">
        <f t="shared" si="23"/>
        <v>19</v>
      </c>
      <c r="AZ11" s="169"/>
      <c r="BA11" s="169"/>
      <c r="BC11" s="168">
        <f t="shared" ca="1" si="24"/>
        <v>5</v>
      </c>
      <c r="BD11" s="209">
        <f t="shared" ca="1" si="6"/>
        <v>9</v>
      </c>
      <c r="BF11" s="173" t="str">
        <f t="shared" ca="1" si="7"/>
        <v>CenterPoint Energy,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CNP</v>
      </c>
    </row>
    <row r="12" spans="1:61" ht="13.8" x14ac:dyDescent="0.25">
      <c r="A12" s="223" t="s">
        <v>227</v>
      </c>
      <c r="B12" s="224" t="s">
        <v>139</v>
      </c>
      <c r="C12" s="224">
        <v>20</v>
      </c>
      <c r="D12" s="224" t="s">
        <v>228</v>
      </c>
      <c r="E12" s="225" t="str">
        <f t="shared" ca="1" si="8"/>
        <v>R</v>
      </c>
      <c r="F12" s="348"/>
      <c r="G12" s="349">
        <f t="shared" ca="1" si="1"/>
        <v>16</v>
      </c>
      <c r="H12" s="350"/>
      <c r="I12" s="234"/>
      <c r="J12" s="215" t="s">
        <v>142</v>
      </c>
      <c r="K12" s="234"/>
      <c r="L12" s="215">
        <f t="shared" si="9"/>
        <v>5</v>
      </c>
      <c r="M12" s="216">
        <f t="shared" si="10"/>
        <v>0.10204081632653061</v>
      </c>
      <c r="N12" s="234"/>
      <c r="O12" s="215">
        <f t="shared" ca="1" si="11"/>
        <v>4</v>
      </c>
      <c r="P12" s="216">
        <f t="shared" ca="1" si="12"/>
        <v>0.11428571428571428</v>
      </c>
      <c r="Q12" s="234"/>
      <c r="R12" s="215">
        <f t="shared" ca="1" si="13"/>
        <v>1</v>
      </c>
      <c r="S12" s="216">
        <f t="shared" ca="1" si="14"/>
        <v>7.1428571428571425E-2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237</v>
      </c>
      <c r="Y12" s="186">
        <v>17</v>
      </c>
      <c r="Z12" s="186">
        <v>1</v>
      </c>
      <c r="AA12" s="185">
        <f t="shared" ca="1" si="17"/>
        <v>5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238</v>
      </c>
      <c r="AR12" s="207" t="s">
        <v>141</v>
      </c>
      <c r="AS12" s="207">
        <v>18</v>
      </c>
      <c r="AT12" s="207" t="s">
        <v>239</v>
      </c>
      <c r="AV12" s="168">
        <f t="shared" si="21"/>
        <v>35</v>
      </c>
      <c r="AW12" s="168">
        <f>COUNTIF( AV$7:AV12, AV12 )</f>
        <v>1</v>
      </c>
      <c r="AX12" s="208">
        <f t="shared" si="22"/>
        <v>35.1</v>
      </c>
      <c r="AY12" s="168">
        <f t="shared" si="23"/>
        <v>35</v>
      </c>
      <c r="AZ12" s="169"/>
      <c r="BA12" s="169"/>
      <c r="BC12" s="168">
        <f t="shared" ca="1" si="24"/>
        <v>6</v>
      </c>
      <c r="BD12" s="209">
        <f t="shared" ca="1" si="6"/>
        <v>12</v>
      </c>
      <c r="BF12" s="173" t="str">
        <f t="shared" ca="1" si="7"/>
        <v>Consolidated Edison,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ED</v>
      </c>
    </row>
    <row r="13" spans="1:61" ht="13.8" x14ac:dyDescent="0.25">
      <c r="A13" s="223" t="s">
        <v>263</v>
      </c>
      <c r="B13" s="224" t="s">
        <v>139</v>
      </c>
      <c r="C13" s="224">
        <v>20</v>
      </c>
      <c r="D13" s="224" t="s">
        <v>264</v>
      </c>
      <c r="E13" s="225" t="str">
        <f t="shared" ca="1" si="8"/>
        <v>R</v>
      </c>
      <c r="F13" s="348"/>
      <c r="G13" s="349">
        <f t="shared" ca="1" si="1"/>
        <v>19</v>
      </c>
      <c r="H13" s="350"/>
      <c r="I13" s="235"/>
      <c r="J13" s="217" t="s">
        <v>143</v>
      </c>
      <c r="K13" s="235"/>
      <c r="L13" s="217">
        <f t="shared" si="9"/>
        <v>1</v>
      </c>
      <c r="M13" s="218">
        <f t="shared" si="10"/>
        <v>2.0408163265306121E-2</v>
      </c>
      <c r="N13" s="235"/>
      <c r="O13" s="217">
        <f t="shared" ca="1" si="11"/>
        <v>0</v>
      </c>
      <c r="P13" s="218" t="str">
        <f t="shared" ca="1" si="12"/>
        <v/>
      </c>
      <c r="Q13" s="235"/>
      <c r="R13" s="217">
        <f t="shared" ca="1" si="13"/>
        <v>1</v>
      </c>
      <c r="S13" s="218">
        <f t="shared" ca="1" si="14"/>
        <v>7.1428571428571425E-2</v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242</v>
      </c>
      <c r="Y13" s="186">
        <v>16</v>
      </c>
      <c r="Z13" s="186">
        <v>1</v>
      </c>
      <c r="AA13" s="188">
        <f t="shared" ca="1" si="17"/>
        <v>1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215</v>
      </c>
      <c r="AR13" s="207" t="s">
        <v>166</v>
      </c>
      <c r="AS13" s="207">
        <v>21</v>
      </c>
      <c r="AT13" s="207" t="s">
        <v>216</v>
      </c>
      <c r="AV13" s="168">
        <f t="shared" si="21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23"/>
        <v>1</v>
      </c>
      <c r="AZ13" s="169"/>
      <c r="BA13" s="169"/>
      <c r="BC13" s="168">
        <f t="shared" ca="1" si="24"/>
        <v>7</v>
      </c>
      <c r="BD13" s="209">
        <f t="shared" ca="1" si="6"/>
        <v>16</v>
      </c>
      <c r="BF13" s="173" t="str">
        <f t="shared" ca="1" si="7"/>
        <v>Duke Energy Corporation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DUK</v>
      </c>
    </row>
    <row r="14" spans="1:61" ht="13.8" x14ac:dyDescent="0.25">
      <c r="A14" s="223" t="s">
        <v>240</v>
      </c>
      <c r="B14" s="224" t="s">
        <v>139</v>
      </c>
      <c r="C14" s="224">
        <v>20</v>
      </c>
      <c r="D14" s="224" t="s">
        <v>241</v>
      </c>
      <c r="E14" s="225" t="str">
        <f t="shared" ca="1" si="8"/>
        <v>MR</v>
      </c>
      <c r="F14" s="348"/>
      <c r="G14" s="349">
        <f t="shared" ca="1" si="1"/>
        <v>32</v>
      </c>
      <c r="H14" s="350"/>
      <c r="I14" s="236"/>
      <c r="J14" s="211" t="s">
        <v>144</v>
      </c>
      <c r="K14" s="236"/>
      <c r="L14" s="211">
        <f>SUM(L8:L13)</f>
        <v>49</v>
      </c>
      <c r="M14" s="212">
        <f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14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18.979591836734695</v>
      </c>
      <c r="Z14" s="190"/>
      <c r="AA14" s="189">
        <f ca="1">SUM(AA8:AA13)</f>
        <v>49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245</v>
      </c>
      <c r="AR14" s="207" t="s">
        <v>141</v>
      </c>
      <c r="AS14" s="207">
        <v>18</v>
      </c>
      <c r="AT14" s="207" t="s">
        <v>246</v>
      </c>
      <c r="AV14" s="168">
        <f>IF( LEN( AS14 ) = 0, 99, RANK( AS14, $AS$7:$AS$63 ) )</f>
        <v>35</v>
      </c>
      <c r="AW14" s="168">
        <f>COUNTIF( AV$7:AV14, AV14 )</f>
        <v>2</v>
      </c>
      <c r="AX14" s="208">
        <f t="shared" si="22"/>
        <v>35.200000000000003</v>
      </c>
      <c r="AY14" s="168">
        <f t="shared" si="23"/>
        <v>36</v>
      </c>
      <c r="AZ14" s="169"/>
      <c r="BA14" s="169"/>
      <c r="BC14" s="168">
        <f t="shared" ca="1" si="24"/>
        <v>8</v>
      </c>
      <c r="BD14" s="209">
        <f t="shared" ca="1" si="6"/>
        <v>28</v>
      </c>
      <c r="BF14" s="173" t="str">
        <f t="shared" ca="1" si="7"/>
        <v>NextEra Energy,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NEE</v>
      </c>
    </row>
    <row r="15" spans="1:61" ht="13.8" x14ac:dyDescent="0.25">
      <c r="A15" s="223" t="s">
        <v>277</v>
      </c>
      <c r="B15" s="224" t="s">
        <v>139</v>
      </c>
      <c r="C15" s="224">
        <v>20</v>
      </c>
      <c r="D15" s="224" t="s">
        <v>278</v>
      </c>
      <c r="E15" s="225" t="str">
        <f t="shared" ca="1" si="8"/>
        <v>R</v>
      </c>
      <c r="F15" s="348"/>
      <c r="G15" s="349">
        <f t="shared" ca="1" si="1"/>
        <v>35</v>
      </c>
      <c r="H15" s="350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249</v>
      </c>
      <c r="AR15" s="207" t="s">
        <v>139</v>
      </c>
      <c r="AS15" s="207">
        <v>20</v>
      </c>
      <c r="AT15" s="207" t="s">
        <v>250</v>
      </c>
      <c r="AV15" s="168">
        <f t="shared" si="21"/>
        <v>3</v>
      </c>
      <c r="AW15" s="168">
        <f>COUNTIF( AV$7:AV15, AV15 )</f>
        <v>3</v>
      </c>
      <c r="AX15" s="208">
        <f t="shared" si="22"/>
        <v>3.3</v>
      </c>
      <c r="AY15" s="168">
        <f t="shared" si="23"/>
        <v>5</v>
      </c>
      <c r="AZ15" s="169"/>
      <c r="BA15" s="169"/>
      <c r="BC15" s="168">
        <f t="shared" ca="1" si="24"/>
        <v>9</v>
      </c>
      <c r="BD15" s="209">
        <f t="shared" ca="1" si="6"/>
        <v>31</v>
      </c>
      <c r="BF15" s="173" t="str">
        <f t="shared" ca="1" si="7"/>
        <v>OGE Energy Corp.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OGE</v>
      </c>
    </row>
    <row r="16" spans="1:61" ht="13.8" x14ac:dyDescent="0.25">
      <c r="A16" s="223" t="s">
        <v>301</v>
      </c>
      <c r="B16" s="224" t="s">
        <v>139</v>
      </c>
      <c r="C16" s="224">
        <v>20</v>
      </c>
      <c r="D16" s="224" t="s">
        <v>302</v>
      </c>
      <c r="E16" s="225" t="str">
        <f t="shared" ca="1" si="8"/>
        <v>R</v>
      </c>
      <c r="F16" s="348"/>
      <c r="G16" s="349">
        <f t="shared" ca="1" si="1"/>
        <v>37</v>
      </c>
      <c r="H16" s="350"/>
      <c r="I16" s="232"/>
      <c r="J16" s="210" t="s">
        <v>253</v>
      </c>
      <c r="K16" s="232"/>
      <c r="L16" s="386">
        <f t="array" ref="L16">SUM( IF( LEN( $C$7:$C$65 ) = 0, 0, $C$7:$C$65 ) ) / SUM( IF( LEN( $C$7:$C$65 ) = 0, 0, 1  ) )</f>
        <v>18.979591836734695</v>
      </c>
      <c r="M16" s="387"/>
      <c r="N16" s="232"/>
      <c r="O16" s="386">
        <f t="array" aca="1" ref="O16" ca="1">SUM( IF( LEN( $C$7:$C$65 ) = 0, 0, IF( $E$7:$E$65 = O3, $C$7:$C$65, 0 ) ) ) / SUM( IF( LEN( $C$7:$C$65 ) = 0, 0, IF( $E$7:$E$65 = O3, 1, 0 ) ) )</f>
        <v>19.028571428571428</v>
      </c>
      <c r="P16" s="387"/>
      <c r="Q16" s="232"/>
      <c r="R16" s="386">
        <f t="array" aca="1" ref="R16" ca="1">SUM( IF( LEN( $C$7:$C$65 ) = 0, 0, IF( $E$7:$E$65 = R3, $C$7:$C$65, 0 ) ) ) / SUM( IF( LEN( $C$7:$C$65 ) = 0, 0, IF( $E$7:$E$65 = R3, 1, 0 ) ) )</f>
        <v>18.857142857142858</v>
      </c>
      <c r="S16" s="387"/>
      <c r="T16" s="232"/>
      <c r="U16" s="386" t="e">
        <f t="array" aca="1" ref="U16" ca="1">SUM( IF( LEN( $C$7:$C$65 ) = 0, 0, IF( $E$7:$E$65 = U3, $C$7:$C$65, 0 ) ) ) / SUM( IF( LEN( $C$7:$C$65 ) = 0, 0, IF( $E$7:$E$65 = U3, 1, 0 ) ) )</f>
        <v>#DIV/0!</v>
      </c>
      <c r="V16" s="388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254</v>
      </c>
      <c r="AR16" s="207" t="s">
        <v>142</v>
      </c>
      <c r="AS16" s="207">
        <v>17</v>
      </c>
      <c r="AT16" s="207" t="s">
        <v>255</v>
      </c>
      <c r="AV16" s="168">
        <f t="shared" si="21"/>
        <v>43</v>
      </c>
      <c r="AW16" s="168">
        <f>COUNTIF( AV$7:AV16, AV16 )</f>
        <v>1</v>
      </c>
      <c r="AX16" s="208">
        <f t="shared" si="22"/>
        <v>43.1</v>
      </c>
      <c r="AY16" s="168">
        <f t="shared" si="23"/>
        <v>43</v>
      </c>
      <c r="AZ16" s="169"/>
      <c r="BA16" s="169"/>
      <c r="BC16" s="168">
        <f t="shared" ca="1" si="24"/>
        <v>10</v>
      </c>
      <c r="BD16" s="209">
        <f t="shared" ca="1" si="6"/>
        <v>34</v>
      </c>
      <c r="BF16" s="173" t="str">
        <f t="shared" ca="1" si="7"/>
        <v>PG&amp;E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PCG</v>
      </c>
    </row>
    <row r="17" spans="1:61" ht="13.8" x14ac:dyDescent="0.25">
      <c r="A17" s="223" t="s">
        <v>281</v>
      </c>
      <c r="B17" s="224" t="s">
        <v>139</v>
      </c>
      <c r="C17" s="224">
        <v>20</v>
      </c>
      <c r="D17" s="224" t="s">
        <v>282</v>
      </c>
      <c r="E17" s="225" t="str">
        <f t="shared" ca="1" si="8"/>
        <v>R</v>
      </c>
      <c r="F17" s="348"/>
      <c r="G17" s="349">
        <f t="shared" ca="1" si="1"/>
        <v>38</v>
      </c>
      <c r="H17" s="350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256</v>
      </c>
      <c r="AR17" s="207" t="s">
        <v>140</v>
      </c>
      <c r="AS17" s="207">
        <v>19</v>
      </c>
      <c r="AT17" s="207" t="s">
        <v>257</v>
      </c>
      <c r="AV17" s="168">
        <f t="shared" si="21"/>
        <v>17</v>
      </c>
      <c r="AW17" s="168">
        <f>COUNTIF( AV$7:AV17, AV17 )</f>
        <v>4</v>
      </c>
      <c r="AX17" s="208">
        <f t="shared" si="22"/>
        <v>17.399999999999999</v>
      </c>
      <c r="AY17" s="168">
        <f t="shared" si="23"/>
        <v>20</v>
      </c>
      <c r="AZ17" s="169"/>
      <c r="BA17" s="169"/>
      <c r="BC17" s="168">
        <f t="shared" ca="1" si="24"/>
        <v>11</v>
      </c>
      <c r="BD17" s="209">
        <f t="shared" ca="1" si="6"/>
        <v>35</v>
      </c>
      <c r="BF17" s="173" t="str">
        <f t="shared" ca="1" si="7"/>
        <v>Pinnacle West Capital Corporation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PNW</v>
      </c>
    </row>
    <row r="18" spans="1:61" ht="13.8" x14ac:dyDescent="0.25">
      <c r="A18" s="223" t="s">
        <v>243</v>
      </c>
      <c r="B18" s="224" t="s">
        <v>139</v>
      </c>
      <c r="C18" s="224">
        <v>20</v>
      </c>
      <c r="D18" s="224" t="s">
        <v>244</v>
      </c>
      <c r="E18" s="225" t="str">
        <f t="shared" ca="1" si="8"/>
        <v>R</v>
      </c>
      <c r="F18" s="348"/>
      <c r="G18" s="349">
        <f t="shared" ca="1" si="1"/>
        <v>41</v>
      </c>
      <c r="H18" s="350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227</v>
      </c>
      <c r="AR18" s="207" t="s">
        <v>139</v>
      </c>
      <c r="AS18" s="207">
        <v>20</v>
      </c>
      <c r="AT18" s="207" t="s">
        <v>228</v>
      </c>
      <c r="AV18" s="168">
        <f t="shared" si="21"/>
        <v>3</v>
      </c>
      <c r="AW18" s="168">
        <f>COUNTIF( AV$7:AV18, AV18 )</f>
        <v>4</v>
      </c>
      <c r="AX18" s="208">
        <f t="shared" si="22"/>
        <v>3.4</v>
      </c>
      <c r="AY18" s="168">
        <f t="shared" si="23"/>
        <v>6</v>
      </c>
      <c r="AZ18" s="169"/>
      <c r="BA18" s="169"/>
      <c r="BC18" s="168">
        <f t="shared" ca="1" si="24"/>
        <v>12</v>
      </c>
      <c r="BD18" s="209">
        <f t="shared" ca="1" si="6"/>
        <v>38</v>
      </c>
      <c r="BF18" s="173" t="str">
        <f t="shared" ca="1" si="7"/>
        <v>PPL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PPL</v>
      </c>
    </row>
    <row r="19" spans="1:61" ht="13.8" x14ac:dyDescent="0.25">
      <c r="A19" s="223" t="s">
        <v>293</v>
      </c>
      <c r="B19" s="224" t="s">
        <v>139</v>
      </c>
      <c r="C19" s="224">
        <v>20</v>
      </c>
      <c r="D19" s="224" t="s">
        <v>294</v>
      </c>
      <c r="E19" s="225" t="str">
        <f t="shared" ca="1" si="8"/>
        <v>R</v>
      </c>
      <c r="F19" s="348"/>
      <c r="G19" s="349">
        <f t="shared" ca="1" si="1"/>
        <v>45</v>
      </c>
      <c r="H19" s="350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258</v>
      </c>
      <c r="AR19" s="207" t="s">
        <v>140</v>
      </c>
      <c r="AS19" s="207">
        <v>19</v>
      </c>
      <c r="AT19" s="207" t="s">
        <v>194</v>
      </c>
      <c r="AV19" s="168">
        <f t="shared" si="21"/>
        <v>17</v>
      </c>
      <c r="AW19" s="168">
        <f>COUNTIF( AV$7:AV19, AV19 )</f>
        <v>5</v>
      </c>
      <c r="AX19" s="208">
        <f t="shared" si="22"/>
        <v>17.5</v>
      </c>
      <c r="AY19" s="168">
        <f t="shared" si="23"/>
        <v>21</v>
      </c>
      <c r="AZ19" s="169"/>
      <c r="BA19" s="169"/>
      <c r="BC19" s="168">
        <f t="shared" ca="1" si="24"/>
        <v>13</v>
      </c>
      <c r="BD19" s="209">
        <f t="shared" ca="1" si="6"/>
        <v>43</v>
      </c>
      <c r="BF19" s="173" t="str">
        <f t="shared" ca="1" si="7"/>
        <v>Southern Company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SO</v>
      </c>
    </row>
    <row r="20" spans="1:61" ht="13.8" x14ac:dyDescent="0.25">
      <c r="A20" s="223" t="s">
        <v>345</v>
      </c>
      <c r="B20" s="224" t="s">
        <v>139</v>
      </c>
      <c r="C20" s="224">
        <v>20</v>
      </c>
      <c r="D20" s="224" t="s">
        <v>346</v>
      </c>
      <c r="E20" s="225" t="str">
        <f t="shared" ca="1" si="8"/>
        <v>R</v>
      </c>
      <c r="F20" s="348"/>
      <c r="G20" s="349">
        <f t="shared" ca="1" si="1"/>
        <v>47</v>
      </c>
      <c r="H20" s="350"/>
      <c r="I20" s="352"/>
      <c r="K20" s="352"/>
      <c r="N20" s="352"/>
      <c r="O20" s="173"/>
      <c r="Q20" s="352"/>
      <c r="T20" s="352"/>
      <c r="W20" s="352"/>
      <c r="AE20" s="184"/>
      <c r="AF20" s="169">
        <f t="shared" si="2"/>
        <v>0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259</v>
      </c>
      <c r="AR20" s="207" t="s">
        <v>177</v>
      </c>
      <c r="AS20" s="207">
        <v>14</v>
      </c>
      <c r="AT20" s="207" t="s">
        <v>260</v>
      </c>
      <c r="AV20" s="168">
        <f t="shared" si="21"/>
        <v>48</v>
      </c>
      <c r="AW20" s="168">
        <f>COUNTIF( AV$7:AV20, AV20 )</f>
        <v>1</v>
      </c>
      <c r="AX20" s="208">
        <f t="shared" si="22"/>
        <v>48.1</v>
      </c>
      <c r="AY20" s="168">
        <f t="shared" si="23"/>
        <v>48</v>
      </c>
      <c r="AZ20" s="169"/>
      <c r="BA20" s="169"/>
      <c r="BC20" s="168">
        <f t="shared" ca="1" si="24"/>
        <v>14</v>
      </c>
      <c r="BD20" s="209">
        <f t="shared" ca="1" si="6"/>
        <v>45</v>
      </c>
      <c r="BF20" s="173" t="str">
        <f t="shared" ca="1" si="7"/>
        <v>Vectren Corporation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VVC</v>
      </c>
    </row>
    <row r="21" spans="1:61" ht="13.8" x14ac:dyDescent="0.25">
      <c r="A21" s="223" t="s">
        <v>247</v>
      </c>
      <c r="B21" s="224" t="s">
        <v>139</v>
      </c>
      <c r="C21" s="224">
        <v>20</v>
      </c>
      <c r="D21" s="224" t="s">
        <v>248</v>
      </c>
      <c r="E21" s="225" t="str">
        <f t="shared" ca="1" si="8"/>
        <v>R</v>
      </c>
      <c r="F21" s="348"/>
      <c r="G21" s="349">
        <f t="shared" ca="1" si="1"/>
        <v>48</v>
      </c>
      <c r="H21" s="350"/>
      <c r="I21" s="237"/>
      <c r="K21" s="237"/>
      <c r="N21" s="237"/>
      <c r="Q21" s="237"/>
      <c r="T21" s="237"/>
      <c r="W21" s="237"/>
      <c r="AE21" s="184"/>
      <c r="AF21" s="169">
        <f t="shared" si="2"/>
        <v>0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A-</v>
      </c>
      <c r="AL21" s="169">
        <f t="shared" ca="1" si="20"/>
        <v>20</v>
      </c>
      <c r="AM21" s="169" t="str">
        <f t="shared" ca="1" si="4"/>
        <v/>
      </c>
      <c r="AQ21" s="207" t="s">
        <v>261</v>
      </c>
      <c r="AR21" s="207" t="s">
        <v>140</v>
      </c>
      <c r="AS21" s="207">
        <v>19</v>
      </c>
      <c r="AT21" s="207" t="s">
        <v>262</v>
      </c>
      <c r="AV21" s="168">
        <f t="shared" si="21"/>
        <v>17</v>
      </c>
      <c r="AW21" s="168">
        <f>COUNTIF( AV$7:AV21, AV21 )</f>
        <v>6</v>
      </c>
      <c r="AX21" s="208">
        <f t="shared" si="22"/>
        <v>17.600000000000001</v>
      </c>
      <c r="AY21" s="168">
        <f t="shared" si="23"/>
        <v>22</v>
      </c>
      <c r="AZ21" s="169"/>
      <c r="BA21" s="169"/>
      <c r="BC21" s="168">
        <f t="shared" ca="1" si="24"/>
        <v>15</v>
      </c>
      <c r="BD21" s="209">
        <f t="shared" ca="1" si="6"/>
        <v>47</v>
      </c>
      <c r="BF21" s="173" t="str">
        <f t="shared" ca="1" si="7"/>
        <v>Wisconsin Energy Corporation</v>
      </c>
      <c r="BG21" s="173" t="str">
        <f t="shared" ca="1" si="7"/>
        <v>A-</v>
      </c>
      <c r="BH21" s="173">
        <f t="shared" ca="1" si="7"/>
        <v>20</v>
      </c>
      <c r="BI21" s="173" t="str">
        <f t="shared" ca="1" si="7"/>
        <v>WEC</v>
      </c>
    </row>
    <row r="22" spans="1:61" ht="13.8" x14ac:dyDescent="0.25">
      <c r="A22" s="223" t="s">
        <v>251</v>
      </c>
      <c r="B22" s="224" t="s">
        <v>139</v>
      </c>
      <c r="C22" s="224">
        <v>20</v>
      </c>
      <c r="D22" s="224" t="s">
        <v>252</v>
      </c>
      <c r="E22" s="225" t="str">
        <f t="shared" ca="1" si="8"/>
        <v>R</v>
      </c>
      <c r="F22" s="348"/>
      <c r="G22" s="349">
        <f t="shared" ca="1" si="1"/>
        <v>50</v>
      </c>
      <c r="H22" s="350"/>
      <c r="I22" s="237"/>
      <c r="K22" s="237"/>
      <c r="N22" s="237"/>
      <c r="Q22" s="237"/>
      <c r="T22" s="237"/>
      <c r="W22" s="237"/>
      <c r="AE22" s="184"/>
      <c r="AF22" s="169">
        <f t="shared" si="2"/>
        <v>0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A-</v>
      </c>
      <c r="AL22" s="169">
        <f t="shared" ca="1" si="20"/>
        <v>20</v>
      </c>
      <c r="AM22" s="169" t="str">
        <f t="shared" ca="1" si="4"/>
        <v/>
      </c>
      <c r="AQ22" s="207" t="s">
        <v>263</v>
      </c>
      <c r="AR22" s="207" t="s">
        <v>139</v>
      </c>
      <c r="AS22" s="207">
        <v>20</v>
      </c>
      <c r="AT22" s="207" t="s">
        <v>264</v>
      </c>
      <c r="AV22" s="168">
        <f t="shared" si="21"/>
        <v>3</v>
      </c>
      <c r="AW22" s="168">
        <f>COUNTIF( AV$7:AV22, AV22 )</f>
        <v>5</v>
      </c>
      <c r="AX22" s="208">
        <f t="shared" si="22"/>
        <v>3.5</v>
      </c>
      <c r="AY22" s="168">
        <f t="shared" si="23"/>
        <v>7</v>
      </c>
      <c r="AZ22" s="169"/>
      <c r="BA22" s="169"/>
      <c r="BC22" s="168">
        <f t="shared" ca="1" si="24"/>
        <v>16</v>
      </c>
      <c r="BD22" s="209">
        <f t="shared" ca="1" si="6"/>
        <v>48</v>
      </c>
      <c r="BF22" s="173" t="str">
        <f t="shared" ca="1" si="7"/>
        <v>Xcel Energy Inc.</v>
      </c>
      <c r="BG22" s="173" t="str">
        <f t="shared" ca="1" si="7"/>
        <v>A-</v>
      </c>
      <c r="BH22" s="173">
        <f t="shared" ca="1" si="7"/>
        <v>20</v>
      </c>
      <c r="BI22" s="173" t="str">
        <f t="shared" ca="1" si="7"/>
        <v>XEL</v>
      </c>
    </row>
    <row r="23" spans="1:61" ht="13.8" x14ac:dyDescent="0.25">
      <c r="A23" s="223" t="s">
        <v>217</v>
      </c>
      <c r="B23" s="224" t="s">
        <v>140</v>
      </c>
      <c r="C23" s="224">
        <v>19</v>
      </c>
      <c r="D23" s="224" t="s">
        <v>218</v>
      </c>
      <c r="E23" s="225" t="str">
        <f t="shared" ca="1" si="8"/>
        <v>MR</v>
      </c>
      <c r="F23" s="348"/>
      <c r="G23" s="349">
        <f t="shared" ca="1" si="1"/>
        <v>7</v>
      </c>
      <c r="H23" s="350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265</v>
      </c>
      <c r="AR23" s="207" t="s">
        <v>140</v>
      </c>
      <c r="AS23" s="207">
        <v>19</v>
      </c>
      <c r="AT23" s="207" t="s">
        <v>266</v>
      </c>
      <c r="AV23" s="168">
        <f t="shared" si="21"/>
        <v>17</v>
      </c>
      <c r="AW23" s="168">
        <f>COUNTIF( AV$7:AV23, AV23 )</f>
        <v>7</v>
      </c>
      <c r="AX23" s="208">
        <f t="shared" si="22"/>
        <v>17.7</v>
      </c>
      <c r="AY23" s="168">
        <f t="shared" si="23"/>
        <v>23</v>
      </c>
      <c r="AZ23" s="169"/>
      <c r="BA23" s="169"/>
      <c r="BC23" s="168">
        <f t="shared" ca="1" si="24"/>
        <v>17</v>
      </c>
      <c r="BD23" s="209">
        <f t="shared" ca="1" si="6"/>
        <v>1</v>
      </c>
      <c r="BF23" s="173" t="str">
        <f t="shared" ca="1" si="7"/>
        <v>ALLETE, Inc.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ALE</v>
      </c>
    </row>
    <row r="24" spans="1:61" ht="13.8" x14ac:dyDescent="0.25">
      <c r="A24" s="223" t="s">
        <v>225</v>
      </c>
      <c r="B24" s="224" t="s">
        <v>140</v>
      </c>
      <c r="C24" s="224">
        <v>19</v>
      </c>
      <c r="D24" s="224" t="s">
        <v>226</v>
      </c>
      <c r="E24" s="225" t="str">
        <f t="shared" ca="1" si="8"/>
        <v>R</v>
      </c>
      <c r="F24" s="348"/>
      <c r="G24" s="349">
        <f t="shared" ca="1" si="1"/>
        <v>9</v>
      </c>
      <c r="H24" s="350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328</v>
      </c>
      <c r="AR24" s="207" t="s">
        <v>141</v>
      </c>
      <c r="AS24" s="207">
        <v>18</v>
      </c>
      <c r="AT24" s="207" t="s">
        <v>331</v>
      </c>
      <c r="AV24" s="168">
        <f t="shared" si="21"/>
        <v>35</v>
      </c>
      <c r="AW24" s="168">
        <f>COUNTIF( AV$7:AV24, AV24 )</f>
        <v>3</v>
      </c>
      <c r="AX24" s="208">
        <f t="shared" si="22"/>
        <v>35.299999999999997</v>
      </c>
      <c r="AY24" s="168">
        <f t="shared" si="23"/>
        <v>37</v>
      </c>
      <c r="AZ24" s="169"/>
      <c r="BA24" s="169"/>
      <c r="BC24" s="168">
        <f t="shared" ca="1" si="24"/>
        <v>18</v>
      </c>
      <c r="BD24" s="209">
        <f t="shared" ca="1" si="6"/>
        <v>3</v>
      </c>
      <c r="BF24" s="173" t="str">
        <f t="shared" ca="1" si="7"/>
        <v>Ameren Corporation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AEE</v>
      </c>
    </row>
    <row r="25" spans="1:61" ht="13.8" x14ac:dyDescent="0.25">
      <c r="A25" s="223" t="s">
        <v>233</v>
      </c>
      <c r="B25" s="224" t="s">
        <v>140</v>
      </c>
      <c r="C25" s="224">
        <v>19</v>
      </c>
      <c r="D25" s="224" t="s">
        <v>234</v>
      </c>
      <c r="E25" s="225" t="str">
        <f t="shared" ca="1" si="8"/>
        <v>MR</v>
      </c>
      <c r="F25" s="348"/>
      <c r="G25" s="349">
        <f t="shared" ca="1" si="1"/>
        <v>11</v>
      </c>
      <c r="H25" s="350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267</v>
      </c>
      <c r="AR25" s="207" t="s">
        <v>140</v>
      </c>
      <c r="AS25" s="207">
        <v>19</v>
      </c>
      <c r="AT25" s="207" t="s">
        <v>268</v>
      </c>
      <c r="AV25" s="168">
        <f t="shared" si="21"/>
        <v>17</v>
      </c>
      <c r="AW25" s="168">
        <f>COUNTIF( AV$7:AV25, AV25 )</f>
        <v>8</v>
      </c>
      <c r="AX25" s="208">
        <f t="shared" si="22"/>
        <v>17.8</v>
      </c>
      <c r="AY25" s="168">
        <f t="shared" si="23"/>
        <v>24</v>
      </c>
      <c r="AZ25" s="169"/>
      <c r="BA25" s="169"/>
      <c r="BC25" s="168">
        <f t="shared" ca="1" si="24"/>
        <v>19</v>
      </c>
      <c r="BD25" s="209">
        <f t="shared" ca="1" si="6"/>
        <v>5</v>
      </c>
      <c r="BF25" s="173" t="str">
        <f t="shared" ca="1" si="7"/>
        <v>AVANGRID, Inc.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AGR</v>
      </c>
    </row>
    <row r="26" spans="1:61" ht="13.8" x14ac:dyDescent="0.25">
      <c r="A26" s="223" t="s">
        <v>256</v>
      </c>
      <c r="B26" s="224" t="s">
        <v>140</v>
      </c>
      <c r="C26" s="224">
        <v>19</v>
      </c>
      <c r="D26" s="224" t="s">
        <v>257</v>
      </c>
      <c r="E26" s="225" t="str">
        <f t="shared" ca="1" si="8"/>
        <v>R</v>
      </c>
      <c r="F26" s="348"/>
      <c r="G26" s="349">
        <f t="shared" ca="1" si="1"/>
        <v>15</v>
      </c>
      <c r="H26" s="350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235</v>
      </c>
      <c r="AR26" s="207" t="s">
        <v>166</v>
      </c>
      <c r="AS26" s="207">
        <v>21</v>
      </c>
      <c r="AT26" s="207" t="s">
        <v>236</v>
      </c>
      <c r="AV26" s="168">
        <f t="shared" si="21"/>
        <v>1</v>
      </c>
      <c r="AW26" s="168">
        <f>COUNTIF( AV$7:AV26, AV26 )</f>
        <v>2</v>
      </c>
      <c r="AX26" s="208">
        <f t="shared" si="22"/>
        <v>1.2</v>
      </c>
      <c r="AY26" s="168">
        <f t="shared" si="23"/>
        <v>2</v>
      </c>
      <c r="AZ26" s="169"/>
      <c r="BA26" s="169"/>
      <c r="BC26" s="168">
        <f t="shared" ca="1" si="24"/>
        <v>20</v>
      </c>
      <c r="BD26" s="209">
        <f t="shared" ca="1" si="6"/>
        <v>11</v>
      </c>
      <c r="BF26" s="173" t="str">
        <f t="shared" ca="1" si="7"/>
        <v>CMS Energy Corporation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CMS</v>
      </c>
    </row>
    <row r="27" spans="1:61" ht="13.8" x14ac:dyDescent="0.25">
      <c r="A27" s="223" t="s">
        <v>361</v>
      </c>
      <c r="B27" s="224" t="s">
        <v>140</v>
      </c>
      <c r="C27" s="224">
        <v>19</v>
      </c>
      <c r="D27" s="224" t="s">
        <v>194</v>
      </c>
      <c r="E27" s="225" t="str">
        <f t="shared" ca="1" si="8"/>
        <v>MR</v>
      </c>
      <c r="F27" s="348"/>
      <c r="G27" s="349">
        <f t="shared" ca="1" si="1"/>
        <v>17</v>
      </c>
      <c r="H27" s="350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269</v>
      </c>
      <c r="AR27" s="207" t="s">
        <v>141</v>
      </c>
      <c r="AS27" s="207">
        <v>18</v>
      </c>
      <c r="AT27" s="207" t="s">
        <v>270</v>
      </c>
      <c r="AV27" s="168">
        <f t="shared" si="21"/>
        <v>35</v>
      </c>
      <c r="AW27" s="168">
        <f>COUNTIF( AV$7:AV27, AV27 )</f>
        <v>4</v>
      </c>
      <c r="AX27" s="208">
        <f t="shared" si="22"/>
        <v>35.4</v>
      </c>
      <c r="AY27" s="168">
        <f t="shared" si="23"/>
        <v>38</v>
      </c>
      <c r="AZ27" s="169"/>
      <c r="BA27" s="169"/>
      <c r="BC27" s="168">
        <f t="shared" ca="1" si="24"/>
        <v>21</v>
      </c>
      <c r="BD27" s="209">
        <f t="shared" ca="1" si="6"/>
        <v>13</v>
      </c>
      <c r="BF27" s="173" t="str">
        <f t="shared" ca="1" si="7"/>
        <v>Dominion Energy, Inc.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</v>
      </c>
    </row>
    <row r="28" spans="1:61" ht="13.8" x14ac:dyDescent="0.25">
      <c r="A28" s="223" t="s">
        <v>261</v>
      </c>
      <c r="B28" s="224" t="s">
        <v>140</v>
      </c>
      <c r="C28" s="224">
        <v>19</v>
      </c>
      <c r="D28" s="224" t="s">
        <v>262</v>
      </c>
      <c r="E28" s="225" t="str">
        <f t="shared" ca="1" si="8"/>
        <v>MR</v>
      </c>
      <c r="F28" s="348"/>
      <c r="G28" s="349">
        <f t="shared" ca="1" si="1"/>
        <v>18</v>
      </c>
      <c r="H28" s="350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275</v>
      </c>
      <c r="AR28" s="207" t="s">
        <v>142</v>
      </c>
      <c r="AS28" s="207">
        <v>17</v>
      </c>
      <c r="AT28" s="207" t="s">
        <v>276</v>
      </c>
      <c r="AV28" s="168">
        <f t="shared" si="21"/>
        <v>43</v>
      </c>
      <c r="AW28" s="168">
        <f>COUNTIF( AV$7:AV28, AV28 )</f>
        <v>2</v>
      </c>
      <c r="AX28" s="208">
        <f t="shared" si="22"/>
        <v>43.2</v>
      </c>
      <c r="AY28" s="168">
        <f t="shared" si="23"/>
        <v>44</v>
      </c>
      <c r="AZ28" s="169"/>
      <c r="BA28" s="169"/>
      <c r="BC28" s="168">
        <f t="shared" ca="1" si="24"/>
        <v>22</v>
      </c>
      <c r="BD28" s="209">
        <f t="shared" ca="1" si="6"/>
        <v>15</v>
      </c>
      <c r="BF28" s="173" t="str">
        <f t="shared" ca="1" si="7"/>
        <v>DTE Energy Company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DTE</v>
      </c>
    </row>
    <row r="29" spans="1:61" ht="13.8" x14ac:dyDescent="0.25">
      <c r="A29" s="223" t="s">
        <v>265</v>
      </c>
      <c r="B29" s="224" t="s">
        <v>140</v>
      </c>
      <c r="C29" s="224">
        <v>19</v>
      </c>
      <c r="D29" s="224" t="s">
        <v>266</v>
      </c>
      <c r="E29" s="225" t="str">
        <f t="shared" ca="1" si="8"/>
        <v>R</v>
      </c>
      <c r="F29" s="348"/>
      <c r="G29" s="349">
        <f t="shared" ca="1" si="1"/>
        <v>20</v>
      </c>
      <c r="H29" s="350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352</v>
      </c>
      <c r="AR29" s="207" t="s">
        <v>140</v>
      </c>
      <c r="AS29" s="207">
        <v>19</v>
      </c>
      <c r="AT29" s="207" t="s">
        <v>353</v>
      </c>
      <c r="AV29" s="168">
        <f t="shared" si="21"/>
        <v>17</v>
      </c>
      <c r="AW29" s="168">
        <f>COUNTIF( AV$7:AV29, AV29 )</f>
        <v>9</v>
      </c>
      <c r="AX29" s="208">
        <f t="shared" si="22"/>
        <v>17.899999999999999</v>
      </c>
      <c r="AY29" s="168">
        <f t="shared" si="23"/>
        <v>25</v>
      </c>
      <c r="AZ29" s="169"/>
      <c r="BA29" s="169"/>
      <c r="BC29" s="168">
        <f t="shared" ca="1" si="24"/>
        <v>23</v>
      </c>
      <c r="BD29" s="209">
        <f t="shared" ca="1" si="6"/>
        <v>17</v>
      </c>
      <c r="BF29" s="173" t="str">
        <f t="shared" ca="1" si="7"/>
        <v>Edison International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EIX</v>
      </c>
    </row>
    <row r="30" spans="1:61" ht="13.8" x14ac:dyDescent="0.25">
      <c r="A30" s="223" t="s">
        <v>267</v>
      </c>
      <c r="B30" s="224" t="s">
        <v>140</v>
      </c>
      <c r="C30" s="224">
        <v>19</v>
      </c>
      <c r="D30" s="224" t="s">
        <v>268</v>
      </c>
      <c r="E30" s="225" t="str">
        <f t="shared" ca="1" si="8"/>
        <v>R</v>
      </c>
      <c r="F30" s="348"/>
      <c r="G30" s="349">
        <f t="shared" ca="1" si="1"/>
        <v>23</v>
      </c>
      <c r="H30" s="350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279</v>
      </c>
      <c r="AR30" s="207" t="s">
        <v>142</v>
      </c>
      <c r="AS30" s="207">
        <v>17</v>
      </c>
      <c r="AT30" s="207" t="s">
        <v>280</v>
      </c>
      <c r="AV30" s="168">
        <f t="shared" si="21"/>
        <v>43</v>
      </c>
      <c r="AW30" s="168">
        <f>COUNTIF( AV$7:AV30, AV30 )</f>
        <v>3</v>
      </c>
      <c r="AX30" s="208">
        <f t="shared" si="22"/>
        <v>43.3</v>
      </c>
      <c r="AY30" s="168">
        <f t="shared" si="23"/>
        <v>45</v>
      </c>
      <c r="AZ30" s="169"/>
      <c r="BA30" s="169"/>
      <c r="BC30" s="168">
        <f t="shared" ca="1" si="24"/>
        <v>24</v>
      </c>
      <c r="BD30" s="209">
        <f t="shared" ca="1" si="6"/>
        <v>19</v>
      </c>
      <c r="BF30" s="173" t="str">
        <f t="shared" ca="1" si="7"/>
        <v>Entergy Corporation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ETR</v>
      </c>
    </row>
    <row r="31" spans="1:61" ht="13.8" x14ac:dyDescent="0.25">
      <c r="A31" s="223" t="s">
        <v>352</v>
      </c>
      <c r="B31" s="224" t="s">
        <v>140</v>
      </c>
      <c r="C31" s="224">
        <v>19</v>
      </c>
      <c r="D31" s="224" t="s">
        <v>353</v>
      </c>
      <c r="E31" s="225" t="str">
        <f t="shared" ca="1" si="8"/>
        <v>R</v>
      </c>
      <c r="F31" s="348"/>
      <c r="G31" s="349">
        <f t="shared" ca="1" si="1"/>
        <v>27</v>
      </c>
      <c r="H31" s="350"/>
      <c r="I31" s="237"/>
      <c r="J31" s="191"/>
      <c r="K31" s="237"/>
      <c r="N31" s="237"/>
      <c r="O31" s="351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283</v>
      </c>
      <c r="AR31" s="207" t="s">
        <v>141</v>
      </c>
      <c r="AS31" s="207">
        <v>18</v>
      </c>
      <c r="AT31" s="207" t="s">
        <v>284</v>
      </c>
      <c r="AV31" s="168">
        <f t="shared" si="21"/>
        <v>35</v>
      </c>
      <c r="AW31" s="168">
        <f>COUNTIF( AV$7:AV31, AV31 )</f>
        <v>5</v>
      </c>
      <c r="AX31" s="208">
        <f t="shared" si="22"/>
        <v>35.5</v>
      </c>
      <c r="AY31" s="168">
        <f t="shared" si="23"/>
        <v>39</v>
      </c>
      <c r="AZ31" s="169"/>
      <c r="BA31" s="169"/>
      <c r="BC31" s="168">
        <f t="shared" ca="1" si="24"/>
        <v>25</v>
      </c>
      <c r="BD31" s="209">
        <f t="shared" ca="1" si="6"/>
        <v>23</v>
      </c>
      <c r="BF31" s="173" t="str">
        <f t="shared" ca="1" si="7"/>
        <v>Great Plains Energy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GXP</v>
      </c>
    </row>
    <row r="32" spans="1:61" ht="13.8" x14ac:dyDescent="0.25">
      <c r="A32" s="223" t="s">
        <v>271</v>
      </c>
      <c r="B32" s="224" t="s">
        <v>140</v>
      </c>
      <c r="C32" s="224">
        <v>19</v>
      </c>
      <c r="D32" s="224" t="s">
        <v>272</v>
      </c>
      <c r="E32" s="225" t="str">
        <f t="shared" ca="1" si="8"/>
        <v>MR</v>
      </c>
      <c r="F32" s="348"/>
      <c r="G32" s="349">
        <f t="shared" ca="1" si="1"/>
        <v>30</v>
      </c>
      <c r="H32" s="350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32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287</v>
      </c>
      <c r="AR32" s="207" t="s">
        <v>142</v>
      </c>
      <c r="AS32" s="207">
        <v>17</v>
      </c>
      <c r="AT32" s="207" t="s">
        <v>288</v>
      </c>
      <c r="AV32" s="168">
        <f t="shared" si="21"/>
        <v>43</v>
      </c>
      <c r="AW32" s="168">
        <f>COUNTIF( AV$7:AV32, AV32 )</f>
        <v>4</v>
      </c>
      <c r="AX32" s="208">
        <f t="shared" si="22"/>
        <v>43.4</v>
      </c>
      <c r="AY32" s="168">
        <f t="shared" si="23"/>
        <v>46</v>
      </c>
      <c r="AZ32" s="169"/>
      <c r="BA32" s="169"/>
      <c r="BC32" s="168">
        <f t="shared" ca="1" si="24"/>
        <v>26</v>
      </c>
      <c r="BD32" s="209">
        <f t="shared" ca="1" si="6"/>
        <v>27</v>
      </c>
      <c r="BF32" s="173" t="str">
        <f t="shared" ca="1" si="7"/>
        <v>MDU Resources Group, Inc.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MDU</v>
      </c>
    </row>
    <row r="33" spans="1:61" ht="13.8" x14ac:dyDescent="0.25">
      <c r="A33" s="223" t="s">
        <v>273</v>
      </c>
      <c r="B33" s="224" t="s">
        <v>140</v>
      </c>
      <c r="C33" s="224">
        <v>19</v>
      </c>
      <c r="D33" s="224" t="s">
        <v>274</v>
      </c>
      <c r="E33" s="225" t="str">
        <f t="shared" ca="1" si="8"/>
        <v>R</v>
      </c>
      <c r="F33" s="348"/>
      <c r="G33" s="349">
        <f t="shared" ca="1" si="1"/>
        <v>33</v>
      </c>
      <c r="H33" s="350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33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271</v>
      </c>
      <c r="AR33" s="207" t="s">
        <v>140</v>
      </c>
      <c r="AS33" s="207">
        <v>19</v>
      </c>
      <c r="AT33" s="207" t="s">
        <v>272</v>
      </c>
      <c r="AV33" s="168">
        <f t="shared" si="21"/>
        <v>17</v>
      </c>
      <c r="AW33" s="168">
        <f>COUNTIF( AV$7:AV33, AV33 )</f>
        <v>10</v>
      </c>
      <c r="AX33" s="208">
        <f t="shared" si="22"/>
        <v>18</v>
      </c>
      <c r="AY33" s="168">
        <f t="shared" si="23"/>
        <v>26</v>
      </c>
      <c r="AZ33" s="169"/>
      <c r="BA33" s="169"/>
      <c r="BC33" s="168">
        <f t="shared" ca="1" si="24"/>
        <v>27</v>
      </c>
      <c r="BD33" s="209">
        <f t="shared" ca="1" si="6"/>
        <v>29</v>
      </c>
      <c r="BF33" s="173" t="str">
        <f t="shared" ca="1" si="7"/>
        <v>NiSource Inc.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NI</v>
      </c>
    </row>
    <row r="34" spans="1:61" ht="13.8" x14ac:dyDescent="0.25">
      <c r="A34" s="223" t="s">
        <v>358</v>
      </c>
      <c r="B34" s="224" t="s">
        <v>140</v>
      </c>
      <c r="C34" s="224">
        <v>19</v>
      </c>
      <c r="D34" s="224" t="s">
        <v>359</v>
      </c>
      <c r="E34" s="225" t="str">
        <f t="shared" ca="1" si="8"/>
        <v>R</v>
      </c>
      <c r="F34" s="348"/>
      <c r="G34" s="349">
        <f t="shared" ca="1" si="1"/>
        <v>56</v>
      </c>
      <c r="H34" s="350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34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240</v>
      </c>
      <c r="AR34" s="207" t="s">
        <v>139</v>
      </c>
      <c r="AS34" s="207">
        <v>20</v>
      </c>
      <c r="AT34" s="207" t="s">
        <v>241</v>
      </c>
      <c r="AV34" s="168">
        <f t="shared" si="21"/>
        <v>3</v>
      </c>
      <c r="AW34" s="168">
        <f>COUNTIF( AV$7:AV34, AV34 )</f>
        <v>6</v>
      </c>
      <c r="AX34" s="208">
        <f t="shared" si="22"/>
        <v>3.6</v>
      </c>
      <c r="AY34" s="168">
        <f t="shared" si="23"/>
        <v>8</v>
      </c>
      <c r="AZ34" s="169"/>
      <c r="BA34" s="169"/>
      <c r="BC34" s="168">
        <f t="shared" ca="1" si="24"/>
        <v>28</v>
      </c>
      <c r="BD34" s="209">
        <f t="shared" ca="1" si="6"/>
        <v>32</v>
      </c>
      <c r="BF34" s="173" t="str">
        <f t="shared" ca="1" si="7"/>
        <v>Oncor Electric Delivery Company LLC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**ONC</v>
      </c>
    </row>
    <row r="35" spans="1:61" ht="13.8" x14ac:dyDescent="0.25">
      <c r="A35" s="223" t="s">
        <v>303</v>
      </c>
      <c r="B35" s="224" t="s">
        <v>140</v>
      </c>
      <c r="C35" s="224">
        <v>19</v>
      </c>
      <c r="D35" s="224" t="s">
        <v>304</v>
      </c>
      <c r="E35" s="225" t="str">
        <f t="shared" ca="1" si="8"/>
        <v>R</v>
      </c>
      <c r="F35" s="348"/>
      <c r="G35" s="349">
        <f t="shared" ca="1" si="1"/>
        <v>39</v>
      </c>
      <c r="H35" s="350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35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273</v>
      </c>
      <c r="AR35" s="207" t="s">
        <v>140</v>
      </c>
      <c r="AS35" s="207">
        <v>19</v>
      </c>
      <c r="AT35" s="207" t="s">
        <v>274</v>
      </c>
      <c r="AV35" s="168">
        <f t="shared" si="21"/>
        <v>17</v>
      </c>
      <c r="AW35" s="168">
        <f>COUNTIF( AV$7:AV35, AV35 )</f>
        <v>11</v>
      </c>
      <c r="AX35" s="208">
        <f t="shared" si="22"/>
        <v>18.100000000000001</v>
      </c>
      <c r="AY35" s="168">
        <f t="shared" si="23"/>
        <v>27</v>
      </c>
      <c r="AZ35" s="169"/>
      <c r="BA35" s="169"/>
      <c r="BC35" s="168">
        <f t="shared" ca="1" si="24"/>
        <v>29</v>
      </c>
      <c r="BD35" s="209">
        <f t="shared" ca="1" si="6"/>
        <v>36</v>
      </c>
      <c r="BF35" s="173" t="str">
        <f t="shared" ca="1" si="7"/>
        <v>PNM Resources, Inc.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PNM</v>
      </c>
    </row>
    <row r="36" spans="1:61" ht="13.8" x14ac:dyDescent="0.25">
      <c r="A36" s="223" t="s">
        <v>289</v>
      </c>
      <c r="B36" s="224" t="s">
        <v>140</v>
      </c>
      <c r="C36" s="224">
        <v>19</v>
      </c>
      <c r="D36" s="224" t="s">
        <v>290</v>
      </c>
      <c r="E36" s="225" t="str">
        <f t="shared" ca="1" si="8"/>
        <v>MR</v>
      </c>
      <c r="F36" s="348"/>
      <c r="G36" s="349">
        <f t="shared" ca="1" si="1"/>
        <v>42</v>
      </c>
      <c r="H36" s="350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36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297</v>
      </c>
      <c r="AR36" s="207" t="s">
        <v>141</v>
      </c>
      <c r="AS36" s="207">
        <v>18</v>
      </c>
      <c r="AT36" s="207" t="s">
        <v>298</v>
      </c>
      <c r="AV36" s="168">
        <f t="shared" si="21"/>
        <v>35</v>
      </c>
      <c r="AW36" s="168">
        <f>COUNTIF( AV$7:AV36, AV36 )</f>
        <v>6</v>
      </c>
      <c r="AX36" s="208">
        <f t="shared" si="22"/>
        <v>35.6</v>
      </c>
      <c r="AY36" s="168">
        <f t="shared" si="23"/>
        <v>40</v>
      </c>
      <c r="AZ36" s="169"/>
      <c r="BA36" s="169"/>
      <c r="BC36" s="168">
        <f t="shared" ca="1" si="24"/>
        <v>30</v>
      </c>
      <c r="BD36" s="209">
        <f t="shared" ca="1" si="6"/>
        <v>39</v>
      </c>
      <c r="BF36" s="173" t="str">
        <f t="shared" ca="1" si="7"/>
        <v>Public Service Enterprise Group Incorporated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PEG</v>
      </c>
    </row>
    <row r="37" spans="1:61" ht="13.8" x14ac:dyDescent="0.25">
      <c r="A37" s="223" t="s">
        <v>347</v>
      </c>
      <c r="B37" s="224" t="s">
        <v>140</v>
      </c>
      <c r="C37" s="224">
        <v>19</v>
      </c>
      <c r="D37" s="224" t="s">
        <v>348</v>
      </c>
      <c r="E37" s="225" t="str">
        <f t="shared" ca="1" si="8"/>
        <v>MR</v>
      </c>
      <c r="F37" s="348"/>
      <c r="G37" s="349">
        <f t="shared" ca="1" si="1"/>
        <v>43</v>
      </c>
      <c r="H37" s="350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37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277</v>
      </c>
      <c r="AR37" s="207" t="s">
        <v>139</v>
      </c>
      <c r="AS37" s="207">
        <v>20</v>
      </c>
      <c r="AT37" s="207" t="s">
        <v>278</v>
      </c>
      <c r="AV37" s="168">
        <f t="shared" si="21"/>
        <v>3</v>
      </c>
      <c r="AW37" s="168">
        <f>COUNTIF( AV$7:AV37, AV37 )</f>
        <v>7</v>
      </c>
      <c r="AX37" s="208">
        <f t="shared" si="22"/>
        <v>3.7</v>
      </c>
      <c r="AY37" s="168">
        <f t="shared" si="23"/>
        <v>9</v>
      </c>
      <c r="AZ37" s="169"/>
      <c r="BA37" s="169"/>
      <c r="BC37" s="168">
        <f t="shared" ca="1" si="24"/>
        <v>31</v>
      </c>
      <c r="BD37" s="209">
        <f t="shared" ca="1" si="6"/>
        <v>41</v>
      </c>
      <c r="BF37" s="173" t="str">
        <f t="shared" ca="1" si="7"/>
        <v>SCANA Corporation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SCG</v>
      </c>
    </row>
    <row r="38" spans="1:61" ht="13.8" x14ac:dyDescent="0.25">
      <c r="A38" s="223" t="s">
        <v>291</v>
      </c>
      <c r="B38" s="224" t="s">
        <v>140</v>
      </c>
      <c r="C38" s="224">
        <v>19</v>
      </c>
      <c r="D38" s="224" t="s">
        <v>292</v>
      </c>
      <c r="E38" s="225" t="str">
        <f t="shared" ca="1" si="8"/>
        <v>MR</v>
      </c>
      <c r="F38" s="348"/>
      <c r="G38" s="349">
        <f t="shared" ca="1" si="1"/>
        <v>44</v>
      </c>
      <c r="H38" s="350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1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38</v>
      </c>
      <c r="AK38" s="169" t="str">
        <f t="shared" ca="1" si="20"/>
        <v>BBB+</v>
      </c>
      <c r="AL38" s="169">
        <f t="shared" ca="1" si="20"/>
        <v>19</v>
      </c>
      <c r="AM38" s="169" t="str">
        <f t="shared" ca="1" si="4"/>
        <v/>
      </c>
      <c r="AQ38" s="207" t="s">
        <v>358</v>
      </c>
      <c r="AR38" s="207" t="s">
        <v>140</v>
      </c>
      <c r="AS38" s="207">
        <v>19</v>
      </c>
      <c r="AT38" s="207" t="s">
        <v>362</v>
      </c>
      <c r="AV38" s="168">
        <f t="shared" si="21"/>
        <v>17</v>
      </c>
      <c r="AW38" s="168">
        <f>COUNTIF( AV$7:AV38, AV38 )</f>
        <v>12</v>
      </c>
      <c r="AX38" s="208">
        <f t="shared" si="22"/>
        <v>18.2</v>
      </c>
      <c r="AY38" s="168">
        <f t="shared" si="23"/>
        <v>28</v>
      </c>
      <c r="AZ38" s="169"/>
      <c r="BA38" s="169"/>
      <c r="BC38" s="168">
        <f t="shared" ca="1" si="24"/>
        <v>32</v>
      </c>
      <c r="BD38" s="209">
        <f t="shared" ca="1" si="6"/>
        <v>42</v>
      </c>
      <c r="BF38" s="173" t="str">
        <f t="shared" ca="1" si="7"/>
        <v>Sempra Energy</v>
      </c>
      <c r="BG38" s="173" t="str">
        <f t="shared" ca="1" si="7"/>
        <v>BBB+</v>
      </c>
      <c r="BH38" s="173">
        <f t="shared" ca="1" si="7"/>
        <v>19</v>
      </c>
      <c r="BI38" s="173" t="str">
        <f t="shared" ca="1" si="7"/>
        <v>SRE</v>
      </c>
    </row>
    <row r="39" spans="1:61" ht="13.8" x14ac:dyDescent="0.25">
      <c r="A39" s="223" t="s">
        <v>295</v>
      </c>
      <c r="B39" s="224" t="s">
        <v>140</v>
      </c>
      <c r="C39" s="224">
        <v>19</v>
      </c>
      <c r="D39" s="224" t="s">
        <v>296</v>
      </c>
      <c r="E39" s="225" t="str">
        <f t="shared" ca="1" si="8"/>
        <v>R</v>
      </c>
      <c r="F39" s="348"/>
      <c r="G39" s="349">
        <f t="shared" ca="1" si="1"/>
        <v>46</v>
      </c>
      <c r="H39" s="350"/>
      <c r="I39" s="237"/>
      <c r="K39" s="237"/>
      <c r="L39" s="173"/>
      <c r="N39" s="237"/>
      <c r="Q39" s="237"/>
      <c r="T39" s="237"/>
      <c r="W39" s="237"/>
      <c r="AF39" s="169">
        <f t="shared" si="2"/>
        <v>1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39</v>
      </c>
      <c r="AK39" s="169" t="str">
        <f t="shared" ca="1" si="20"/>
        <v>BBB+</v>
      </c>
      <c r="AL39" s="169">
        <f t="shared" ca="1" si="20"/>
        <v>19</v>
      </c>
      <c r="AM39" s="169" t="str">
        <f t="shared" ca="1" si="4"/>
        <v/>
      </c>
      <c r="AQ39" s="207" t="s">
        <v>299</v>
      </c>
      <c r="AR39" s="207" t="s">
        <v>141</v>
      </c>
      <c r="AS39" s="207">
        <v>18</v>
      </c>
      <c r="AT39" s="207" t="s">
        <v>300</v>
      </c>
      <c r="AV39" s="168">
        <f t="shared" si="21"/>
        <v>35</v>
      </c>
      <c r="AW39" s="168">
        <f>COUNTIF( AV$7:AV39, AV39 )</f>
        <v>7</v>
      </c>
      <c r="AX39" s="208">
        <f t="shared" si="22"/>
        <v>35.700000000000003</v>
      </c>
      <c r="AY39" s="168">
        <f t="shared" si="23"/>
        <v>41</v>
      </c>
      <c r="AZ39" s="169"/>
      <c r="BA39" s="169"/>
      <c r="BC39" s="168">
        <f t="shared" ca="1" si="24"/>
        <v>33</v>
      </c>
      <c r="BD39" s="209">
        <f t="shared" ca="1" si="6"/>
        <v>44</v>
      </c>
      <c r="BF39" s="173" t="str">
        <f t="shared" ref="BF39:BI63" ca="1" si="25">OFFSET( AQ$6, $BD39, 0 )</f>
        <v>Unitil Corporation</v>
      </c>
      <c r="BG39" s="173" t="str">
        <f t="shared" ca="1" si="25"/>
        <v>BBB+</v>
      </c>
      <c r="BH39" s="173">
        <f t="shared" ca="1" si="25"/>
        <v>19</v>
      </c>
      <c r="BI39" s="173" t="str">
        <f t="shared" ca="1" si="25"/>
        <v>UTL</v>
      </c>
    </row>
    <row r="40" spans="1:61" ht="13.8" x14ac:dyDescent="0.25">
      <c r="A40" s="223" t="s">
        <v>354</v>
      </c>
      <c r="B40" s="224" t="s">
        <v>140</v>
      </c>
      <c r="C40" s="224">
        <v>19</v>
      </c>
      <c r="D40" s="224" t="s">
        <v>355</v>
      </c>
      <c r="E40" s="225" t="str">
        <f t="shared" ca="1" si="8"/>
        <v>R</v>
      </c>
      <c r="F40" s="348"/>
      <c r="G40" s="349">
        <f t="shared" ca="1" si="1"/>
        <v>49</v>
      </c>
      <c r="H40" s="350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1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40</v>
      </c>
      <c r="AK40" s="169" t="str">
        <f t="shared" ca="1" si="20"/>
        <v>BBB+</v>
      </c>
      <c r="AL40" s="169">
        <f t="shared" ca="1" si="20"/>
        <v>19</v>
      </c>
      <c r="AM40" s="169" t="str">
        <f t="shared" ca="1" si="4"/>
        <v/>
      </c>
      <c r="AQ40" s="207" t="s">
        <v>301</v>
      </c>
      <c r="AR40" s="207" t="s">
        <v>139</v>
      </c>
      <c r="AS40" s="207">
        <v>20</v>
      </c>
      <c r="AT40" s="207" t="s">
        <v>302</v>
      </c>
      <c r="AV40" s="168">
        <f t="shared" si="21"/>
        <v>3</v>
      </c>
      <c r="AW40" s="168">
        <f>COUNTIF( AV$7:AV40, AV40 )</f>
        <v>8</v>
      </c>
      <c r="AX40" s="208">
        <f t="shared" si="22"/>
        <v>3.8</v>
      </c>
      <c r="AY40" s="168">
        <f t="shared" si="23"/>
        <v>10</v>
      </c>
      <c r="AZ40" s="169"/>
      <c r="BA40" s="169"/>
      <c r="BC40" s="168">
        <f t="shared" ca="1" si="24"/>
        <v>34</v>
      </c>
      <c r="BD40" s="209">
        <f t="shared" ca="1" si="6"/>
        <v>46</v>
      </c>
      <c r="BF40" s="173" t="str">
        <f t="shared" ca="1" si="25"/>
        <v>Westar Energy, Inc.</v>
      </c>
      <c r="BG40" s="173" t="str">
        <f t="shared" ca="1" si="25"/>
        <v>BBB+</v>
      </c>
      <c r="BH40" s="173">
        <f t="shared" ca="1" si="25"/>
        <v>19</v>
      </c>
      <c r="BI40" s="173" t="str">
        <f t="shared" ca="1" si="25"/>
        <v>WR</v>
      </c>
    </row>
    <row r="41" spans="1:61" ht="13.8" x14ac:dyDescent="0.25">
      <c r="A41" s="223" t="s">
        <v>238</v>
      </c>
      <c r="B41" s="224" t="s">
        <v>141</v>
      </c>
      <c r="C41" s="224">
        <v>18</v>
      </c>
      <c r="D41" s="224" t="s">
        <v>239</v>
      </c>
      <c r="E41" s="225" t="str">
        <f t="shared" ca="1" si="8"/>
        <v>R</v>
      </c>
      <c r="F41" s="348"/>
      <c r="G41" s="349">
        <f t="shared" ca="1" si="1"/>
        <v>12</v>
      </c>
      <c r="H41" s="350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281</v>
      </c>
      <c r="AR41" s="207" t="s">
        <v>139</v>
      </c>
      <c r="AS41" s="207">
        <v>20</v>
      </c>
      <c r="AT41" s="207" t="s">
        <v>282</v>
      </c>
      <c r="AV41" s="168">
        <f t="shared" si="21"/>
        <v>3</v>
      </c>
      <c r="AW41" s="168">
        <f>COUNTIF( AV$7:AV41, AV41 )</f>
        <v>9</v>
      </c>
      <c r="AX41" s="208">
        <f t="shared" si="22"/>
        <v>3.9</v>
      </c>
      <c r="AY41" s="168">
        <f t="shared" si="23"/>
        <v>11</v>
      </c>
      <c r="AZ41" s="169"/>
      <c r="BA41" s="169"/>
      <c r="BC41" s="168">
        <f t="shared" ca="1" si="24"/>
        <v>35</v>
      </c>
      <c r="BD41" s="209">
        <f t="shared" ca="1" si="6"/>
        <v>6</v>
      </c>
      <c r="BF41" s="173" t="str">
        <f t="shared" ca="1" si="25"/>
        <v>Avista Corporation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AVA</v>
      </c>
    </row>
    <row r="42" spans="1:61" ht="13.8" x14ac:dyDescent="0.25">
      <c r="A42" s="223" t="s">
        <v>245</v>
      </c>
      <c r="B42" s="224" t="s">
        <v>141</v>
      </c>
      <c r="C42" s="224">
        <v>18</v>
      </c>
      <c r="D42" s="224" t="s">
        <v>246</v>
      </c>
      <c r="E42" s="225" t="str">
        <f t="shared" ca="1" si="8"/>
        <v>R</v>
      </c>
      <c r="F42" s="348"/>
      <c r="G42" s="349">
        <f t="shared" ca="1" si="1"/>
        <v>13</v>
      </c>
      <c r="H42" s="350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303</v>
      </c>
      <c r="AR42" s="207" t="s">
        <v>140</v>
      </c>
      <c r="AS42" s="207">
        <v>19</v>
      </c>
      <c r="AT42" s="207" t="s">
        <v>304</v>
      </c>
      <c r="AV42" s="168">
        <f t="shared" si="21"/>
        <v>17</v>
      </c>
      <c r="AW42" s="168">
        <f>COUNTIF( AV$7:AV42, AV42 )</f>
        <v>13</v>
      </c>
      <c r="AX42" s="208">
        <f t="shared" si="22"/>
        <v>18.3</v>
      </c>
      <c r="AY42" s="168">
        <f t="shared" si="23"/>
        <v>29</v>
      </c>
      <c r="AZ42" s="169"/>
      <c r="BA42" s="169"/>
      <c r="BC42" s="168">
        <f t="shared" ca="1" si="24"/>
        <v>36</v>
      </c>
      <c r="BD42" s="209">
        <f t="shared" ca="1" si="6"/>
        <v>8</v>
      </c>
      <c r="BF42" s="173" t="str">
        <f t="shared" ca="1" si="25"/>
        <v>Black Hills Corporation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BKH</v>
      </c>
    </row>
    <row r="43" spans="1:61" ht="13.8" x14ac:dyDescent="0.25">
      <c r="A43" s="223" t="s">
        <v>328</v>
      </c>
      <c r="B43" s="224" t="s">
        <v>141</v>
      </c>
      <c r="C43" s="224">
        <v>18</v>
      </c>
      <c r="D43" s="224" t="s">
        <v>331</v>
      </c>
      <c r="E43" s="225" t="str">
        <f t="shared" ca="1" si="8"/>
        <v>R</v>
      </c>
      <c r="F43" s="348"/>
      <c r="G43" s="349">
        <f t="shared" ca="1" si="1"/>
        <v>21</v>
      </c>
      <c r="H43" s="350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285</v>
      </c>
      <c r="AR43" s="207" t="s">
        <v>141</v>
      </c>
      <c r="AS43" s="207">
        <v>18</v>
      </c>
      <c r="AT43" s="207" t="s">
        <v>286</v>
      </c>
      <c r="AV43" s="168">
        <f t="shared" si="21"/>
        <v>35</v>
      </c>
      <c r="AW43" s="168">
        <f>COUNTIF( AV$7:AV43, AV43 )</f>
        <v>8</v>
      </c>
      <c r="AX43" s="208">
        <f t="shared" si="22"/>
        <v>35.799999999999997</v>
      </c>
      <c r="AY43" s="168">
        <f t="shared" si="23"/>
        <v>42</v>
      </c>
      <c r="AZ43" s="169"/>
      <c r="BA43" s="169"/>
      <c r="BC43" s="168">
        <f t="shared" ca="1" si="24"/>
        <v>37</v>
      </c>
      <c r="BD43" s="209">
        <f t="shared" ca="1" si="6"/>
        <v>18</v>
      </c>
      <c r="BF43" s="173" t="str">
        <f t="shared" ca="1" si="25"/>
        <v>El Paso Electric Company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EE</v>
      </c>
    </row>
    <row r="44" spans="1:61" ht="13.8" x14ac:dyDescent="0.25">
      <c r="A44" s="223" t="s">
        <v>269</v>
      </c>
      <c r="B44" s="224" t="s">
        <v>141</v>
      </c>
      <c r="C44" s="224">
        <v>18</v>
      </c>
      <c r="D44" s="224" t="s">
        <v>270</v>
      </c>
      <c r="E44" s="225" t="str">
        <f t="shared" ca="1" si="8"/>
        <v>MR</v>
      </c>
      <c r="F44" s="348"/>
      <c r="G44" s="349">
        <f t="shared" ca="1" si="1"/>
        <v>25</v>
      </c>
      <c r="H44" s="350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243</v>
      </c>
      <c r="AR44" s="207" t="s">
        <v>139</v>
      </c>
      <c r="AS44" s="207">
        <v>20</v>
      </c>
      <c r="AT44" s="207" t="s">
        <v>244</v>
      </c>
      <c r="AV44" s="168">
        <f t="shared" si="21"/>
        <v>3</v>
      </c>
      <c r="AW44" s="168">
        <f>COUNTIF( AV$7:AV44, AV44 )</f>
        <v>10</v>
      </c>
      <c r="AX44" s="208">
        <f t="shared" si="22"/>
        <v>4</v>
      </c>
      <c r="AY44" s="168">
        <f t="shared" si="23"/>
        <v>12</v>
      </c>
      <c r="AZ44" s="169"/>
      <c r="BA44" s="169"/>
      <c r="BC44" s="168">
        <f t="shared" ca="1" si="24"/>
        <v>38</v>
      </c>
      <c r="BD44" s="209">
        <f t="shared" ca="1" si="6"/>
        <v>21</v>
      </c>
      <c r="BF44" s="173" t="str">
        <f t="shared" ca="1" si="25"/>
        <v>Exelon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EXC</v>
      </c>
    </row>
    <row r="45" spans="1:61" ht="13.8" x14ac:dyDescent="0.25">
      <c r="A45" s="223" t="s">
        <v>283</v>
      </c>
      <c r="B45" s="224" t="s">
        <v>141</v>
      </c>
      <c r="C45" s="224">
        <v>18</v>
      </c>
      <c r="D45" s="224" t="s">
        <v>284</v>
      </c>
      <c r="E45" s="225" t="str">
        <f t="shared" ca="1" si="8"/>
        <v>R</v>
      </c>
      <c r="F45" s="348"/>
      <c r="G45" s="349">
        <f t="shared" ca="1" si="1"/>
        <v>29</v>
      </c>
      <c r="H45" s="350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289</v>
      </c>
      <c r="AR45" s="207" t="s">
        <v>140</v>
      </c>
      <c r="AS45" s="207">
        <v>19</v>
      </c>
      <c r="AT45" s="207" t="s">
        <v>290</v>
      </c>
      <c r="AV45" s="168">
        <f t="shared" si="21"/>
        <v>17</v>
      </c>
      <c r="AW45" s="168">
        <f>COUNTIF( AV$7:AV45, AV45 )</f>
        <v>14</v>
      </c>
      <c r="AX45" s="208">
        <f t="shared" si="22"/>
        <v>18.399999999999999</v>
      </c>
      <c r="AY45" s="168">
        <f t="shared" si="23"/>
        <v>30</v>
      </c>
      <c r="AZ45" s="169"/>
      <c r="BA45" s="169"/>
      <c r="BC45" s="168">
        <f t="shared" ca="1" si="24"/>
        <v>39</v>
      </c>
      <c r="BD45" s="209">
        <f t="shared" ca="1" si="6"/>
        <v>25</v>
      </c>
      <c r="BF45" s="173" t="str">
        <f t="shared" ca="1" si="25"/>
        <v>IDACORP, Inc.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IDA</v>
      </c>
    </row>
    <row r="46" spans="1:61" ht="13.8" x14ac:dyDescent="0.25">
      <c r="A46" s="223" t="s">
        <v>297</v>
      </c>
      <c r="B46" s="224" t="s">
        <v>141</v>
      </c>
      <c r="C46" s="224">
        <v>18</v>
      </c>
      <c r="D46" s="224" t="s">
        <v>298</v>
      </c>
      <c r="E46" s="225" t="str">
        <f t="shared" ca="1" si="8"/>
        <v>R</v>
      </c>
      <c r="F46" s="348"/>
      <c r="G46" s="349">
        <f t="shared" ca="1" si="1"/>
        <v>34</v>
      </c>
      <c r="H46" s="350"/>
      <c r="I46" s="191"/>
      <c r="K46" s="191"/>
      <c r="N46" s="351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46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305</v>
      </c>
      <c r="AR46" s="207" t="s">
        <v>142</v>
      </c>
      <c r="AS46" s="207">
        <v>17</v>
      </c>
      <c r="AT46" s="207" t="s">
        <v>306</v>
      </c>
      <c r="AV46" s="168">
        <f t="shared" si="21"/>
        <v>43</v>
      </c>
      <c r="AW46" s="168">
        <f>COUNTIF( AV$7:AV46, AV46 )</f>
        <v>5</v>
      </c>
      <c r="AX46" s="208">
        <f t="shared" si="22"/>
        <v>43.5</v>
      </c>
      <c r="AY46" s="168">
        <f t="shared" si="23"/>
        <v>47</v>
      </c>
      <c r="AZ46" s="169"/>
      <c r="BA46" s="169"/>
      <c r="BC46" s="168">
        <f t="shared" ca="1" si="24"/>
        <v>40</v>
      </c>
      <c r="BD46" s="209">
        <f t="shared" ca="1" si="6"/>
        <v>30</v>
      </c>
      <c r="BF46" s="173" t="str">
        <f t="shared" ca="1" si="25"/>
        <v>NorthWestern Corporation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NWE</v>
      </c>
    </row>
    <row r="47" spans="1:61" ht="13.8" x14ac:dyDescent="0.25">
      <c r="A47" s="223" t="s">
        <v>299</v>
      </c>
      <c r="B47" s="224" t="s">
        <v>141</v>
      </c>
      <c r="C47" s="224">
        <v>18</v>
      </c>
      <c r="D47" s="224" t="s">
        <v>300</v>
      </c>
      <c r="E47" s="225" t="str">
        <f t="shared" ca="1" si="8"/>
        <v>R</v>
      </c>
      <c r="F47" s="348"/>
      <c r="G47" s="349">
        <f t="shared" ca="1" si="1"/>
        <v>36</v>
      </c>
      <c r="H47" s="350"/>
      <c r="I47" s="350"/>
      <c r="J47" s="187" t="s">
        <v>307</v>
      </c>
      <c r="K47" s="191"/>
      <c r="M47" s="351"/>
      <c r="N47" s="351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47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347</v>
      </c>
      <c r="AR47" s="207" t="s">
        <v>140</v>
      </c>
      <c r="AS47" s="207">
        <v>19</v>
      </c>
      <c r="AT47" s="207" t="s">
        <v>348</v>
      </c>
      <c r="AV47" s="168">
        <f t="shared" si="21"/>
        <v>17</v>
      </c>
      <c r="AW47" s="168">
        <f>COUNTIF( AV$7:AV47, AV47 )</f>
        <v>15</v>
      </c>
      <c r="AX47" s="208">
        <f t="shared" si="22"/>
        <v>18.5</v>
      </c>
      <c r="AY47" s="168">
        <f t="shared" si="23"/>
        <v>31</v>
      </c>
      <c r="AZ47" s="169"/>
      <c r="BA47" s="169"/>
      <c r="BC47" s="168">
        <f t="shared" ca="1" si="24"/>
        <v>41</v>
      </c>
      <c r="BD47" s="209">
        <f t="shared" ca="1" si="6"/>
        <v>33</v>
      </c>
      <c r="BF47" s="173" t="str">
        <f t="shared" ca="1" si="25"/>
        <v>Otter Tail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OTTR</v>
      </c>
    </row>
    <row r="48" spans="1:61" ht="13.8" x14ac:dyDescent="0.25">
      <c r="A48" s="223" t="s">
        <v>285</v>
      </c>
      <c r="B48" s="224" t="s">
        <v>141</v>
      </c>
      <c r="C48" s="224">
        <v>18</v>
      </c>
      <c r="D48" s="224" t="s">
        <v>286</v>
      </c>
      <c r="E48" s="225" t="str">
        <f t="shared" ca="1" si="8"/>
        <v>R</v>
      </c>
      <c r="F48" s="348"/>
      <c r="G48" s="349">
        <f t="shared" ca="1" si="1"/>
        <v>40</v>
      </c>
      <c r="H48" s="350"/>
      <c r="I48" s="350"/>
      <c r="K48" s="191"/>
      <c r="M48" s="351"/>
      <c r="N48" s="351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48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291</v>
      </c>
      <c r="AR48" s="207" t="s">
        <v>140</v>
      </c>
      <c r="AS48" s="207">
        <v>19</v>
      </c>
      <c r="AT48" s="207" t="s">
        <v>292</v>
      </c>
      <c r="AV48" s="168">
        <f t="shared" si="21"/>
        <v>17</v>
      </c>
      <c r="AW48" s="168">
        <f>COUNTIF( AV$7:AV48, AV48 )</f>
        <v>16</v>
      </c>
      <c r="AX48" s="208">
        <f t="shared" si="22"/>
        <v>18.600000000000001</v>
      </c>
      <c r="AY48" s="168">
        <f t="shared" si="23"/>
        <v>32</v>
      </c>
      <c r="AZ48" s="169"/>
      <c r="BA48" s="169"/>
      <c r="BC48" s="168">
        <f t="shared" ca="1" si="24"/>
        <v>42</v>
      </c>
      <c r="BD48" s="209">
        <f t="shared" ca="1" si="6"/>
        <v>37</v>
      </c>
      <c r="BF48" s="173" t="str">
        <f t="shared" ca="1" si="25"/>
        <v>Portland General Electric Company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POR</v>
      </c>
    </row>
    <row r="49" spans="1:61" ht="13.8" x14ac:dyDescent="0.25">
      <c r="A49" s="223" t="s">
        <v>254</v>
      </c>
      <c r="B49" s="224" t="s">
        <v>142</v>
      </c>
      <c r="C49" s="224">
        <v>17</v>
      </c>
      <c r="D49" s="224" t="s">
        <v>255</v>
      </c>
      <c r="E49" s="225" t="str">
        <f t="shared" ca="1" si="8"/>
        <v>R</v>
      </c>
      <c r="F49" s="348"/>
      <c r="G49" s="349">
        <f t="shared" ca="1" si="1"/>
        <v>54</v>
      </c>
      <c r="H49" s="350"/>
      <c r="I49" s="350"/>
      <c r="J49" s="191"/>
      <c r="K49" s="191"/>
      <c r="M49" s="351"/>
      <c r="N49" s="351"/>
      <c r="AF49" s="169">
        <f t="shared" si="2"/>
        <v>1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4"/>
        <v/>
      </c>
      <c r="AQ49" s="207" t="s">
        <v>293</v>
      </c>
      <c r="AR49" s="207" t="s">
        <v>139</v>
      </c>
      <c r="AS49" s="207">
        <v>20</v>
      </c>
      <c r="AT49" s="207" t="s">
        <v>294</v>
      </c>
      <c r="AV49" s="168">
        <f t="shared" si="21"/>
        <v>3</v>
      </c>
      <c r="AW49" s="168">
        <f>COUNTIF( AV$7:AV49, AV49 )</f>
        <v>11</v>
      </c>
      <c r="AX49" s="208">
        <f t="shared" si="22"/>
        <v>4.0999999999999996</v>
      </c>
      <c r="AY49" s="168">
        <f t="shared" si="23"/>
        <v>13</v>
      </c>
      <c r="AZ49" s="169"/>
      <c r="BA49" s="169"/>
      <c r="BC49" s="168">
        <f t="shared" ca="1" si="24"/>
        <v>43</v>
      </c>
      <c r="BD49" s="209">
        <f t="shared" ca="1" si="6"/>
        <v>10</v>
      </c>
      <c r="BF49" s="173" t="str">
        <f t="shared" ca="1" si="25"/>
        <v>Cleco Corporation</v>
      </c>
      <c r="BG49" s="173" t="str">
        <f t="shared" ca="1" si="25"/>
        <v>BBB-</v>
      </c>
      <c r="BH49" s="173">
        <f t="shared" ca="1" si="25"/>
        <v>17</v>
      </c>
      <c r="BI49" s="173" t="str">
        <f t="shared" ca="1" si="25"/>
        <v>**CNL</v>
      </c>
    </row>
    <row r="50" spans="1:61" ht="13.8" x14ac:dyDescent="0.25">
      <c r="A50" s="223" t="s">
        <v>275</v>
      </c>
      <c r="B50" s="224" t="s">
        <v>142</v>
      </c>
      <c r="C50" s="224">
        <v>17</v>
      </c>
      <c r="D50" s="224" t="s">
        <v>276</v>
      </c>
      <c r="E50" s="225" t="str">
        <f t="shared" ca="1" si="8"/>
        <v>R</v>
      </c>
      <c r="F50" s="348"/>
      <c r="G50" s="349">
        <f t="shared" ca="1" si="1"/>
        <v>26</v>
      </c>
      <c r="H50" s="350"/>
      <c r="I50" s="350"/>
      <c r="J50" s="191"/>
      <c r="K50" s="191"/>
      <c r="M50" s="351"/>
      <c r="N50" s="351"/>
      <c r="AF50" s="169">
        <f t="shared" si="2"/>
        <v>1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50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4"/>
        <v/>
      </c>
      <c r="AQ50" s="207" t="s">
        <v>295</v>
      </c>
      <c r="AR50" s="207" t="s">
        <v>140</v>
      </c>
      <c r="AS50" s="207">
        <v>19</v>
      </c>
      <c r="AT50" s="207" t="s">
        <v>296</v>
      </c>
      <c r="AV50" s="168">
        <f t="shared" si="21"/>
        <v>17</v>
      </c>
      <c r="AW50" s="168">
        <f>COUNTIF( AV$7:AV50, AV50 )</f>
        <v>17</v>
      </c>
      <c r="AX50" s="208">
        <f t="shared" si="22"/>
        <v>18.7</v>
      </c>
      <c r="AY50" s="168">
        <f t="shared" si="23"/>
        <v>33</v>
      </c>
      <c r="AZ50" s="169"/>
      <c r="BA50" s="169"/>
      <c r="BC50" s="168">
        <f t="shared" ca="1" si="24"/>
        <v>44</v>
      </c>
      <c r="BD50" s="209">
        <f t="shared" ca="1" si="6"/>
        <v>22</v>
      </c>
      <c r="BF50" s="173" t="str">
        <f t="shared" ca="1" si="25"/>
        <v>FirstEnergy Corp.</v>
      </c>
      <c r="BG50" s="173" t="str">
        <f t="shared" ca="1" si="25"/>
        <v>BBB-</v>
      </c>
      <c r="BH50" s="173">
        <f t="shared" ca="1" si="25"/>
        <v>17</v>
      </c>
      <c r="BI50" s="173" t="str">
        <f t="shared" ca="1" si="25"/>
        <v>FE</v>
      </c>
    </row>
    <row r="51" spans="1:61" ht="13.8" x14ac:dyDescent="0.25">
      <c r="A51" s="223" t="s">
        <v>279</v>
      </c>
      <c r="B51" s="224" t="s">
        <v>142</v>
      </c>
      <c r="C51" s="224">
        <v>17</v>
      </c>
      <c r="D51" s="224" t="s">
        <v>280</v>
      </c>
      <c r="E51" s="225" t="str">
        <f t="shared" ca="1" si="8"/>
        <v>MR</v>
      </c>
      <c r="F51" s="348"/>
      <c r="G51" s="349">
        <f t="shared" ca="1" si="1"/>
        <v>28</v>
      </c>
      <c r="H51" s="350"/>
      <c r="I51" s="350"/>
      <c r="J51" s="191"/>
      <c r="K51" s="191"/>
      <c r="M51" s="351"/>
      <c r="N51" s="351"/>
      <c r="AF51" s="169">
        <f t="shared" si="2"/>
        <v>1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51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4"/>
        <v/>
      </c>
      <c r="AQ51" s="207" t="s">
        <v>345</v>
      </c>
      <c r="AR51" s="207" t="s">
        <v>139</v>
      </c>
      <c r="AS51" s="207">
        <v>20</v>
      </c>
      <c r="AT51" s="207" t="s">
        <v>346</v>
      </c>
      <c r="AV51" s="168">
        <f t="shared" si="21"/>
        <v>3</v>
      </c>
      <c r="AW51" s="168">
        <f>COUNTIF( AV$7:AV51, AV51 )</f>
        <v>12</v>
      </c>
      <c r="AX51" s="208">
        <f t="shared" si="22"/>
        <v>4.2</v>
      </c>
      <c r="AY51" s="168">
        <f t="shared" si="23"/>
        <v>14</v>
      </c>
      <c r="AZ51" s="169"/>
      <c r="BA51" s="169"/>
      <c r="BC51" s="168">
        <f t="shared" ca="1" si="24"/>
        <v>45</v>
      </c>
      <c r="BD51" s="209">
        <f t="shared" ca="1" si="6"/>
        <v>24</v>
      </c>
      <c r="BF51" s="173" t="str">
        <f t="shared" ca="1" si="25"/>
        <v>Hawaiian Electric Industries, Inc.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HE</v>
      </c>
    </row>
    <row r="52" spans="1:61" ht="13.8" x14ac:dyDescent="0.25">
      <c r="A52" s="223" t="s">
        <v>287</v>
      </c>
      <c r="B52" s="224" t="s">
        <v>142</v>
      </c>
      <c r="C52" s="224">
        <v>17</v>
      </c>
      <c r="D52" s="224" t="s">
        <v>288</v>
      </c>
      <c r="E52" s="225" t="str">
        <f t="shared" ca="1" si="8"/>
        <v>R</v>
      </c>
      <c r="F52" s="348"/>
      <c r="G52" s="349">
        <f t="shared" ca="1" si="1"/>
        <v>57</v>
      </c>
      <c r="H52" s="350"/>
      <c r="I52" s="350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52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354</v>
      </c>
      <c r="AR52" s="207" t="s">
        <v>140</v>
      </c>
      <c r="AS52" s="207">
        <v>19</v>
      </c>
      <c r="AT52" s="207" t="s">
        <v>355</v>
      </c>
      <c r="AV52" s="168">
        <f t="shared" si="21"/>
        <v>17</v>
      </c>
      <c r="AW52" s="168">
        <f>COUNTIF( AV$7:AV52, AV52 )</f>
        <v>18</v>
      </c>
      <c r="AX52" s="208">
        <f t="shared" si="22"/>
        <v>18.8</v>
      </c>
      <c r="AY52" s="168">
        <f t="shared" si="23"/>
        <v>34</v>
      </c>
      <c r="AZ52" s="169"/>
      <c r="BA52" s="169"/>
      <c r="BC52" s="168">
        <f t="shared" ca="1" si="24"/>
        <v>46</v>
      </c>
      <c r="BD52" s="209">
        <f t="shared" ca="1" si="6"/>
        <v>26</v>
      </c>
      <c r="BF52" s="173" t="str">
        <f t="shared" ca="1" si="25"/>
        <v>IPALCO Enterprises, Inc.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**IPALCO</v>
      </c>
    </row>
    <row r="53" spans="1:61" ht="13.8" x14ac:dyDescent="0.25">
      <c r="A53" s="223" t="s">
        <v>305</v>
      </c>
      <c r="B53" s="224" t="s">
        <v>142</v>
      </c>
      <c r="C53" s="224">
        <v>17</v>
      </c>
      <c r="D53" s="224" t="s">
        <v>306</v>
      </c>
      <c r="E53" s="225" t="str">
        <f t="shared" ca="1" si="8"/>
        <v>R</v>
      </c>
      <c r="F53" s="348"/>
      <c r="G53" s="349">
        <f t="shared" ca="1" si="1"/>
        <v>59</v>
      </c>
      <c r="H53" s="350"/>
      <c r="I53" s="350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247</v>
      </c>
      <c r="AR53" s="207" t="s">
        <v>139</v>
      </c>
      <c r="AS53" s="207">
        <v>20</v>
      </c>
      <c r="AT53" s="207" t="s">
        <v>248</v>
      </c>
      <c r="AV53" s="168">
        <f t="shared" si="21"/>
        <v>3</v>
      </c>
      <c r="AW53" s="168">
        <f>COUNTIF( AV$7:AV53, AV53 )</f>
        <v>13</v>
      </c>
      <c r="AX53" s="208">
        <f t="shared" si="22"/>
        <v>4.3</v>
      </c>
      <c r="AY53" s="168">
        <f t="shared" si="23"/>
        <v>15</v>
      </c>
      <c r="AZ53" s="169"/>
      <c r="BA53" s="169"/>
      <c r="BC53" s="168">
        <f t="shared" ca="1" si="24"/>
        <v>47</v>
      </c>
      <c r="BD53" s="209">
        <f t="shared" ca="1" si="6"/>
        <v>40</v>
      </c>
      <c r="BF53" s="173" t="str">
        <f t="shared" ca="1" si="25"/>
        <v>Puget Energy,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**PSD</v>
      </c>
    </row>
    <row r="54" spans="1:61" ht="13.8" x14ac:dyDescent="0.25">
      <c r="A54" s="223" t="s">
        <v>259</v>
      </c>
      <c r="B54" s="224" t="s">
        <v>177</v>
      </c>
      <c r="C54" s="224">
        <v>14</v>
      </c>
      <c r="D54" s="224" t="s">
        <v>260</v>
      </c>
      <c r="E54" s="225" t="str">
        <f t="shared" ca="1" si="8"/>
        <v>MR</v>
      </c>
      <c r="F54" s="348"/>
      <c r="G54" s="349">
        <f t="shared" ca="1" si="1"/>
        <v>55</v>
      </c>
      <c r="H54" s="350"/>
      <c r="I54" s="350"/>
      <c r="J54" s="191"/>
      <c r="K54" s="191"/>
      <c r="AF54" s="169">
        <f t="shared" si="2"/>
        <v>0</v>
      </c>
      <c r="AG54" s="169" t="str">
        <f t="shared" ca="1" si="3"/>
        <v/>
      </c>
      <c r="AH54" s="169" t="str">
        <f t="shared" ca="1" si="18"/>
        <v/>
      </c>
      <c r="AJ54" s="169">
        <f t="shared" ca="1" si="19"/>
        <v>54</v>
      </c>
      <c r="AK54" s="169" t="str">
        <f t="shared" ca="1" si="20"/>
        <v>BB-</v>
      </c>
      <c r="AL54" s="169">
        <f t="shared" ca="1" si="20"/>
        <v>14</v>
      </c>
      <c r="AM54" s="169" t="str">
        <f t="shared" ca="1" si="4"/>
        <v/>
      </c>
      <c r="AQ54" s="207" t="s">
        <v>251</v>
      </c>
      <c r="AR54" s="207" t="s">
        <v>139</v>
      </c>
      <c r="AS54" s="207">
        <v>20</v>
      </c>
      <c r="AT54" s="207" t="s">
        <v>252</v>
      </c>
      <c r="AV54" s="168">
        <f t="shared" si="21"/>
        <v>3</v>
      </c>
      <c r="AW54" s="168">
        <f>COUNTIF( AV$7:AV54, AV54 )</f>
        <v>14</v>
      </c>
      <c r="AX54" s="208">
        <f t="shared" si="22"/>
        <v>4.4000000000000004</v>
      </c>
      <c r="AY54" s="168">
        <f t="shared" si="23"/>
        <v>16</v>
      </c>
      <c r="AZ54" s="169"/>
      <c r="BA54" s="169"/>
      <c r="BC54" s="168">
        <f t="shared" ca="1" si="24"/>
        <v>48</v>
      </c>
      <c r="BD54" s="209">
        <f t="shared" ca="1" si="6"/>
        <v>14</v>
      </c>
      <c r="BF54" s="173" t="str">
        <f t="shared" ca="1" si="25"/>
        <v>DPL Inc.</v>
      </c>
      <c r="BG54" s="173" t="str">
        <f t="shared" ca="1" si="25"/>
        <v>BB-</v>
      </c>
      <c r="BH54" s="173">
        <f t="shared" ca="1" si="25"/>
        <v>14</v>
      </c>
      <c r="BI54" s="173" t="str">
        <f t="shared" ca="1" si="25"/>
        <v>**DPL</v>
      </c>
    </row>
    <row r="55" spans="1:61" ht="13.8" x14ac:dyDescent="0.25">
      <c r="A55" s="223"/>
      <c r="B55" s="224"/>
      <c r="C55" s="224"/>
      <c r="D55" s="224"/>
      <c r="E55" s="225" t="str">
        <f t="shared" ca="1" si="8"/>
        <v/>
      </c>
      <c r="F55" s="348"/>
      <c r="G55" s="349" t="str">
        <f t="shared" ca="1" si="1"/>
        <v/>
      </c>
      <c r="H55" s="350"/>
      <c r="I55" s="350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8"/>
        <v/>
      </c>
      <c r="AJ55" s="169" t="e">
        <f t="shared" ca="1" si="19"/>
        <v>#N/A</v>
      </c>
      <c r="AK55" s="169" t="str">
        <f t="shared" ca="1" si="20"/>
        <v/>
      </c>
      <c r="AL55" s="169" t="str">
        <f t="shared" ca="1" si="20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1"/>
        <v>99</v>
      </c>
      <c r="AW55" s="168">
        <f>COUNTIF( AV$7:AV55, AV55 )</f>
        <v>1</v>
      </c>
      <c r="AX55" s="208">
        <f t="shared" si="22"/>
        <v>99.1</v>
      </c>
      <c r="AY55" s="168">
        <f t="shared" si="23"/>
        <v>49</v>
      </c>
      <c r="AZ55" s="169"/>
      <c r="BA55" s="169"/>
      <c r="BC55" s="168">
        <f t="shared" ca="1" si="24"/>
        <v>49</v>
      </c>
      <c r="BD55" s="209">
        <f t="shared" ca="1" si="6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3.8" x14ac:dyDescent="0.25">
      <c r="A56" s="223"/>
      <c r="B56" s="224"/>
      <c r="C56" s="224"/>
      <c r="D56" s="224"/>
      <c r="E56" s="225"/>
      <c r="F56" s="348"/>
      <c r="G56" s="349" t="str">
        <f t="shared" ca="1" si="1"/>
        <v/>
      </c>
      <c r="H56" s="350"/>
      <c r="I56" s="350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2</v>
      </c>
      <c r="AX56" s="208">
        <f t="shared" si="22"/>
        <v>99.2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8" x14ac:dyDescent="0.25">
      <c r="A57" s="223"/>
      <c r="B57" s="224"/>
      <c r="C57" s="224"/>
      <c r="D57" s="224"/>
      <c r="E57" s="225"/>
      <c r="F57" s="348"/>
      <c r="G57" s="349" t="str">
        <f t="shared" ca="1" si="1"/>
        <v/>
      </c>
      <c r="H57" s="350"/>
      <c r="I57" s="350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3</v>
      </c>
      <c r="AX57" s="208">
        <f t="shared" si="22"/>
        <v>99.3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8" x14ac:dyDescent="0.25">
      <c r="A58" s="223"/>
      <c r="B58" s="224"/>
      <c r="C58" s="224"/>
      <c r="D58" s="224"/>
      <c r="E58" s="225"/>
      <c r="F58" s="348"/>
      <c r="G58" s="349" t="str">
        <f t="shared" ca="1" si="1"/>
        <v/>
      </c>
      <c r="H58" s="350"/>
      <c r="I58" s="350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4</v>
      </c>
      <c r="AX58" s="208">
        <f t="shared" si="22"/>
        <v>99.4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8" x14ac:dyDescent="0.25">
      <c r="A59" s="223"/>
      <c r="B59" s="224"/>
      <c r="C59" s="224"/>
      <c r="D59" s="224"/>
      <c r="E59" s="225" t="str">
        <f t="shared" ca="1" si="8"/>
        <v/>
      </c>
      <c r="F59" s="348"/>
      <c r="G59" s="349" t="str">
        <f t="shared" ca="1" si="1"/>
        <v/>
      </c>
      <c r="H59" s="350"/>
      <c r="I59" s="350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5</v>
      </c>
      <c r="AX59" s="208">
        <f t="shared" si="22"/>
        <v>99.5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" thickBot="1" x14ac:dyDescent="0.3">
      <c r="A60" s="192"/>
      <c r="B60" s="193"/>
      <c r="C60" s="193"/>
      <c r="D60" s="193"/>
      <c r="E60" s="194" t="str">
        <f t="shared" ca="1" si="8"/>
        <v/>
      </c>
      <c r="F60" s="350"/>
      <c r="G60" s="353" t="str">
        <f t="shared" ca="1" si="1"/>
        <v/>
      </c>
      <c r="H60" s="350"/>
      <c r="I60" s="350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6</v>
      </c>
      <c r="AX60" s="208">
        <f t="shared" si="22"/>
        <v>99.6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8" x14ac:dyDescent="0.25">
      <c r="A61" s="226" t="s">
        <v>308</v>
      </c>
      <c r="B61" s="227" t="s">
        <v>162</v>
      </c>
      <c r="C61" s="227">
        <v>23</v>
      </c>
      <c r="D61" s="227" t="s">
        <v>309</v>
      </c>
      <c r="E61" s="228" t="str">
        <f t="shared" ca="1" si="8"/>
        <v>MR</v>
      </c>
      <c r="F61" s="354"/>
      <c r="G61" s="355">
        <f t="shared" ca="1" si="1"/>
        <v>31</v>
      </c>
      <c r="H61" s="350"/>
      <c r="I61" s="350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7</v>
      </c>
      <c r="AX61" s="208">
        <f t="shared" si="22"/>
        <v>99.7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8" x14ac:dyDescent="0.25">
      <c r="A62" s="223"/>
      <c r="B62" s="224"/>
      <c r="C62" s="224"/>
      <c r="D62" s="224"/>
      <c r="E62" s="225"/>
      <c r="F62" s="348"/>
      <c r="G62" s="349" t="str">
        <f t="shared" ca="1" si="1"/>
        <v/>
      </c>
      <c r="H62" s="350"/>
      <c r="I62" s="350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 t="e">
        <f t="shared" ca="1" si="19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8</v>
      </c>
      <c r="AX62" s="208">
        <f t="shared" si="22"/>
        <v>99.8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/>
      <c r="B63" s="229"/>
      <c r="C63" s="224"/>
      <c r="D63" s="224"/>
      <c r="E63" s="225"/>
      <c r="F63" s="348"/>
      <c r="G63" s="349"/>
      <c r="H63" s="350"/>
      <c r="I63" s="350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9</v>
      </c>
      <c r="AX63" s="208">
        <f t="shared" si="22"/>
        <v>99.9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/>
      <c r="B64" s="229"/>
      <c r="C64" s="224"/>
      <c r="D64" s="224"/>
      <c r="E64" s="225"/>
      <c r="F64" s="348"/>
      <c r="G64" s="349"/>
      <c r="H64" s="350"/>
      <c r="I64" s="350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308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58" ht="13.8" x14ac:dyDescent="0.25">
      <c r="A65" s="223"/>
      <c r="B65" s="229"/>
      <c r="C65" s="224"/>
      <c r="D65" s="224"/>
      <c r="E65" s="225"/>
      <c r="F65" s="348"/>
      <c r="G65" s="349"/>
      <c r="H65" s="350"/>
      <c r="I65" s="350"/>
      <c r="N65" s="168" t="s">
        <v>310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3.8" x14ac:dyDescent="0.25">
      <c r="A66" s="195"/>
      <c r="B66" s="196"/>
      <c r="C66" s="185"/>
      <c r="D66" s="185"/>
      <c r="E66" s="182"/>
      <c r="F66" s="350"/>
      <c r="H66" s="350"/>
      <c r="I66" s="350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50"/>
      <c r="H67" s="350"/>
      <c r="I67" s="350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8" x14ac:dyDescent="0.25">
      <c r="A68" s="200" t="s">
        <v>311</v>
      </c>
      <c r="B68" s="189" t="str">
        <f ca="1">OFFSET( Scale!$H$5, ROUND( C68, 0 ) - 1, 1 )</f>
        <v>BBB+</v>
      </c>
      <c r="C68" s="201">
        <f>AVERAGE(C7:C65)</f>
        <v>18.979591836734695</v>
      </c>
      <c r="D68" s="201"/>
      <c r="E68" s="201"/>
      <c r="F68" s="350"/>
      <c r="H68" s="350"/>
      <c r="I68" s="350"/>
      <c r="J68" s="351"/>
      <c r="K68" s="351"/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50"/>
      <c r="H69" s="350"/>
      <c r="I69" s="350"/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1"/>
      <c r="K70" s="351"/>
    </row>
    <row r="71" spans="1:58" x14ac:dyDescent="0.25">
      <c r="A71" s="203" t="s">
        <v>312</v>
      </c>
      <c r="F71" s="173"/>
      <c r="H71" s="173"/>
      <c r="I71" s="173"/>
    </row>
    <row r="72" spans="1:58" x14ac:dyDescent="0.25">
      <c r="A72" s="203" t="s">
        <v>313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314</v>
      </c>
      <c r="B73" s="173"/>
      <c r="D73" s="173"/>
      <c r="E73" s="173"/>
      <c r="F73" s="204"/>
      <c r="H73" s="204"/>
      <c r="I73" s="204"/>
    </row>
    <row r="74" spans="1:58" x14ac:dyDescent="0.25">
      <c r="A74" s="203" t="s">
        <v>315</v>
      </c>
      <c r="D74" s="204"/>
      <c r="F74" s="206"/>
      <c r="H74" s="206"/>
      <c r="I74" s="206"/>
      <c r="AQ74" s="207"/>
      <c r="AR74" s="207"/>
      <c r="AS74" s="207"/>
    </row>
    <row r="75" spans="1:58" x14ac:dyDescent="0.25">
      <c r="A75" s="203" t="s">
        <v>316</v>
      </c>
      <c r="D75" s="204"/>
      <c r="F75" s="206"/>
      <c r="H75" s="206"/>
      <c r="I75" s="206"/>
      <c r="AQ75" s="207"/>
      <c r="AR75" s="207"/>
      <c r="AS75" s="207"/>
    </row>
    <row r="76" spans="1:58" x14ac:dyDescent="0.25">
      <c r="A76" s="203"/>
      <c r="AQ76" s="207"/>
      <c r="AR76" s="207"/>
      <c r="AS76" s="207"/>
    </row>
    <row r="77" spans="1:58" x14ac:dyDescent="0.25">
      <c r="C77" s="190">
        <f>SUMPRODUCT( L8:L13, Y8:Y13 ) / L14</f>
        <v>18.979591836734695</v>
      </c>
      <c r="E77" s="191"/>
      <c r="G77" s="353"/>
      <c r="J77" s="173"/>
      <c r="K77" s="173"/>
      <c r="AQ77" s="207"/>
      <c r="AR77" s="207"/>
      <c r="AS77" s="207"/>
    </row>
    <row r="78" spans="1:58" s="173" customFormat="1" ht="13.8" x14ac:dyDescent="0.2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ref="AQ7:AT5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911" priority="31" stopIfTrue="1">
      <formula>IF( $AH7 = 1, TRUE, FALSE )</formula>
    </cfRule>
    <cfRule type="expression" dxfId="910" priority="32" stopIfTrue="1">
      <formula>IF( $AG7 = 1, TRUE, FALSE )</formula>
    </cfRule>
    <cfRule type="expression" dxfId="909" priority="33" stopIfTrue="1">
      <formula>IF( $AF7 = 1, TRUE, FALSE )</formula>
    </cfRule>
  </conditionalFormatting>
  <conditionalFormatting sqref="A67:E67">
    <cfRule type="expression" dxfId="908" priority="34" stopIfTrue="1">
      <formula>IF( $AH67 = 1, TRUE, FALSE )</formula>
    </cfRule>
    <cfRule type="expression" dxfId="907" priority="35" stopIfTrue="1">
      <formula>IF( $AG67 = 1, TRUE, FALSE )</formula>
    </cfRule>
    <cfRule type="expression" dxfId="906" priority="36" stopIfTrue="1">
      <formula>IF( $AF67 = 1, TRUE, FALSE )</formula>
    </cfRule>
  </conditionalFormatting>
  <conditionalFormatting sqref="A66:E66">
    <cfRule type="expression" dxfId="905" priority="28" stopIfTrue="1">
      <formula>IF( $AH66 = 1, TRUE, FALSE )</formula>
    </cfRule>
    <cfRule type="expression" dxfId="904" priority="29" stopIfTrue="1">
      <formula>IF( $AG66 = 1, TRUE, FALSE )</formula>
    </cfRule>
    <cfRule type="expression" dxfId="903" priority="30" stopIfTrue="1">
      <formula>IF( $AF66 = 1, TRUE, FALSE )</formula>
    </cfRule>
  </conditionalFormatting>
  <conditionalFormatting sqref="A8:D33 B7:D7 A35:D58">
    <cfRule type="expression" dxfId="902" priority="25" stopIfTrue="1">
      <formula>IF( $AH7 = 1, TRUE, FALSE )</formula>
    </cfRule>
    <cfRule type="expression" dxfId="901" priority="26" stopIfTrue="1">
      <formula>IF( $AG7 = 1, TRUE, FALSE )</formula>
    </cfRule>
    <cfRule type="expression" dxfId="900" priority="27" stopIfTrue="1">
      <formula>IF( $AF7 = 1, TRUE, FALSE )</formula>
    </cfRule>
  </conditionalFormatting>
  <conditionalFormatting sqref="A59:D59">
    <cfRule type="expression" dxfId="899" priority="22" stopIfTrue="1">
      <formula>IF( $AH59 = 1, TRUE, FALSE )</formula>
    </cfRule>
    <cfRule type="expression" dxfId="898" priority="23" stopIfTrue="1">
      <formula>IF( $AG59 = 1, TRUE, FALSE )</formula>
    </cfRule>
    <cfRule type="expression" dxfId="897" priority="24" stopIfTrue="1">
      <formula>IF( $AF59 = 1, TRUE, FALSE )</formula>
    </cfRule>
  </conditionalFormatting>
  <conditionalFormatting sqref="A61:D65">
    <cfRule type="expression" dxfId="896" priority="19" stopIfTrue="1">
      <formula>IF( $AH61 = 1, TRUE, FALSE )</formula>
    </cfRule>
    <cfRule type="expression" dxfId="895" priority="20" stopIfTrue="1">
      <formula>IF( $AG61 = 1, TRUE, FALSE )</formula>
    </cfRule>
    <cfRule type="expression" dxfId="894" priority="21" stopIfTrue="1">
      <formula>IF( $AF61 = 1, TRUE, FALSE )</formula>
    </cfRule>
  </conditionalFormatting>
  <conditionalFormatting sqref="U8:U12">
    <cfRule type="cellIs" dxfId="893" priority="18" operator="equal">
      <formula>0</formula>
    </cfRule>
  </conditionalFormatting>
  <conditionalFormatting sqref="O8:O12 Q8:Q12">
    <cfRule type="cellIs" dxfId="892" priority="17" operator="equal">
      <formula>0</formula>
    </cfRule>
  </conditionalFormatting>
  <conditionalFormatting sqref="V8:V12">
    <cfRule type="cellIs" dxfId="891" priority="16" operator="equal">
      <formula>0</formula>
    </cfRule>
  </conditionalFormatting>
  <conditionalFormatting sqref="S8:S12">
    <cfRule type="cellIs" dxfId="890" priority="14" operator="equal">
      <formula>0</formula>
    </cfRule>
  </conditionalFormatting>
  <conditionalFormatting sqref="R8:R12">
    <cfRule type="cellIs" dxfId="889" priority="15" operator="equal">
      <formula>0</formula>
    </cfRule>
  </conditionalFormatting>
  <conditionalFormatting sqref="P8:P12">
    <cfRule type="cellIs" dxfId="888" priority="13" operator="equal">
      <formula>0</formula>
    </cfRule>
  </conditionalFormatting>
  <conditionalFormatting sqref="M8:M12">
    <cfRule type="cellIs" dxfId="887" priority="12" operator="equal">
      <formula>0</formula>
    </cfRule>
  </conditionalFormatting>
  <conditionalFormatting sqref="T8:T12">
    <cfRule type="cellIs" dxfId="886" priority="11" operator="equal">
      <formula>0</formula>
    </cfRule>
  </conditionalFormatting>
  <conditionalFormatting sqref="N8:N12">
    <cfRule type="cellIs" dxfId="885" priority="10" operator="equal">
      <formula>0</formula>
    </cfRule>
  </conditionalFormatting>
  <conditionalFormatting sqref="K8:K12">
    <cfRule type="cellIs" dxfId="884" priority="9" operator="equal">
      <formula>0</formula>
    </cfRule>
  </conditionalFormatting>
  <conditionalFormatting sqref="I8:I12">
    <cfRule type="cellIs" dxfId="883" priority="8" operator="equal">
      <formula>0</formula>
    </cfRule>
  </conditionalFormatting>
  <conditionalFormatting sqref="W8:W12">
    <cfRule type="cellIs" dxfId="882" priority="7" operator="equal">
      <formula>0</formula>
    </cfRule>
  </conditionalFormatting>
  <conditionalFormatting sqref="A7">
    <cfRule type="expression" dxfId="881" priority="4" stopIfTrue="1">
      <formula>IF( $AH7 = 1, TRUE, FALSE )</formula>
    </cfRule>
    <cfRule type="expression" dxfId="880" priority="5" stopIfTrue="1">
      <formula>IF( $AG7 = 1, TRUE, FALSE )</formula>
    </cfRule>
    <cfRule type="expression" dxfId="879" priority="6" stopIfTrue="1">
      <formula>IF( $AF7 = 1, TRUE, FALSE )</formula>
    </cfRule>
  </conditionalFormatting>
  <conditionalFormatting sqref="A34:D34">
    <cfRule type="expression" dxfId="878" priority="1" stopIfTrue="1">
      <formula>IF( $AH34 = 1, TRUE, FALSE )</formula>
    </cfRule>
    <cfRule type="expression" dxfId="877" priority="2" stopIfTrue="1">
      <formula>IF( $AG34 = 1, TRUE, FALSE )</formula>
    </cfRule>
    <cfRule type="expression" dxfId="876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hidden="1" customWidth="1" outlineLevel="1"/>
    <col min="23" max="23" width="2" style="168" hidden="1" customWidth="1" outlineLevel="1"/>
    <col min="24" max="24" width="4.109375" style="168" customWidth="1" collapsed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15.88671875" style="169" hidden="1" customWidth="1" outlineLevel="1" collapsed="1"/>
    <col min="37" max="38" width="15.88671875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-- 2017 Q2</v>
      </c>
      <c r="G1" s="175" t="s">
        <v>195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 x14ac:dyDescent="0.25">
      <c r="A2" s="167"/>
      <c r="E2" s="171" t="str">
        <f>G2</f>
        <v>Reg_Percent_2016</v>
      </c>
      <c r="G2" s="172" t="s">
        <v>356</v>
      </c>
      <c r="AJ2" s="173" t="str">
        <f>AJ4 &amp; AJ3</f>
        <v>'Credit_2017Q1'!d:d</v>
      </c>
      <c r="AK2" s="173" t="str">
        <f>AK4 &amp; AK3</f>
        <v>'Credit_2017Q1'!b1</v>
      </c>
      <c r="AL2" s="173" t="str">
        <f>AL4 &amp; AL3</f>
        <v>'Credit_2017Q1'!c1</v>
      </c>
      <c r="AQ2" s="169"/>
    </row>
    <row r="3" spans="1:61" ht="18" hidden="1" outlineLevel="1" x14ac:dyDescent="0.25">
      <c r="A3" s="167"/>
      <c r="E3" s="174" t="str">
        <f>"'" &amp; E2 &amp; "'!"</f>
        <v>'Reg_Percent_2016'!</v>
      </c>
      <c r="G3" s="168" t="str">
        <f>"'" &amp; G2 &amp; "'!"</f>
        <v>'Reg_Percent_2016'!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205</v>
      </c>
      <c r="AK3" s="149" t="s">
        <v>206</v>
      </c>
      <c r="AL3" s="149" t="s">
        <v>207</v>
      </c>
      <c r="AQ3" s="169"/>
    </row>
    <row r="4" spans="1:61" ht="18" hidden="1" outlineLevel="1" x14ac:dyDescent="0.25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>$AQ$5</f>
        <v>'Credit_2017Q1'!</v>
      </c>
      <c r="AK4" s="169" t="str">
        <f t="shared" ref="AK4:AL4" si="0">$AQ$5</f>
        <v>'Credit_2017Q1'!</v>
      </c>
      <c r="AL4" s="169" t="str">
        <f t="shared" si="0"/>
        <v>'Credit_2017Q1'!</v>
      </c>
      <c r="AQ4" s="169"/>
    </row>
    <row r="5" spans="1:61" ht="13.8" collapsed="1" x14ac:dyDescent="0.25">
      <c r="E5" s="176" t="s">
        <v>209</v>
      </c>
      <c r="G5" s="170" t="s">
        <v>199</v>
      </c>
      <c r="I5" s="230"/>
      <c r="J5" s="389" t="s">
        <v>210</v>
      </c>
      <c r="K5" s="230"/>
      <c r="L5" s="391" t="str">
        <f>"All Companies" &amp; CHAR( 10 ) &amp; "("&amp; L14 &amp; ")"</f>
        <v>All Companies
(49)</v>
      </c>
      <c r="M5" s="391"/>
      <c r="N5" s="230"/>
      <c r="O5" s="389" t="str">
        <f ca="1">"Regulated" &amp; CHAR( 10 ) &amp; "(" &amp; O14 &amp; ")"</f>
        <v>Regulated
(35)</v>
      </c>
      <c r="P5" s="393"/>
      <c r="Q5" s="230"/>
      <c r="R5" s="389" t="str">
        <f ca="1">"Mostly Regulated" &amp; CHAR( 10 ) &amp; "(" &amp; R14 &amp; ")"</f>
        <v>Mostly Regulated
(14)</v>
      </c>
      <c r="S5" s="393"/>
      <c r="T5" s="230"/>
      <c r="U5" s="389" t="str">
        <f ca="1">"Diversified" &amp; CHAR( 10 ) &amp; "(" &amp; U14 &amp; ")"</f>
        <v>Diversified
(0)</v>
      </c>
      <c r="V5" s="393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363</v>
      </c>
    </row>
    <row r="6" spans="1:61" ht="28.5" customHeight="1" x14ac:dyDescent="0.25">
      <c r="A6" s="219" t="s">
        <v>212</v>
      </c>
      <c r="B6" s="220" t="s">
        <v>69</v>
      </c>
      <c r="C6" s="249" t="s">
        <v>214</v>
      </c>
      <c r="D6" s="221"/>
      <c r="E6" s="222">
        <f ca="1">INDIRECT( E3 &amp; G1 )</f>
        <v>42735</v>
      </c>
      <c r="I6" s="231"/>
      <c r="J6" s="390"/>
      <c r="K6" s="231"/>
      <c r="L6" s="392"/>
      <c r="M6" s="392"/>
      <c r="N6" s="231"/>
      <c r="O6" s="390"/>
      <c r="P6" s="390"/>
      <c r="Q6" s="231"/>
      <c r="R6" s="390" t="s">
        <v>136</v>
      </c>
      <c r="S6" s="390"/>
      <c r="T6" s="231"/>
      <c r="U6" s="390"/>
      <c r="V6" s="390"/>
      <c r="W6" s="231"/>
      <c r="AE6" s="178"/>
      <c r="AJ6" s="179"/>
    </row>
    <row r="7" spans="1:61" ht="13.8" x14ac:dyDescent="0.25">
      <c r="A7" s="223" t="s">
        <v>215</v>
      </c>
      <c r="B7" s="224" t="s">
        <v>166</v>
      </c>
      <c r="C7" s="224">
        <v>21</v>
      </c>
      <c r="D7" s="224" t="s">
        <v>216</v>
      </c>
      <c r="E7" s="225" t="str">
        <f ca="1">IF( LEN( $G7 ) = 0, "", OFFSET( INDIRECT( E$3 &amp; E$4 ), $G7 - 1, 0 ) )</f>
        <v>R</v>
      </c>
      <c r="F7" s="348"/>
      <c r="G7" s="349">
        <f t="shared" ref="G7:G62" ca="1" si="1">IF( LEN( $D7 ) = 0, "", MATCH( $D7, INDIRECT( G$3 &amp; G$4 ), 0 ) )</f>
        <v>58</v>
      </c>
      <c r="H7" s="350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217</v>
      </c>
      <c r="AR7" s="207" t="s">
        <v>140</v>
      </c>
      <c r="AS7" s="207">
        <v>19</v>
      </c>
      <c r="AT7" s="207" t="s">
        <v>218</v>
      </c>
      <c r="AV7" s="168">
        <f>IF( LEN( AS7 ) = 0, 99, RANK( AS7, $AS$7:$AS$63 ) )</f>
        <v>17</v>
      </c>
      <c r="AW7" s="168">
        <f>COUNTIF( AV7:AV$7, AV7 )</f>
        <v>1</v>
      </c>
      <c r="AX7" s="208">
        <f>AV7 + AW7 / 10</f>
        <v>17.100000000000001</v>
      </c>
      <c r="AY7" s="168">
        <f>RANK( AX7, $AX$7:$AX$63, 1 )</f>
        <v>17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7</v>
      </c>
      <c r="BF7" s="173" t="str">
        <f t="shared" ref="BF7:BI38" ca="1" si="7">OFFSET( AQ$6, $BD7, 0 )</f>
        <v>Berkshire Energy Holdings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**BRK</v>
      </c>
    </row>
    <row r="8" spans="1:61" ht="13.8" x14ac:dyDescent="0.25">
      <c r="A8" s="223" t="s">
        <v>235</v>
      </c>
      <c r="B8" s="224" t="s">
        <v>166</v>
      </c>
      <c r="C8" s="224">
        <v>21</v>
      </c>
      <c r="D8" s="224" t="s">
        <v>236</v>
      </c>
      <c r="E8" s="225" t="str">
        <f t="shared" ref="E8:E61" ca="1" si="8">IF( LEN( $G8 ) = 0, "", OFFSET( INDIRECT( E$3 &amp; E$4 ), $G8 - 1, 0 ) )</f>
        <v>R</v>
      </c>
      <c r="F8" s="348"/>
      <c r="G8" s="349">
        <f t="shared" ca="1" si="1"/>
        <v>24</v>
      </c>
      <c r="H8" s="350"/>
      <c r="I8" s="233"/>
      <c r="J8" s="213" t="s">
        <v>137</v>
      </c>
      <c r="K8" s="233"/>
      <c r="L8" s="213">
        <f t="shared" ref="L8:L13" si="9">COUNTIF($C$7:$C$67,$X8)</f>
        <v>3</v>
      </c>
      <c r="M8" s="214">
        <f t="shared" ref="M8:M13" si="10">IF( L8 = 0, "", L8/L$14 )</f>
        <v>6.1224489795918366E-2</v>
      </c>
      <c r="N8" s="233"/>
      <c r="O8" s="213">
        <f t="shared" ref="O8:O13" ca="1" si="11">COUNTIFS( $E$7:$E$66, O$3, $C$7:$C$66, $X8 )</f>
        <v>2</v>
      </c>
      <c r="P8" s="214">
        <f t="shared" ref="P8:P13" ca="1" si="12">IF( O8 = 0, "", O8/O$14 )</f>
        <v>5.7142857142857141E-2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7.1428571428571425E-2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7">SUM(O8, R8, U8)</f>
        <v>3</v>
      </c>
      <c r="AC8" s="351"/>
      <c r="AE8" s="184"/>
      <c r="AF8" s="169">
        <f t="shared" si="2"/>
        <v>1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20</v>
      </c>
      <c r="BF8" s="173" t="str">
        <f t="shared" ca="1" si="7"/>
        <v>Eversource Energy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ES</v>
      </c>
    </row>
    <row r="9" spans="1:61" ht="13.8" x14ac:dyDescent="0.25">
      <c r="A9" s="223" t="s">
        <v>219</v>
      </c>
      <c r="B9" s="224" t="s">
        <v>139</v>
      </c>
      <c r="C9" s="224">
        <v>20</v>
      </c>
      <c r="D9" s="224" t="s">
        <v>220</v>
      </c>
      <c r="E9" s="225" t="str">
        <f t="shared" ca="1" si="8"/>
        <v>R</v>
      </c>
      <c r="F9" s="348"/>
      <c r="G9" s="349">
        <f t="shared" ca="1" si="1"/>
        <v>8</v>
      </c>
      <c r="H9" s="350"/>
      <c r="I9" s="234"/>
      <c r="J9" s="215" t="s">
        <v>139</v>
      </c>
      <c r="K9" s="234"/>
      <c r="L9" s="215">
        <f t="shared" si="9"/>
        <v>14</v>
      </c>
      <c r="M9" s="216">
        <f t="shared" si="10"/>
        <v>0.2857142857142857</v>
      </c>
      <c r="N9" s="234"/>
      <c r="O9" s="215">
        <f t="shared" ca="1" si="11"/>
        <v>12</v>
      </c>
      <c r="P9" s="216">
        <f t="shared" ca="1" si="12"/>
        <v>0.34285714285714286</v>
      </c>
      <c r="Q9" s="234"/>
      <c r="R9" s="215">
        <f t="shared" ca="1" si="13"/>
        <v>2</v>
      </c>
      <c r="S9" s="216">
        <f t="shared" ca="1" si="14"/>
        <v>0.14285714285714285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7"/>
        <v>14</v>
      </c>
      <c r="AC9" s="351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si="21"/>
        <v>17</v>
      </c>
      <c r="AW9" s="168">
        <f>COUNTIF( AV$7:AV9, AV9 )</f>
        <v>2</v>
      </c>
      <c r="AX9" s="208">
        <f t="shared" si="22"/>
        <v>17.2</v>
      </c>
      <c r="AY9" s="168">
        <f t="shared" si="23"/>
        <v>18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ht="13.8" x14ac:dyDescent="0.25">
      <c r="A10" s="223" t="s">
        <v>222</v>
      </c>
      <c r="B10" s="224" t="s">
        <v>139</v>
      </c>
      <c r="C10" s="224">
        <v>20</v>
      </c>
      <c r="D10" s="224" t="s">
        <v>223</v>
      </c>
      <c r="E10" s="225" t="str">
        <f t="shared" ca="1" si="8"/>
        <v>R</v>
      </c>
      <c r="F10" s="348"/>
      <c r="G10" s="349">
        <f t="shared" ca="1" si="1"/>
        <v>10</v>
      </c>
      <c r="H10" s="350"/>
      <c r="I10" s="234"/>
      <c r="J10" s="215" t="s">
        <v>140</v>
      </c>
      <c r="K10" s="234"/>
      <c r="L10" s="215">
        <f t="shared" si="9"/>
        <v>18</v>
      </c>
      <c r="M10" s="216">
        <f t="shared" si="10"/>
        <v>0.36734693877551022</v>
      </c>
      <c r="N10" s="234"/>
      <c r="O10" s="215">
        <f t="shared" ca="1" si="11"/>
        <v>10</v>
      </c>
      <c r="P10" s="216">
        <f t="shared" ca="1" si="12"/>
        <v>0.2857142857142857</v>
      </c>
      <c r="Q10" s="234"/>
      <c r="R10" s="215">
        <f t="shared" ca="1" si="13"/>
        <v>8</v>
      </c>
      <c r="S10" s="216">
        <f t="shared" ca="1" si="14"/>
        <v>0.5714285714285714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229</v>
      </c>
      <c r="Y10" s="186">
        <v>19</v>
      </c>
      <c r="Z10" s="186">
        <v>1</v>
      </c>
      <c r="AA10" s="185">
        <f t="shared" ca="1" si="17"/>
        <v>18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222</v>
      </c>
      <c r="AR10" s="207" t="s">
        <v>139</v>
      </c>
      <c r="AS10" s="207">
        <v>20</v>
      </c>
      <c r="AT10" s="207" t="s">
        <v>223</v>
      </c>
      <c r="AV10" s="168">
        <f t="shared" si="21"/>
        <v>3</v>
      </c>
      <c r="AW10" s="168">
        <f>COUNTIF( AV$7:AV10, AV10 )</f>
        <v>2</v>
      </c>
      <c r="AX10" s="208">
        <f t="shared" si="22"/>
        <v>3.2</v>
      </c>
      <c r="AY10" s="168">
        <f t="shared" si="23"/>
        <v>4</v>
      </c>
      <c r="AZ10" s="169"/>
      <c r="BA10" s="169"/>
      <c r="BC10" s="168">
        <f t="shared" ca="1" si="24"/>
        <v>4</v>
      </c>
      <c r="BD10" s="209">
        <f t="shared" ca="1" si="6"/>
        <v>4</v>
      </c>
      <c r="BF10" s="173" t="str">
        <f t="shared" ca="1" si="7"/>
        <v>American Electric Power Company,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AEP</v>
      </c>
    </row>
    <row r="11" spans="1:61" ht="13.8" x14ac:dyDescent="0.25">
      <c r="A11" s="223" t="s">
        <v>249</v>
      </c>
      <c r="B11" s="224" t="s">
        <v>139</v>
      </c>
      <c r="C11" s="224">
        <v>20</v>
      </c>
      <c r="D11" s="224" t="s">
        <v>250</v>
      </c>
      <c r="E11" s="225" t="str">
        <f t="shared" ca="1" si="8"/>
        <v>MR</v>
      </c>
      <c r="F11" s="348"/>
      <c r="G11" s="349">
        <f t="shared" ca="1" si="1"/>
        <v>14</v>
      </c>
      <c r="H11" s="350"/>
      <c r="I11" s="234"/>
      <c r="J11" s="215" t="s">
        <v>141</v>
      </c>
      <c r="K11" s="234"/>
      <c r="L11" s="215">
        <f t="shared" si="9"/>
        <v>8</v>
      </c>
      <c r="M11" s="216">
        <f t="shared" si="10"/>
        <v>0.16326530612244897</v>
      </c>
      <c r="N11" s="234"/>
      <c r="O11" s="215">
        <f t="shared" ca="1" si="11"/>
        <v>7</v>
      </c>
      <c r="P11" s="216">
        <f t="shared" ca="1" si="12"/>
        <v>0.2</v>
      </c>
      <c r="Q11" s="234"/>
      <c r="R11" s="215">
        <f t="shared" ca="1" si="13"/>
        <v>1</v>
      </c>
      <c r="S11" s="216">
        <f t="shared" ca="1" si="14"/>
        <v>7.1428571428571425E-2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7"/>
        <v>8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233</v>
      </c>
      <c r="AR11" s="207" t="s">
        <v>140</v>
      </c>
      <c r="AS11" s="207">
        <v>19</v>
      </c>
      <c r="AT11" s="207" t="s">
        <v>234</v>
      </c>
      <c r="AV11" s="168">
        <f t="shared" si="21"/>
        <v>17</v>
      </c>
      <c r="AW11" s="168">
        <f>COUNTIF( AV$7:AV11, AV11 )</f>
        <v>3</v>
      </c>
      <c r="AX11" s="208">
        <f t="shared" si="22"/>
        <v>17.3</v>
      </c>
      <c r="AY11" s="168">
        <f t="shared" si="23"/>
        <v>19</v>
      </c>
      <c r="AZ11" s="169"/>
      <c r="BA11" s="169"/>
      <c r="BC11" s="168">
        <f t="shared" ca="1" si="24"/>
        <v>5</v>
      </c>
      <c r="BD11" s="209">
        <f t="shared" ca="1" si="6"/>
        <v>9</v>
      </c>
      <c r="BF11" s="173" t="str">
        <f t="shared" ca="1" si="7"/>
        <v>CenterPoint Energy,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CNP</v>
      </c>
    </row>
    <row r="12" spans="1:61" ht="13.8" x14ac:dyDescent="0.25">
      <c r="A12" s="223" t="s">
        <v>227</v>
      </c>
      <c r="B12" s="224" t="s">
        <v>139</v>
      </c>
      <c r="C12" s="224">
        <v>20</v>
      </c>
      <c r="D12" s="224" t="s">
        <v>228</v>
      </c>
      <c r="E12" s="225" t="str">
        <f t="shared" ca="1" si="8"/>
        <v>R</v>
      </c>
      <c r="F12" s="348"/>
      <c r="G12" s="349">
        <f t="shared" ca="1" si="1"/>
        <v>16</v>
      </c>
      <c r="H12" s="350"/>
      <c r="I12" s="234"/>
      <c r="J12" s="215" t="s">
        <v>142</v>
      </c>
      <c r="K12" s="234"/>
      <c r="L12" s="215">
        <f t="shared" si="9"/>
        <v>5</v>
      </c>
      <c r="M12" s="216">
        <f t="shared" si="10"/>
        <v>0.10204081632653061</v>
      </c>
      <c r="N12" s="234"/>
      <c r="O12" s="215">
        <f t="shared" ca="1" si="11"/>
        <v>4</v>
      </c>
      <c r="P12" s="216">
        <f t="shared" ca="1" si="12"/>
        <v>0.11428571428571428</v>
      </c>
      <c r="Q12" s="234"/>
      <c r="R12" s="215">
        <f t="shared" ca="1" si="13"/>
        <v>1</v>
      </c>
      <c r="S12" s="216">
        <f t="shared" ca="1" si="14"/>
        <v>7.1428571428571425E-2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237</v>
      </c>
      <c r="Y12" s="186">
        <v>17</v>
      </c>
      <c r="Z12" s="186">
        <v>1</v>
      </c>
      <c r="AA12" s="185">
        <f t="shared" ca="1" si="17"/>
        <v>5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238</v>
      </c>
      <c r="AR12" s="207" t="s">
        <v>141</v>
      </c>
      <c r="AS12" s="207">
        <v>18</v>
      </c>
      <c r="AT12" s="207" t="s">
        <v>239</v>
      </c>
      <c r="AV12" s="168">
        <f t="shared" si="21"/>
        <v>35</v>
      </c>
      <c r="AW12" s="168">
        <f>COUNTIF( AV$7:AV12, AV12 )</f>
        <v>1</v>
      </c>
      <c r="AX12" s="208">
        <f t="shared" si="22"/>
        <v>35.1</v>
      </c>
      <c r="AY12" s="168">
        <f t="shared" si="23"/>
        <v>35</v>
      </c>
      <c r="AZ12" s="169"/>
      <c r="BA12" s="169"/>
      <c r="BC12" s="168">
        <f t="shared" ca="1" si="24"/>
        <v>6</v>
      </c>
      <c r="BD12" s="209">
        <f t="shared" ca="1" si="6"/>
        <v>12</v>
      </c>
      <c r="BF12" s="173" t="str">
        <f t="shared" ca="1" si="7"/>
        <v>Consolidated Edison,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ED</v>
      </c>
    </row>
    <row r="13" spans="1:61" ht="13.8" x14ac:dyDescent="0.25">
      <c r="A13" s="223" t="s">
        <v>263</v>
      </c>
      <c r="B13" s="224" t="s">
        <v>139</v>
      </c>
      <c r="C13" s="224">
        <v>20</v>
      </c>
      <c r="D13" s="224" t="s">
        <v>264</v>
      </c>
      <c r="E13" s="225" t="str">
        <f t="shared" ca="1" si="8"/>
        <v>R</v>
      </c>
      <c r="F13" s="348"/>
      <c r="G13" s="349">
        <f t="shared" ca="1" si="1"/>
        <v>19</v>
      </c>
      <c r="H13" s="350"/>
      <c r="I13" s="235"/>
      <c r="J13" s="217" t="s">
        <v>143</v>
      </c>
      <c r="K13" s="235"/>
      <c r="L13" s="217">
        <f t="shared" si="9"/>
        <v>1</v>
      </c>
      <c r="M13" s="218">
        <f t="shared" si="10"/>
        <v>2.0408163265306121E-2</v>
      </c>
      <c r="N13" s="235"/>
      <c r="O13" s="217">
        <f t="shared" ca="1" si="11"/>
        <v>0</v>
      </c>
      <c r="P13" s="218" t="str">
        <f t="shared" ca="1" si="12"/>
        <v/>
      </c>
      <c r="Q13" s="235"/>
      <c r="R13" s="217">
        <f t="shared" ca="1" si="13"/>
        <v>1</v>
      </c>
      <c r="S13" s="218">
        <f t="shared" ca="1" si="14"/>
        <v>7.1428571428571425E-2</v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242</v>
      </c>
      <c r="Y13" s="186">
        <v>16</v>
      </c>
      <c r="Z13" s="186">
        <v>1</v>
      </c>
      <c r="AA13" s="188">
        <f t="shared" ca="1" si="17"/>
        <v>1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215</v>
      </c>
      <c r="AR13" s="207" t="s">
        <v>166</v>
      </c>
      <c r="AS13" s="207">
        <v>21</v>
      </c>
      <c r="AT13" s="207" t="s">
        <v>216</v>
      </c>
      <c r="AV13" s="168">
        <f t="shared" si="21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23"/>
        <v>1</v>
      </c>
      <c r="AZ13" s="169"/>
      <c r="BA13" s="169"/>
      <c r="BC13" s="168">
        <f t="shared" ca="1" si="24"/>
        <v>7</v>
      </c>
      <c r="BD13" s="209">
        <f t="shared" ca="1" si="6"/>
        <v>16</v>
      </c>
      <c r="BF13" s="173" t="str">
        <f t="shared" ca="1" si="7"/>
        <v>Duke Energy Corporation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DUK</v>
      </c>
    </row>
    <row r="14" spans="1:61" ht="13.8" x14ac:dyDescent="0.25">
      <c r="A14" s="223" t="s">
        <v>240</v>
      </c>
      <c r="B14" s="224" t="s">
        <v>139</v>
      </c>
      <c r="C14" s="224">
        <v>20</v>
      </c>
      <c r="D14" s="224" t="s">
        <v>241</v>
      </c>
      <c r="E14" s="225" t="str">
        <f t="shared" ca="1" si="8"/>
        <v>MR</v>
      </c>
      <c r="F14" s="348"/>
      <c r="G14" s="349">
        <f t="shared" ca="1" si="1"/>
        <v>32</v>
      </c>
      <c r="H14" s="350"/>
      <c r="I14" s="236"/>
      <c r="J14" s="211" t="s">
        <v>144</v>
      </c>
      <c r="K14" s="236"/>
      <c r="L14" s="211">
        <f>SUM(L8:L13)</f>
        <v>49</v>
      </c>
      <c r="M14" s="212">
        <f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14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18.979591836734695</v>
      </c>
      <c r="Z14" s="190"/>
      <c r="AA14" s="189">
        <f ca="1">SUM(AA8:AA13)</f>
        <v>49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245</v>
      </c>
      <c r="AR14" s="207" t="s">
        <v>141</v>
      </c>
      <c r="AS14" s="207">
        <v>18</v>
      </c>
      <c r="AT14" s="207" t="s">
        <v>246</v>
      </c>
      <c r="AV14" s="168">
        <f>IF( LEN( AS14 ) = 0, 99, RANK( AS14, $AS$7:$AS$63 ) )</f>
        <v>35</v>
      </c>
      <c r="AW14" s="168">
        <f>COUNTIF( AV$7:AV14, AV14 )</f>
        <v>2</v>
      </c>
      <c r="AX14" s="208">
        <f t="shared" si="22"/>
        <v>35.200000000000003</v>
      </c>
      <c r="AY14" s="168">
        <f t="shared" si="23"/>
        <v>36</v>
      </c>
      <c r="AZ14" s="169"/>
      <c r="BA14" s="169"/>
      <c r="BC14" s="168">
        <f t="shared" ca="1" si="24"/>
        <v>8</v>
      </c>
      <c r="BD14" s="209">
        <f t="shared" ca="1" si="6"/>
        <v>28</v>
      </c>
      <c r="BF14" s="173" t="str">
        <f t="shared" ca="1" si="7"/>
        <v>NextEra Energy,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NEE</v>
      </c>
    </row>
    <row r="15" spans="1:61" ht="13.8" x14ac:dyDescent="0.25">
      <c r="A15" s="223" t="s">
        <v>277</v>
      </c>
      <c r="B15" s="224" t="s">
        <v>139</v>
      </c>
      <c r="C15" s="224">
        <v>20</v>
      </c>
      <c r="D15" s="224" t="s">
        <v>278</v>
      </c>
      <c r="E15" s="225" t="str">
        <f t="shared" ca="1" si="8"/>
        <v>R</v>
      </c>
      <c r="F15" s="348"/>
      <c r="G15" s="349">
        <f t="shared" ca="1" si="1"/>
        <v>35</v>
      </c>
      <c r="H15" s="350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249</v>
      </c>
      <c r="AR15" s="207" t="s">
        <v>139</v>
      </c>
      <c r="AS15" s="207">
        <v>20</v>
      </c>
      <c r="AT15" s="207" t="s">
        <v>250</v>
      </c>
      <c r="AV15" s="168">
        <f t="shared" si="21"/>
        <v>3</v>
      </c>
      <c r="AW15" s="168">
        <f>COUNTIF( AV$7:AV15, AV15 )</f>
        <v>3</v>
      </c>
      <c r="AX15" s="208">
        <f t="shared" si="22"/>
        <v>3.3</v>
      </c>
      <c r="AY15" s="168">
        <f t="shared" si="23"/>
        <v>5</v>
      </c>
      <c r="AZ15" s="169"/>
      <c r="BA15" s="169"/>
      <c r="BC15" s="168">
        <f t="shared" ca="1" si="24"/>
        <v>9</v>
      </c>
      <c r="BD15" s="209">
        <f t="shared" ca="1" si="6"/>
        <v>31</v>
      </c>
      <c r="BF15" s="173" t="str">
        <f t="shared" ca="1" si="7"/>
        <v>OGE Energy Corp.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OGE</v>
      </c>
    </row>
    <row r="16" spans="1:61" ht="13.8" x14ac:dyDescent="0.25">
      <c r="A16" s="223" t="s">
        <v>301</v>
      </c>
      <c r="B16" s="224" t="s">
        <v>139</v>
      </c>
      <c r="C16" s="224">
        <v>20</v>
      </c>
      <c r="D16" s="224" t="s">
        <v>302</v>
      </c>
      <c r="E16" s="225" t="str">
        <f t="shared" ca="1" si="8"/>
        <v>R</v>
      </c>
      <c r="F16" s="348"/>
      <c r="G16" s="349">
        <f t="shared" ca="1" si="1"/>
        <v>37</v>
      </c>
      <c r="H16" s="350"/>
      <c r="I16" s="232"/>
      <c r="J16" s="210" t="s">
        <v>253</v>
      </c>
      <c r="K16" s="232"/>
      <c r="L16" s="386">
        <f t="array" ref="L16">SUM( IF( LEN( $C$7:$C$65 ) = 0, 0, $C$7:$C$65 ) ) / SUM( IF( LEN( $C$7:$C$65 ) = 0, 0, 1  ) )</f>
        <v>18.979591836734695</v>
      </c>
      <c r="M16" s="387"/>
      <c r="N16" s="232"/>
      <c r="O16" s="386">
        <f t="array" aca="1" ref="O16" ca="1">SUM( IF( LEN( $C$7:$C$65 ) = 0, 0, IF( $E$7:$E$65 = O3, $C$7:$C$65, 0 ) ) ) / SUM( IF( LEN( $C$7:$C$65 ) = 0, 0, IF( $E$7:$E$65 = O3, 1, 0 ) ) )</f>
        <v>19.028571428571428</v>
      </c>
      <c r="P16" s="387"/>
      <c r="Q16" s="232"/>
      <c r="R16" s="386">
        <f t="array" aca="1" ref="R16" ca="1">SUM( IF( LEN( $C$7:$C$65 ) = 0, 0, IF( $E$7:$E$65 = R3, $C$7:$C$65, 0 ) ) ) / SUM( IF( LEN( $C$7:$C$65 ) = 0, 0, IF( $E$7:$E$65 = R3, 1, 0 ) ) )</f>
        <v>18.857142857142858</v>
      </c>
      <c r="S16" s="387"/>
      <c r="T16" s="232"/>
      <c r="U16" s="386" t="e">
        <f t="array" aca="1" ref="U16" ca="1">SUM( IF( LEN( $C$7:$C$65 ) = 0, 0, IF( $E$7:$E$65 = U3, $C$7:$C$65, 0 ) ) ) / SUM( IF( LEN( $C$7:$C$65 ) = 0, 0, IF( $E$7:$E$65 = U3, 1, 0 ) ) )</f>
        <v>#DIV/0!</v>
      </c>
      <c r="V16" s="388"/>
      <c r="W16" s="232"/>
      <c r="AE16" s="184"/>
      <c r="AF16" s="169">
        <f t="shared" si="2"/>
        <v>0</v>
      </c>
      <c r="AG16" s="169">
        <f t="shared" ca="1" si="3"/>
        <v>1</v>
      </c>
      <c r="AH16" s="169" t="str">
        <f t="shared" ca="1" si="18"/>
        <v/>
      </c>
      <c r="AJ16" s="169">
        <f t="shared" ca="1" si="19"/>
        <v>34</v>
      </c>
      <c r="AK16" s="169" t="str">
        <f t="shared" ca="1" si="20"/>
        <v>BBB+</v>
      </c>
      <c r="AL16" s="169">
        <f t="shared" ca="1" si="20"/>
        <v>19</v>
      </c>
      <c r="AM16" s="169" t="str">
        <f t="shared" ca="1" si="4"/>
        <v>Change</v>
      </c>
      <c r="AQ16" s="207" t="s">
        <v>254</v>
      </c>
      <c r="AR16" s="207" t="s">
        <v>142</v>
      </c>
      <c r="AS16" s="207">
        <v>17</v>
      </c>
      <c r="AT16" s="207" t="s">
        <v>255</v>
      </c>
      <c r="AV16" s="168">
        <f t="shared" si="21"/>
        <v>43</v>
      </c>
      <c r="AW16" s="168">
        <f>COUNTIF( AV$7:AV16, AV16 )</f>
        <v>1</v>
      </c>
      <c r="AX16" s="208">
        <f t="shared" si="22"/>
        <v>43.1</v>
      </c>
      <c r="AY16" s="168">
        <f t="shared" si="23"/>
        <v>43</v>
      </c>
      <c r="AZ16" s="169"/>
      <c r="BA16" s="169"/>
      <c r="BC16" s="168">
        <f t="shared" ca="1" si="24"/>
        <v>10</v>
      </c>
      <c r="BD16" s="209">
        <f t="shared" ca="1" si="6"/>
        <v>34</v>
      </c>
      <c r="BF16" s="173" t="str">
        <f t="shared" ca="1" si="7"/>
        <v>PG&amp;E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PCG</v>
      </c>
    </row>
    <row r="17" spans="1:61" ht="13.8" x14ac:dyDescent="0.25">
      <c r="A17" s="223" t="s">
        <v>281</v>
      </c>
      <c r="B17" s="224" t="s">
        <v>139</v>
      </c>
      <c r="C17" s="224">
        <v>20</v>
      </c>
      <c r="D17" s="224" t="s">
        <v>282</v>
      </c>
      <c r="E17" s="225" t="str">
        <f t="shared" ca="1" si="8"/>
        <v>R</v>
      </c>
      <c r="F17" s="348"/>
      <c r="G17" s="349">
        <f t="shared" ca="1" si="1"/>
        <v>38</v>
      </c>
      <c r="H17" s="350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16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256</v>
      </c>
      <c r="AR17" s="207" t="s">
        <v>140</v>
      </c>
      <c r="AS17" s="207">
        <v>19</v>
      </c>
      <c r="AT17" s="207" t="s">
        <v>257</v>
      </c>
      <c r="AV17" s="168">
        <f t="shared" si="21"/>
        <v>17</v>
      </c>
      <c r="AW17" s="168">
        <f>COUNTIF( AV$7:AV17, AV17 )</f>
        <v>4</v>
      </c>
      <c r="AX17" s="208">
        <f t="shared" si="22"/>
        <v>17.399999999999999</v>
      </c>
      <c r="AY17" s="168">
        <f t="shared" si="23"/>
        <v>20</v>
      </c>
      <c r="AZ17" s="169"/>
      <c r="BA17" s="169"/>
      <c r="BC17" s="168">
        <f t="shared" ca="1" si="24"/>
        <v>11</v>
      </c>
      <c r="BD17" s="209">
        <f t="shared" ca="1" si="6"/>
        <v>35</v>
      </c>
      <c r="BF17" s="173" t="str">
        <f t="shared" ca="1" si="7"/>
        <v>Pinnacle West Capital Corporation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PNW</v>
      </c>
    </row>
    <row r="18" spans="1:61" ht="13.8" x14ac:dyDescent="0.25">
      <c r="A18" s="223" t="s">
        <v>243</v>
      </c>
      <c r="B18" s="224" t="s">
        <v>139</v>
      </c>
      <c r="C18" s="224">
        <v>20</v>
      </c>
      <c r="D18" s="224" t="s">
        <v>244</v>
      </c>
      <c r="E18" s="225" t="str">
        <f t="shared" ca="1" si="8"/>
        <v>R</v>
      </c>
      <c r="F18" s="348"/>
      <c r="G18" s="349">
        <f t="shared" ca="1" si="1"/>
        <v>41</v>
      </c>
      <c r="H18" s="350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17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227</v>
      </c>
      <c r="AR18" s="207" t="s">
        <v>139</v>
      </c>
      <c r="AS18" s="207">
        <v>20</v>
      </c>
      <c r="AT18" s="207" t="s">
        <v>228</v>
      </c>
      <c r="AV18" s="168">
        <f t="shared" si="21"/>
        <v>3</v>
      </c>
      <c r="AW18" s="168">
        <f>COUNTIF( AV$7:AV18, AV18 )</f>
        <v>4</v>
      </c>
      <c r="AX18" s="208">
        <f t="shared" si="22"/>
        <v>3.4</v>
      </c>
      <c r="AY18" s="168">
        <f t="shared" si="23"/>
        <v>6</v>
      </c>
      <c r="AZ18" s="169"/>
      <c r="BA18" s="169"/>
      <c r="BC18" s="168">
        <f t="shared" ca="1" si="24"/>
        <v>12</v>
      </c>
      <c r="BD18" s="209">
        <f t="shared" ca="1" si="6"/>
        <v>38</v>
      </c>
      <c r="BF18" s="173" t="str">
        <f t="shared" ca="1" si="7"/>
        <v>PPL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PPL</v>
      </c>
    </row>
    <row r="19" spans="1:61" ht="13.8" x14ac:dyDescent="0.25">
      <c r="A19" s="223" t="s">
        <v>293</v>
      </c>
      <c r="B19" s="224" t="s">
        <v>139</v>
      </c>
      <c r="C19" s="224">
        <v>20</v>
      </c>
      <c r="D19" s="224" t="s">
        <v>294</v>
      </c>
      <c r="E19" s="225" t="str">
        <f t="shared" ca="1" si="8"/>
        <v>R</v>
      </c>
      <c r="F19" s="348"/>
      <c r="G19" s="349">
        <f t="shared" ca="1" si="1"/>
        <v>45</v>
      </c>
      <c r="H19" s="350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18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361</v>
      </c>
      <c r="AR19" s="207" t="s">
        <v>140</v>
      </c>
      <c r="AS19" s="207">
        <v>19</v>
      </c>
      <c r="AT19" s="207" t="s">
        <v>194</v>
      </c>
      <c r="AV19" s="168">
        <f t="shared" si="21"/>
        <v>17</v>
      </c>
      <c r="AW19" s="168">
        <f>COUNTIF( AV$7:AV19, AV19 )</f>
        <v>5</v>
      </c>
      <c r="AX19" s="208">
        <f t="shared" si="22"/>
        <v>17.5</v>
      </c>
      <c r="AY19" s="168">
        <f t="shared" si="23"/>
        <v>21</v>
      </c>
      <c r="AZ19" s="169"/>
      <c r="BA19" s="169"/>
      <c r="BC19" s="168">
        <f t="shared" ca="1" si="24"/>
        <v>13</v>
      </c>
      <c r="BD19" s="209">
        <f t="shared" ca="1" si="6"/>
        <v>43</v>
      </c>
      <c r="BF19" s="173" t="str">
        <f t="shared" ca="1" si="7"/>
        <v>Southern Company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SO</v>
      </c>
    </row>
    <row r="20" spans="1:61" ht="13.8" x14ac:dyDescent="0.25">
      <c r="A20" s="223" t="s">
        <v>345</v>
      </c>
      <c r="B20" s="224" t="s">
        <v>139</v>
      </c>
      <c r="C20" s="224">
        <v>20</v>
      </c>
      <c r="D20" s="224" t="s">
        <v>346</v>
      </c>
      <c r="E20" s="225" t="str">
        <f t="shared" ca="1" si="8"/>
        <v>R</v>
      </c>
      <c r="F20" s="348"/>
      <c r="G20" s="349">
        <f t="shared" ca="1" si="1"/>
        <v>47</v>
      </c>
      <c r="H20" s="350"/>
      <c r="I20" s="352"/>
      <c r="K20" s="352"/>
      <c r="N20" s="352"/>
      <c r="O20" s="173"/>
      <c r="Q20" s="352"/>
      <c r="T20" s="352"/>
      <c r="W20" s="352"/>
      <c r="AE20" s="184"/>
      <c r="AF20" s="169">
        <f t="shared" si="2"/>
        <v>0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19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259</v>
      </c>
      <c r="AR20" s="207" t="s">
        <v>177</v>
      </c>
      <c r="AS20" s="207">
        <v>14</v>
      </c>
      <c r="AT20" s="207" t="s">
        <v>260</v>
      </c>
      <c r="AV20" s="168">
        <f t="shared" si="21"/>
        <v>48</v>
      </c>
      <c r="AW20" s="168">
        <f>COUNTIF( AV$7:AV20, AV20 )</f>
        <v>1</v>
      </c>
      <c r="AX20" s="208">
        <f t="shared" si="22"/>
        <v>48.1</v>
      </c>
      <c r="AY20" s="168">
        <f t="shared" si="23"/>
        <v>48</v>
      </c>
      <c r="AZ20" s="169"/>
      <c r="BA20" s="169"/>
      <c r="BC20" s="168">
        <f t="shared" ca="1" si="24"/>
        <v>14</v>
      </c>
      <c r="BD20" s="209">
        <f t="shared" ca="1" si="6"/>
        <v>45</v>
      </c>
      <c r="BF20" s="173" t="str">
        <f t="shared" ca="1" si="7"/>
        <v>Vectren Corporation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VVC</v>
      </c>
    </row>
    <row r="21" spans="1:61" ht="13.8" x14ac:dyDescent="0.25">
      <c r="A21" s="223" t="s">
        <v>247</v>
      </c>
      <c r="B21" s="224" t="s">
        <v>139</v>
      </c>
      <c r="C21" s="224">
        <v>20</v>
      </c>
      <c r="D21" s="224" t="s">
        <v>248</v>
      </c>
      <c r="E21" s="225" t="str">
        <f t="shared" ca="1" si="8"/>
        <v>R</v>
      </c>
      <c r="F21" s="348"/>
      <c r="G21" s="349">
        <f t="shared" ca="1" si="1"/>
        <v>48</v>
      </c>
      <c r="H21" s="350"/>
      <c r="I21" s="237"/>
      <c r="K21" s="237"/>
      <c r="N21" s="237"/>
      <c r="Q21" s="237"/>
      <c r="T21" s="237"/>
      <c r="W21" s="237"/>
      <c r="AE21" s="184"/>
      <c r="AF21" s="169">
        <f t="shared" si="2"/>
        <v>0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20</v>
      </c>
      <c r="AK21" s="169" t="str">
        <f t="shared" ca="1" si="20"/>
        <v>A-</v>
      </c>
      <c r="AL21" s="169">
        <f t="shared" ca="1" si="20"/>
        <v>20</v>
      </c>
      <c r="AM21" s="169" t="str">
        <f t="shared" ca="1" si="4"/>
        <v/>
      </c>
      <c r="AQ21" s="207" t="s">
        <v>261</v>
      </c>
      <c r="AR21" s="207" t="s">
        <v>140</v>
      </c>
      <c r="AS21" s="207">
        <v>19</v>
      </c>
      <c r="AT21" s="207" t="s">
        <v>262</v>
      </c>
      <c r="AV21" s="168">
        <f t="shared" si="21"/>
        <v>17</v>
      </c>
      <c r="AW21" s="168">
        <f>COUNTIF( AV$7:AV21, AV21 )</f>
        <v>6</v>
      </c>
      <c r="AX21" s="208">
        <f t="shared" si="22"/>
        <v>17.600000000000001</v>
      </c>
      <c r="AY21" s="168">
        <f t="shared" si="23"/>
        <v>22</v>
      </c>
      <c r="AZ21" s="169"/>
      <c r="BA21" s="169"/>
      <c r="BC21" s="168">
        <f t="shared" ca="1" si="24"/>
        <v>15</v>
      </c>
      <c r="BD21" s="209">
        <f t="shared" ca="1" si="6"/>
        <v>47</v>
      </c>
      <c r="BF21" s="173" t="str">
        <f t="shared" ca="1" si="7"/>
        <v>Wisconsin Energy Corporation</v>
      </c>
      <c r="BG21" s="173" t="str">
        <f t="shared" ca="1" si="7"/>
        <v>A-</v>
      </c>
      <c r="BH21" s="173">
        <f t="shared" ca="1" si="7"/>
        <v>20</v>
      </c>
      <c r="BI21" s="173" t="str">
        <f t="shared" ca="1" si="7"/>
        <v>WEC</v>
      </c>
    </row>
    <row r="22" spans="1:61" ht="13.8" x14ac:dyDescent="0.25">
      <c r="A22" s="223" t="s">
        <v>251</v>
      </c>
      <c r="B22" s="224" t="s">
        <v>139</v>
      </c>
      <c r="C22" s="224">
        <v>20</v>
      </c>
      <c r="D22" s="224" t="s">
        <v>252</v>
      </c>
      <c r="E22" s="225" t="str">
        <f t="shared" ca="1" si="8"/>
        <v>R</v>
      </c>
      <c r="F22" s="348"/>
      <c r="G22" s="349">
        <f t="shared" ca="1" si="1"/>
        <v>50</v>
      </c>
      <c r="H22" s="350"/>
      <c r="I22" s="237"/>
      <c r="K22" s="237"/>
      <c r="N22" s="237"/>
      <c r="Q22" s="237"/>
      <c r="T22" s="237"/>
      <c r="W22" s="237"/>
      <c r="AE22" s="184"/>
      <c r="AF22" s="169">
        <f t="shared" si="2"/>
        <v>0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21</v>
      </c>
      <c r="AK22" s="169" t="str">
        <f t="shared" ca="1" si="20"/>
        <v>A-</v>
      </c>
      <c r="AL22" s="169">
        <f t="shared" ca="1" si="20"/>
        <v>20</v>
      </c>
      <c r="AM22" s="169" t="str">
        <f t="shared" ca="1" si="4"/>
        <v/>
      </c>
      <c r="AQ22" s="207" t="s">
        <v>263</v>
      </c>
      <c r="AR22" s="207" t="s">
        <v>139</v>
      </c>
      <c r="AS22" s="207">
        <v>20</v>
      </c>
      <c r="AT22" s="207" t="s">
        <v>264</v>
      </c>
      <c r="AV22" s="168">
        <f t="shared" si="21"/>
        <v>3</v>
      </c>
      <c r="AW22" s="168">
        <f>COUNTIF( AV$7:AV22, AV22 )</f>
        <v>5</v>
      </c>
      <c r="AX22" s="208">
        <f t="shared" si="22"/>
        <v>3.5</v>
      </c>
      <c r="AY22" s="168">
        <f t="shared" si="23"/>
        <v>7</v>
      </c>
      <c r="AZ22" s="169"/>
      <c r="BA22" s="169"/>
      <c r="BC22" s="168">
        <f t="shared" ca="1" si="24"/>
        <v>16</v>
      </c>
      <c r="BD22" s="209">
        <f t="shared" ca="1" si="6"/>
        <v>48</v>
      </c>
      <c r="BF22" s="173" t="str">
        <f t="shared" ca="1" si="7"/>
        <v>Xcel Energy Inc.</v>
      </c>
      <c r="BG22" s="173" t="str">
        <f t="shared" ca="1" si="7"/>
        <v>A-</v>
      </c>
      <c r="BH22" s="173">
        <f t="shared" ca="1" si="7"/>
        <v>20</v>
      </c>
      <c r="BI22" s="173" t="str">
        <f t="shared" ca="1" si="7"/>
        <v>XEL</v>
      </c>
    </row>
    <row r="23" spans="1:61" ht="13.8" x14ac:dyDescent="0.25">
      <c r="A23" s="223" t="s">
        <v>217</v>
      </c>
      <c r="B23" s="224" t="s">
        <v>140</v>
      </c>
      <c r="C23" s="224">
        <v>19</v>
      </c>
      <c r="D23" s="224" t="s">
        <v>218</v>
      </c>
      <c r="E23" s="225" t="str">
        <f t="shared" ca="1" si="8"/>
        <v>MR</v>
      </c>
      <c r="F23" s="348"/>
      <c r="G23" s="349">
        <f t="shared" ca="1" si="1"/>
        <v>7</v>
      </c>
      <c r="H23" s="350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22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265</v>
      </c>
      <c r="AR23" s="207" t="s">
        <v>140</v>
      </c>
      <c r="AS23" s="207">
        <v>19</v>
      </c>
      <c r="AT23" s="207" t="s">
        <v>266</v>
      </c>
      <c r="AV23" s="168">
        <f t="shared" si="21"/>
        <v>17</v>
      </c>
      <c r="AW23" s="168">
        <f>COUNTIF( AV$7:AV23, AV23 )</f>
        <v>7</v>
      </c>
      <c r="AX23" s="208">
        <f t="shared" si="22"/>
        <v>17.7</v>
      </c>
      <c r="AY23" s="168">
        <f t="shared" si="23"/>
        <v>23</v>
      </c>
      <c r="AZ23" s="169"/>
      <c r="BA23" s="169"/>
      <c r="BC23" s="168">
        <f t="shared" ca="1" si="24"/>
        <v>17</v>
      </c>
      <c r="BD23" s="209">
        <f t="shared" ca="1" si="6"/>
        <v>1</v>
      </c>
      <c r="BF23" s="173" t="str">
        <f t="shared" ca="1" si="7"/>
        <v>ALLETE, Inc.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ALE</v>
      </c>
    </row>
    <row r="24" spans="1:61" ht="13.8" x14ac:dyDescent="0.25">
      <c r="A24" s="223" t="s">
        <v>225</v>
      </c>
      <c r="B24" s="224" t="s">
        <v>140</v>
      </c>
      <c r="C24" s="224">
        <v>19</v>
      </c>
      <c r="D24" s="224" t="s">
        <v>226</v>
      </c>
      <c r="E24" s="225" t="str">
        <f t="shared" ca="1" si="8"/>
        <v>R</v>
      </c>
      <c r="F24" s="348"/>
      <c r="G24" s="349">
        <f t="shared" ca="1" si="1"/>
        <v>9</v>
      </c>
      <c r="H24" s="350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23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328</v>
      </c>
      <c r="AR24" s="207" t="s">
        <v>141</v>
      </c>
      <c r="AS24" s="207">
        <v>18</v>
      </c>
      <c r="AT24" s="207" t="s">
        <v>331</v>
      </c>
      <c r="AV24" s="168">
        <f t="shared" si="21"/>
        <v>35</v>
      </c>
      <c r="AW24" s="168">
        <f>COUNTIF( AV$7:AV24, AV24 )</f>
        <v>3</v>
      </c>
      <c r="AX24" s="208">
        <f t="shared" si="22"/>
        <v>35.299999999999997</v>
      </c>
      <c r="AY24" s="168">
        <f t="shared" si="23"/>
        <v>37</v>
      </c>
      <c r="AZ24" s="169"/>
      <c r="BA24" s="169"/>
      <c r="BC24" s="168">
        <f t="shared" ca="1" si="24"/>
        <v>18</v>
      </c>
      <c r="BD24" s="209">
        <f t="shared" ca="1" si="6"/>
        <v>3</v>
      </c>
      <c r="BF24" s="173" t="str">
        <f t="shared" ca="1" si="7"/>
        <v>Ameren Corporation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AEE</v>
      </c>
    </row>
    <row r="25" spans="1:61" ht="13.8" x14ac:dyDescent="0.25">
      <c r="A25" s="223" t="s">
        <v>233</v>
      </c>
      <c r="B25" s="224" t="s">
        <v>140</v>
      </c>
      <c r="C25" s="224">
        <v>19</v>
      </c>
      <c r="D25" s="224" t="s">
        <v>234</v>
      </c>
      <c r="E25" s="225" t="str">
        <f t="shared" ca="1" si="8"/>
        <v>MR</v>
      </c>
      <c r="F25" s="348"/>
      <c r="G25" s="349">
        <f t="shared" ca="1" si="1"/>
        <v>11</v>
      </c>
      <c r="H25" s="350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24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267</v>
      </c>
      <c r="AR25" s="207" t="s">
        <v>140</v>
      </c>
      <c r="AS25" s="207">
        <v>19</v>
      </c>
      <c r="AT25" s="207" t="s">
        <v>268</v>
      </c>
      <c r="AV25" s="168">
        <f t="shared" si="21"/>
        <v>17</v>
      </c>
      <c r="AW25" s="168">
        <f>COUNTIF( AV$7:AV25, AV25 )</f>
        <v>8</v>
      </c>
      <c r="AX25" s="208">
        <f t="shared" si="22"/>
        <v>17.8</v>
      </c>
      <c r="AY25" s="168">
        <f t="shared" si="23"/>
        <v>24</v>
      </c>
      <c r="AZ25" s="169"/>
      <c r="BA25" s="169"/>
      <c r="BC25" s="168">
        <f t="shared" ca="1" si="24"/>
        <v>19</v>
      </c>
      <c r="BD25" s="209">
        <f t="shared" ca="1" si="6"/>
        <v>5</v>
      </c>
      <c r="BF25" s="173" t="str">
        <f t="shared" ca="1" si="7"/>
        <v>AVANGRID, Inc.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AGR</v>
      </c>
    </row>
    <row r="26" spans="1:61" ht="13.8" x14ac:dyDescent="0.25">
      <c r="A26" s="223" t="s">
        <v>256</v>
      </c>
      <c r="B26" s="224" t="s">
        <v>140</v>
      </c>
      <c r="C26" s="224">
        <v>19</v>
      </c>
      <c r="D26" s="224" t="s">
        <v>257</v>
      </c>
      <c r="E26" s="225" t="str">
        <f t="shared" ca="1" si="8"/>
        <v>R</v>
      </c>
      <c r="F26" s="348"/>
      <c r="G26" s="349">
        <f t="shared" ca="1" si="1"/>
        <v>15</v>
      </c>
      <c r="H26" s="350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25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235</v>
      </c>
      <c r="AR26" s="207" t="s">
        <v>166</v>
      </c>
      <c r="AS26" s="207">
        <v>21</v>
      </c>
      <c r="AT26" s="207" t="s">
        <v>236</v>
      </c>
      <c r="AV26" s="168">
        <f t="shared" si="21"/>
        <v>1</v>
      </c>
      <c r="AW26" s="168">
        <f>COUNTIF( AV$7:AV26, AV26 )</f>
        <v>2</v>
      </c>
      <c r="AX26" s="208">
        <f t="shared" si="22"/>
        <v>1.2</v>
      </c>
      <c r="AY26" s="168">
        <f t="shared" si="23"/>
        <v>2</v>
      </c>
      <c r="AZ26" s="169"/>
      <c r="BA26" s="169"/>
      <c r="BC26" s="168">
        <f t="shared" ca="1" si="24"/>
        <v>20</v>
      </c>
      <c r="BD26" s="209">
        <f t="shared" ca="1" si="6"/>
        <v>11</v>
      </c>
      <c r="BF26" s="173" t="str">
        <f t="shared" ca="1" si="7"/>
        <v>CMS Energy Corporation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CMS</v>
      </c>
    </row>
    <row r="27" spans="1:61" ht="13.8" x14ac:dyDescent="0.25">
      <c r="A27" s="223" t="s">
        <v>361</v>
      </c>
      <c r="B27" s="224" t="s">
        <v>140</v>
      </c>
      <c r="C27" s="224">
        <v>19</v>
      </c>
      <c r="D27" s="224" t="s">
        <v>194</v>
      </c>
      <c r="E27" s="225" t="str">
        <f t="shared" ca="1" si="8"/>
        <v>MR</v>
      </c>
      <c r="F27" s="348"/>
      <c r="G27" s="349">
        <f t="shared" ca="1" si="1"/>
        <v>17</v>
      </c>
      <c r="H27" s="350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26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269</v>
      </c>
      <c r="AR27" s="207" t="s">
        <v>141</v>
      </c>
      <c r="AS27" s="207">
        <v>18</v>
      </c>
      <c r="AT27" s="207" t="s">
        <v>270</v>
      </c>
      <c r="AV27" s="168">
        <f t="shared" si="21"/>
        <v>35</v>
      </c>
      <c r="AW27" s="168">
        <f>COUNTIF( AV$7:AV27, AV27 )</f>
        <v>4</v>
      </c>
      <c r="AX27" s="208">
        <f t="shared" si="22"/>
        <v>35.4</v>
      </c>
      <c r="AY27" s="168">
        <f t="shared" si="23"/>
        <v>38</v>
      </c>
      <c r="AZ27" s="169"/>
      <c r="BA27" s="169"/>
      <c r="BC27" s="168">
        <f t="shared" ca="1" si="24"/>
        <v>21</v>
      </c>
      <c r="BD27" s="209">
        <f t="shared" ca="1" si="6"/>
        <v>13</v>
      </c>
      <c r="BF27" s="173" t="str">
        <f t="shared" ca="1" si="7"/>
        <v>Dominion Resources, Inc.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</v>
      </c>
    </row>
    <row r="28" spans="1:61" ht="13.8" x14ac:dyDescent="0.25">
      <c r="A28" s="223" t="s">
        <v>261</v>
      </c>
      <c r="B28" s="224" t="s">
        <v>140</v>
      </c>
      <c r="C28" s="224">
        <v>19</v>
      </c>
      <c r="D28" s="224" t="s">
        <v>262</v>
      </c>
      <c r="E28" s="225" t="str">
        <f t="shared" ca="1" si="8"/>
        <v>MR</v>
      </c>
      <c r="F28" s="348"/>
      <c r="G28" s="349">
        <f t="shared" ca="1" si="1"/>
        <v>18</v>
      </c>
      <c r="H28" s="350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27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275</v>
      </c>
      <c r="AR28" s="207" t="s">
        <v>142</v>
      </c>
      <c r="AS28" s="207">
        <v>17</v>
      </c>
      <c r="AT28" s="207" t="s">
        <v>276</v>
      </c>
      <c r="AV28" s="168">
        <f t="shared" si="21"/>
        <v>43</v>
      </c>
      <c r="AW28" s="168">
        <f>COUNTIF( AV$7:AV28, AV28 )</f>
        <v>2</v>
      </c>
      <c r="AX28" s="208">
        <f t="shared" si="22"/>
        <v>43.2</v>
      </c>
      <c r="AY28" s="168">
        <f t="shared" si="23"/>
        <v>44</v>
      </c>
      <c r="AZ28" s="169"/>
      <c r="BA28" s="169"/>
      <c r="BC28" s="168">
        <f t="shared" ca="1" si="24"/>
        <v>22</v>
      </c>
      <c r="BD28" s="209">
        <f t="shared" ca="1" si="6"/>
        <v>15</v>
      </c>
      <c r="BF28" s="173" t="str">
        <f t="shared" ca="1" si="7"/>
        <v>DTE Energy Company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DTE</v>
      </c>
    </row>
    <row r="29" spans="1:61" ht="13.8" x14ac:dyDescent="0.25">
      <c r="A29" s="223" t="s">
        <v>265</v>
      </c>
      <c r="B29" s="224" t="s">
        <v>140</v>
      </c>
      <c r="C29" s="224">
        <v>19</v>
      </c>
      <c r="D29" s="224" t="s">
        <v>266</v>
      </c>
      <c r="E29" s="225" t="str">
        <f t="shared" ca="1" si="8"/>
        <v>R</v>
      </c>
      <c r="F29" s="348"/>
      <c r="G29" s="349">
        <f t="shared" ca="1" si="1"/>
        <v>20</v>
      </c>
      <c r="H29" s="350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28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352</v>
      </c>
      <c r="AR29" s="207" t="s">
        <v>140</v>
      </c>
      <c r="AS29" s="207">
        <v>19</v>
      </c>
      <c r="AT29" s="207" t="s">
        <v>353</v>
      </c>
      <c r="AV29" s="168">
        <f t="shared" si="21"/>
        <v>17</v>
      </c>
      <c r="AW29" s="168">
        <f>COUNTIF( AV$7:AV29, AV29 )</f>
        <v>9</v>
      </c>
      <c r="AX29" s="208">
        <f t="shared" si="22"/>
        <v>17.899999999999999</v>
      </c>
      <c r="AY29" s="168">
        <f t="shared" si="23"/>
        <v>25</v>
      </c>
      <c r="AZ29" s="169"/>
      <c r="BA29" s="169"/>
      <c r="BC29" s="168">
        <f t="shared" ca="1" si="24"/>
        <v>23</v>
      </c>
      <c r="BD29" s="209">
        <f t="shared" ca="1" si="6"/>
        <v>17</v>
      </c>
      <c r="BF29" s="173" t="str">
        <f t="shared" ca="1" si="7"/>
        <v>Edison International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EIX</v>
      </c>
    </row>
    <row r="30" spans="1:61" ht="13.8" x14ac:dyDescent="0.25">
      <c r="A30" s="223" t="s">
        <v>267</v>
      </c>
      <c r="B30" s="224" t="s">
        <v>140</v>
      </c>
      <c r="C30" s="224">
        <v>19</v>
      </c>
      <c r="D30" s="224" t="s">
        <v>268</v>
      </c>
      <c r="E30" s="225" t="str">
        <f t="shared" ca="1" si="8"/>
        <v>R</v>
      </c>
      <c r="F30" s="348"/>
      <c r="G30" s="349">
        <f t="shared" ca="1" si="1"/>
        <v>23</v>
      </c>
      <c r="H30" s="350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29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279</v>
      </c>
      <c r="AR30" s="207" t="s">
        <v>142</v>
      </c>
      <c r="AS30" s="207">
        <v>17</v>
      </c>
      <c r="AT30" s="207" t="s">
        <v>280</v>
      </c>
      <c r="AV30" s="168">
        <f t="shared" si="21"/>
        <v>43</v>
      </c>
      <c r="AW30" s="168">
        <f>COUNTIF( AV$7:AV30, AV30 )</f>
        <v>3</v>
      </c>
      <c r="AX30" s="208">
        <f t="shared" si="22"/>
        <v>43.3</v>
      </c>
      <c r="AY30" s="168">
        <f t="shared" si="23"/>
        <v>45</v>
      </c>
      <c r="AZ30" s="169"/>
      <c r="BA30" s="169"/>
      <c r="BC30" s="168">
        <f t="shared" ca="1" si="24"/>
        <v>24</v>
      </c>
      <c r="BD30" s="209">
        <f t="shared" ca="1" si="6"/>
        <v>19</v>
      </c>
      <c r="BF30" s="173" t="str">
        <f t="shared" ca="1" si="7"/>
        <v>Entergy Corporation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ETR</v>
      </c>
    </row>
    <row r="31" spans="1:61" ht="13.8" x14ac:dyDescent="0.25">
      <c r="A31" s="223" t="s">
        <v>352</v>
      </c>
      <c r="B31" s="224" t="s">
        <v>140</v>
      </c>
      <c r="C31" s="224">
        <v>19</v>
      </c>
      <c r="D31" s="224" t="s">
        <v>353</v>
      </c>
      <c r="E31" s="225" t="str">
        <f t="shared" ca="1" si="8"/>
        <v>R</v>
      </c>
      <c r="F31" s="348"/>
      <c r="G31" s="349">
        <f t="shared" ca="1" si="1"/>
        <v>27</v>
      </c>
      <c r="H31" s="350"/>
      <c r="I31" s="237"/>
      <c r="J31" s="191"/>
      <c r="K31" s="237"/>
      <c r="N31" s="237"/>
      <c r="O31" s="351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30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283</v>
      </c>
      <c r="AR31" s="207" t="s">
        <v>141</v>
      </c>
      <c r="AS31" s="207">
        <v>18</v>
      </c>
      <c r="AT31" s="207" t="s">
        <v>284</v>
      </c>
      <c r="AV31" s="168">
        <f t="shared" si="21"/>
        <v>35</v>
      </c>
      <c r="AW31" s="168">
        <f>COUNTIF( AV$7:AV31, AV31 )</f>
        <v>5</v>
      </c>
      <c r="AX31" s="208">
        <f t="shared" si="22"/>
        <v>35.5</v>
      </c>
      <c r="AY31" s="168">
        <f t="shared" si="23"/>
        <v>39</v>
      </c>
      <c r="AZ31" s="169"/>
      <c r="BA31" s="169"/>
      <c r="BC31" s="168">
        <f t="shared" ca="1" si="24"/>
        <v>25</v>
      </c>
      <c r="BD31" s="209">
        <f t="shared" ca="1" si="6"/>
        <v>23</v>
      </c>
      <c r="BF31" s="173" t="str">
        <f t="shared" ca="1" si="7"/>
        <v>Great Plains Energy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GXP</v>
      </c>
    </row>
    <row r="32" spans="1:61" ht="13.8" x14ac:dyDescent="0.25">
      <c r="A32" s="223" t="s">
        <v>271</v>
      </c>
      <c r="B32" s="224" t="s">
        <v>140</v>
      </c>
      <c r="C32" s="224">
        <v>19</v>
      </c>
      <c r="D32" s="224" t="s">
        <v>272</v>
      </c>
      <c r="E32" s="225" t="str">
        <f t="shared" ca="1" si="8"/>
        <v>MR</v>
      </c>
      <c r="F32" s="348"/>
      <c r="G32" s="349">
        <f t="shared" ca="1" si="1"/>
        <v>30</v>
      </c>
      <c r="H32" s="350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31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287</v>
      </c>
      <c r="AR32" s="207" t="s">
        <v>142</v>
      </c>
      <c r="AS32" s="207">
        <v>17</v>
      </c>
      <c r="AT32" s="207" t="s">
        <v>288</v>
      </c>
      <c r="AV32" s="168">
        <f t="shared" si="21"/>
        <v>43</v>
      </c>
      <c r="AW32" s="168">
        <f>COUNTIF( AV$7:AV32, AV32 )</f>
        <v>4</v>
      </c>
      <c r="AX32" s="208">
        <f t="shared" si="22"/>
        <v>43.4</v>
      </c>
      <c r="AY32" s="168">
        <f t="shared" si="23"/>
        <v>46</v>
      </c>
      <c r="AZ32" s="169"/>
      <c r="BA32" s="169"/>
      <c r="BC32" s="168">
        <f t="shared" ca="1" si="24"/>
        <v>26</v>
      </c>
      <c r="BD32" s="209">
        <f t="shared" ca="1" si="6"/>
        <v>27</v>
      </c>
      <c r="BF32" s="173" t="str">
        <f t="shared" ca="1" si="7"/>
        <v>MDU Resources Group, Inc.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MDU</v>
      </c>
    </row>
    <row r="33" spans="1:61" ht="13.8" x14ac:dyDescent="0.25">
      <c r="A33" s="223" t="s">
        <v>273</v>
      </c>
      <c r="B33" s="224" t="s">
        <v>140</v>
      </c>
      <c r="C33" s="224">
        <v>19</v>
      </c>
      <c r="D33" s="224" t="s">
        <v>274</v>
      </c>
      <c r="E33" s="225" t="str">
        <f t="shared" ca="1" si="8"/>
        <v>R</v>
      </c>
      <c r="F33" s="348"/>
      <c r="G33" s="349">
        <f t="shared" ca="1" si="1"/>
        <v>33</v>
      </c>
      <c r="H33" s="350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32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271</v>
      </c>
      <c r="AR33" s="207" t="s">
        <v>140</v>
      </c>
      <c r="AS33" s="207">
        <v>19</v>
      </c>
      <c r="AT33" s="207" t="s">
        <v>272</v>
      </c>
      <c r="AV33" s="168">
        <f t="shared" si="21"/>
        <v>17</v>
      </c>
      <c r="AW33" s="168">
        <f>COUNTIF( AV$7:AV33, AV33 )</f>
        <v>10</v>
      </c>
      <c r="AX33" s="208">
        <f t="shared" si="22"/>
        <v>18</v>
      </c>
      <c r="AY33" s="168">
        <f t="shared" si="23"/>
        <v>26</v>
      </c>
      <c r="AZ33" s="169"/>
      <c r="BA33" s="169"/>
      <c r="BC33" s="168">
        <f t="shared" ca="1" si="24"/>
        <v>27</v>
      </c>
      <c r="BD33" s="209">
        <f t="shared" ca="1" si="6"/>
        <v>29</v>
      </c>
      <c r="BF33" s="173" t="str">
        <f t="shared" ca="1" si="7"/>
        <v>NiSource Inc.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NI</v>
      </c>
    </row>
    <row r="34" spans="1:61" ht="13.8" x14ac:dyDescent="0.25">
      <c r="A34" s="223" t="s">
        <v>358</v>
      </c>
      <c r="B34" s="224" t="s">
        <v>140</v>
      </c>
      <c r="C34" s="224">
        <v>19</v>
      </c>
      <c r="D34" s="224" t="s">
        <v>359</v>
      </c>
      <c r="E34" s="225" t="str">
        <f t="shared" ca="1" si="8"/>
        <v>R</v>
      </c>
      <c r="F34" s="348"/>
      <c r="G34" s="349">
        <f t="shared" ca="1" si="1"/>
        <v>56</v>
      </c>
      <c r="H34" s="350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33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240</v>
      </c>
      <c r="AR34" s="207" t="s">
        <v>139</v>
      </c>
      <c r="AS34" s="207">
        <v>20</v>
      </c>
      <c r="AT34" s="207" t="s">
        <v>241</v>
      </c>
      <c r="AV34" s="168">
        <f t="shared" si="21"/>
        <v>3</v>
      </c>
      <c r="AW34" s="168">
        <f>COUNTIF( AV$7:AV34, AV34 )</f>
        <v>6</v>
      </c>
      <c r="AX34" s="208">
        <f t="shared" si="22"/>
        <v>3.6</v>
      </c>
      <c r="AY34" s="168">
        <f t="shared" si="23"/>
        <v>8</v>
      </c>
      <c r="AZ34" s="169"/>
      <c r="BA34" s="169"/>
      <c r="BC34" s="168">
        <f t="shared" ca="1" si="24"/>
        <v>28</v>
      </c>
      <c r="BD34" s="209">
        <f t="shared" ca="1" si="6"/>
        <v>32</v>
      </c>
      <c r="BF34" s="173" t="str">
        <f t="shared" ca="1" si="7"/>
        <v>Oncor Electric Delivery Company LLC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**ONC</v>
      </c>
    </row>
    <row r="35" spans="1:61" ht="13.8" x14ac:dyDescent="0.25">
      <c r="A35" s="223" t="s">
        <v>303</v>
      </c>
      <c r="B35" s="224" t="s">
        <v>140</v>
      </c>
      <c r="C35" s="224">
        <v>19</v>
      </c>
      <c r="D35" s="224" t="s">
        <v>304</v>
      </c>
      <c r="E35" s="225" t="str">
        <f t="shared" ca="1" si="8"/>
        <v>R</v>
      </c>
      <c r="F35" s="348"/>
      <c r="G35" s="349">
        <f t="shared" ca="1" si="1"/>
        <v>39</v>
      </c>
      <c r="H35" s="350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35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273</v>
      </c>
      <c r="AR35" s="207" t="s">
        <v>140</v>
      </c>
      <c r="AS35" s="207">
        <v>19</v>
      </c>
      <c r="AT35" s="207" t="s">
        <v>274</v>
      </c>
      <c r="AV35" s="168">
        <f t="shared" si="21"/>
        <v>17</v>
      </c>
      <c r="AW35" s="168">
        <f>COUNTIF( AV$7:AV35, AV35 )</f>
        <v>11</v>
      </c>
      <c r="AX35" s="208">
        <f t="shared" si="22"/>
        <v>18.100000000000001</v>
      </c>
      <c r="AY35" s="168">
        <f t="shared" si="23"/>
        <v>27</v>
      </c>
      <c r="AZ35" s="169"/>
      <c r="BA35" s="169"/>
      <c r="BC35" s="168">
        <f t="shared" ca="1" si="24"/>
        <v>29</v>
      </c>
      <c r="BD35" s="209">
        <f t="shared" ca="1" si="6"/>
        <v>36</v>
      </c>
      <c r="BF35" s="173" t="str">
        <f t="shared" ca="1" si="7"/>
        <v>PNM Resources, Inc.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PNM</v>
      </c>
    </row>
    <row r="36" spans="1:61" ht="13.8" x14ac:dyDescent="0.25">
      <c r="A36" s="223" t="s">
        <v>289</v>
      </c>
      <c r="B36" s="224" t="s">
        <v>140</v>
      </c>
      <c r="C36" s="224">
        <v>19</v>
      </c>
      <c r="D36" s="224" t="s">
        <v>290</v>
      </c>
      <c r="E36" s="225" t="str">
        <f t="shared" ca="1" si="8"/>
        <v>MR</v>
      </c>
      <c r="F36" s="348"/>
      <c r="G36" s="349">
        <f t="shared" ca="1" si="1"/>
        <v>42</v>
      </c>
      <c r="H36" s="350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36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297</v>
      </c>
      <c r="AR36" s="207" t="s">
        <v>141</v>
      </c>
      <c r="AS36" s="207">
        <v>18</v>
      </c>
      <c r="AT36" s="207" t="s">
        <v>298</v>
      </c>
      <c r="AV36" s="168">
        <f t="shared" si="21"/>
        <v>35</v>
      </c>
      <c r="AW36" s="168">
        <f>COUNTIF( AV$7:AV36, AV36 )</f>
        <v>6</v>
      </c>
      <c r="AX36" s="208">
        <f t="shared" si="22"/>
        <v>35.6</v>
      </c>
      <c r="AY36" s="168">
        <f t="shared" si="23"/>
        <v>40</v>
      </c>
      <c r="AZ36" s="169"/>
      <c r="BA36" s="169"/>
      <c r="BC36" s="168">
        <f t="shared" ca="1" si="24"/>
        <v>30</v>
      </c>
      <c r="BD36" s="209">
        <f t="shared" ca="1" si="6"/>
        <v>39</v>
      </c>
      <c r="BF36" s="173" t="str">
        <f t="shared" ca="1" si="7"/>
        <v>Public Service Enterprise Group Incorporated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PEG</v>
      </c>
    </row>
    <row r="37" spans="1:61" ht="13.8" x14ac:dyDescent="0.25">
      <c r="A37" s="223" t="s">
        <v>347</v>
      </c>
      <c r="B37" s="224" t="s">
        <v>140</v>
      </c>
      <c r="C37" s="224">
        <v>19</v>
      </c>
      <c r="D37" s="224" t="s">
        <v>348</v>
      </c>
      <c r="E37" s="225" t="str">
        <f t="shared" ca="1" si="8"/>
        <v>MR</v>
      </c>
      <c r="F37" s="348"/>
      <c r="G37" s="349">
        <f t="shared" ca="1" si="1"/>
        <v>43</v>
      </c>
      <c r="H37" s="350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37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277</v>
      </c>
      <c r="AR37" s="207" t="s">
        <v>139</v>
      </c>
      <c r="AS37" s="207">
        <v>20</v>
      </c>
      <c r="AT37" s="207" t="s">
        <v>278</v>
      </c>
      <c r="AV37" s="168">
        <f t="shared" si="21"/>
        <v>3</v>
      </c>
      <c r="AW37" s="168">
        <f>COUNTIF( AV$7:AV37, AV37 )</f>
        <v>7</v>
      </c>
      <c r="AX37" s="208">
        <f t="shared" si="22"/>
        <v>3.7</v>
      </c>
      <c r="AY37" s="168">
        <f t="shared" si="23"/>
        <v>9</v>
      </c>
      <c r="AZ37" s="169"/>
      <c r="BA37" s="169"/>
      <c r="BC37" s="168">
        <f t="shared" ca="1" si="24"/>
        <v>31</v>
      </c>
      <c r="BD37" s="209">
        <f t="shared" ca="1" si="6"/>
        <v>41</v>
      </c>
      <c r="BF37" s="173" t="str">
        <f t="shared" ca="1" si="7"/>
        <v>SCANA Corporation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SCG</v>
      </c>
    </row>
    <row r="38" spans="1:61" ht="13.8" x14ac:dyDescent="0.25">
      <c r="A38" s="223" t="s">
        <v>291</v>
      </c>
      <c r="B38" s="224" t="s">
        <v>140</v>
      </c>
      <c r="C38" s="224">
        <v>19</v>
      </c>
      <c r="D38" s="224" t="s">
        <v>292</v>
      </c>
      <c r="E38" s="225" t="str">
        <f t="shared" ca="1" si="8"/>
        <v>MR</v>
      </c>
      <c r="F38" s="348"/>
      <c r="G38" s="349">
        <f t="shared" ca="1" si="1"/>
        <v>44</v>
      </c>
      <c r="H38" s="350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1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38</v>
      </c>
      <c r="AK38" s="169" t="str">
        <f t="shared" ca="1" si="20"/>
        <v>BBB+</v>
      </c>
      <c r="AL38" s="169">
        <f t="shared" ca="1" si="20"/>
        <v>19</v>
      </c>
      <c r="AM38" s="169" t="str">
        <f t="shared" ca="1" si="4"/>
        <v/>
      </c>
      <c r="AQ38" s="207" t="s">
        <v>358</v>
      </c>
      <c r="AR38" s="207" t="s">
        <v>140</v>
      </c>
      <c r="AS38" s="207">
        <v>19</v>
      </c>
      <c r="AT38" s="207" t="s">
        <v>362</v>
      </c>
      <c r="AV38" s="168">
        <f t="shared" si="21"/>
        <v>17</v>
      </c>
      <c r="AW38" s="168">
        <f>COUNTIF( AV$7:AV38, AV38 )</f>
        <v>12</v>
      </c>
      <c r="AX38" s="208">
        <f t="shared" si="22"/>
        <v>18.2</v>
      </c>
      <c r="AY38" s="168">
        <f t="shared" si="23"/>
        <v>28</v>
      </c>
      <c r="AZ38" s="169"/>
      <c r="BA38" s="169"/>
      <c r="BC38" s="168">
        <f t="shared" ca="1" si="24"/>
        <v>32</v>
      </c>
      <c r="BD38" s="209">
        <f t="shared" ca="1" si="6"/>
        <v>42</v>
      </c>
      <c r="BF38" s="173" t="str">
        <f t="shared" ca="1" si="7"/>
        <v>Sempra Energy</v>
      </c>
      <c r="BG38" s="173" t="str">
        <f t="shared" ca="1" si="7"/>
        <v>BBB+</v>
      </c>
      <c r="BH38" s="173">
        <f t="shared" ca="1" si="7"/>
        <v>19</v>
      </c>
      <c r="BI38" s="173" t="str">
        <f t="shared" ca="1" si="7"/>
        <v>SRE</v>
      </c>
    </row>
    <row r="39" spans="1:61" ht="13.8" x14ac:dyDescent="0.25">
      <c r="A39" s="223" t="s">
        <v>295</v>
      </c>
      <c r="B39" s="224" t="s">
        <v>140</v>
      </c>
      <c r="C39" s="224">
        <v>19</v>
      </c>
      <c r="D39" s="224" t="s">
        <v>296</v>
      </c>
      <c r="E39" s="225" t="str">
        <f t="shared" ca="1" si="8"/>
        <v>R</v>
      </c>
      <c r="F39" s="348"/>
      <c r="G39" s="349">
        <f t="shared" ca="1" si="1"/>
        <v>46</v>
      </c>
      <c r="H39" s="350"/>
      <c r="I39" s="237"/>
      <c r="K39" s="237"/>
      <c r="L39" s="173"/>
      <c r="N39" s="237"/>
      <c r="Q39" s="237"/>
      <c r="T39" s="237"/>
      <c r="W39" s="237"/>
      <c r="AF39" s="169">
        <f t="shared" si="2"/>
        <v>1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39</v>
      </c>
      <c r="AK39" s="169" t="str">
        <f t="shared" ca="1" si="20"/>
        <v>BBB+</v>
      </c>
      <c r="AL39" s="169">
        <f t="shared" ca="1" si="20"/>
        <v>19</v>
      </c>
      <c r="AM39" s="169" t="str">
        <f t="shared" ca="1" si="4"/>
        <v/>
      </c>
      <c r="AQ39" s="207" t="s">
        <v>299</v>
      </c>
      <c r="AR39" s="207" t="s">
        <v>141</v>
      </c>
      <c r="AS39" s="207">
        <v>18</v>
      </c>
      <c r="AT39" s="207" t="s">
        <v>300</v>
      </c>
      <c r="AV39" s="168">
        <f t="shared" si="21"/>
        <v>35</v>
      </c>
      <c r="AW39" s="168">
        <f>COUNTIF( AV$7:AV39, AV39 )</f>
        <v>7</v>
      </c>
      <c r="AX39" s="208">
        <f t="shared" si="22"/>
        <v>35.700000000000003</v>
      </c>
      <c r="AY39" s="168">
        <f t="shared" si="23"/>
        <v>41</v>
      </c>
      <c r="AZ39" s="169"/>
      <c r="BA39" s="169"/>
      <c r="BC39" s="168">
        <f t="shared" ca="1" si="24"/>
        <v>33</v>
      </c>
      <c r="BD39" s="209">
        <f t="shared" ca="1" si="6"/>
        <v>44</v>
      </c>
      <c r="BF39" s="173" t="str">
        <f t="shared" ref="BF39:BI63" ca="1" si="25">OFFSET( AQ$6, $BD39, 0 )</f>
        <v>Unitil Corporation</v>
      </c>
      <c r="BG39" s="173" t="str">
        <f t="shared" ca="1" si="25"/>
        <v>BBB+</v>
      </c>
      <c r="BH39" s="173">
        <f t="shared" ca="1" si="25"/>
        <v>19</v>
      </c>
      <c r="BI39" s="173" t="str">
        <f t="shared" ca="1" si="25"/>
        <v>UTL</v>
      </c>
    </row>
    <row r="40" spans="1:61" ht="13.8" x14ac:dyDescent="0.25">
      <c r="A40" s="223" t="s">
        <v>354</v>
      </c>
      <c r="B40" s="224" t="s">
        <v>140</v>
      </c>
      <c r="C40" s="224">
        <v>19</v>
      </c>
      <c r="D40" s="224" t="s">
        <v>355</v>
      </c>
      <c r="E40" s="225" t="str">
        <f t="shared" ca="1" si="8"/>
        <v>R</v>
      </c>
      <c r="F40" s="348"/>
      <c r="G40" s="349">
        <f t="shared" ca="1" si="1"/>
        <v>49</v>
      </c>
      <c r="H40" s="350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1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40</v>
      </c>
      <c r="AK40" s="169" t="str">
        <f t="shared" ca="1" si="20"/>
        <v>BBB+</v>
      </c>
      <c r="AL40" s="169">
        <f t="shared" ca="1" si="20"/>
        <v>19</v>
      </c>
      <c r="AM40" s="169" t="str">
        <f t="shared" ca="1" si="4"/>
        <v/>
      </c>
      <c r="AQ40" s="207" t="s">
        <v>301</v>
      </c>
      <c r="AR40" s="207" t="s">
        <v>139</v>
      </c>
      <c r="AS40" s="207">
        <v>20</v>
      </c>
      <c r="AT40" s="207" t="s">
        <v>302</v>
      </c>
      <c r="AV40" s="168">
        <f t="shared" si="21"/>
        <v>3</v>
      </c>
      <c r="AW40" s="168">
        <f>COUNTIF( AV$7:AV40, AV40 )</f>
        <v>8</v>
      </c>
      <c r="AX40" s="208">
        <f t="shared" si="22"/>
        <v>3.8</v>
      </c>
      <c r="AY40" s="168">
        <f t="shared" si="23"/>
        <v>10</v>
      </c>
      <c r="AZ40" s="169"/>
      <c r="BA40" s="169"/>
      <c r="BC40" s="168">
        <f t="shared" ca="1" si="24"/>
        <v>34</v>
      </c>
      <c r="BD40" s="209">
        <f t="shared" ca="1" si="6"/>
        <v>46</v>
      </c>
      <c r="BF40" s="173" t="str">
        <f t="shared" ca="1" si="25"/>
        <v>Westar Energy, Inc.</v>
      </c>
      <c r="BG40" s="173" t="str">
        <f t="shared" ca="1" si="25"/>
        <v>BBB+</v>
      </c>
      <c r="BH40" s="173">
        <f t="shared" ca="1" si="25"/>
        <v>19</v>
      </c>
      <c r="BI40" s="173" t="str">
        <f t="shared" ca="1" si="25"/>
        <v>WR</v>
      </c>
    </row>
    <row r="41" spans="1:61" ht="13.8" x14ac:dyDescent="0.25">
      <c r="A41" s="223" t="s">
        <v>238</v>
      </c>
      <c r="B41" s="224" t="s">
        <v>141</v>
      </c>
      <c r="C41" s="224">
        <v>18</v>
      </c>
      <c r="D41" s="224" t="s">
        <v>239</v>
      </c>
      <c r="E41" s="225" t="str">
        <f t="shared" ca="1" si="8"/>
        <v>R</v>
      </c>
      <c r="F41" s="348"/>
      <c r="G41" s="349">
        <f t="shared" ca="1" si="1"/>
        <v>12</v>
      </c>
      <c r="H41" s="350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281</v>
      </c>
      <c r="AR41" s="207" t="s">
        <v>139</v>
      </c>
      <c r="AS41" s="207">
        <v>20</v>
      </c>
      <c r="AT41" s="207" t="s">
        <v>282</v>
      </c>
      <c r="AV41" s="168">
        <f t="shared" si="21"/>
        <v>3</v>
      </c>
      <c r="AW41" s="168">
        <f>COUNTIF( AV$7:AV41, AV41 )</f>
        <v>9</v>
      </c>
      <c r="AX41" s="208">
        <f t="shared" si="22"/>
        <v>3.9</v>
      </c>
      <c r="AY41" s="168">
        <f t="shared" si="23"/>
        <v>11</v>
      </c>
      <c r="AZ41" s="169"/>
      <c r="BA41" s="169"/>
      <c r="BC41" s="168">
        <f t="shared" ca="1" si="24"/>
        <v>35</v>
      </c>
      <c r="BD41" s="209">
        <f t="shared" ca="1" si="6"/>
        <v>6</v>
      </c>
      <c r="BF41" s="173" t="str">
        <f t="shared" ca="1" si="25"/>
        <v>Avista Corporation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AVA</v>
      </c>
    </row>
    <row r="42" spans="1:61" ht="13.8" x14ac:dyDescent="0.25">
      <c r="A42" s="223" t="s">
        <v>245</v>
      </c>
      <c r="B42" s="224" t="s">
        <v>141</v>
      </c>
      <c r="C42" s="224">
        <v>18</v>
      </c>
      <c r="D42" s="224" t="s">
        <v>246</v>
      </c>
      <c r="E42" s="225" t="str">
        <f t="shared" ca="1" si="8"/>
        <v>R</v>
      </c>
      <c r="F42" s="348"/>
      <c r="G42" s="349">
        <f t="shared" ca="1" si="1"/>
        <v>13</v>
      </c>
      <c r="H42" s="350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303</v>
      </c>
      <c r="AR42" s="207" t="s">
        <v>140</v>
      </c>
      <c r="AS42" s="207">
        <v>19</v>
      </c>
      <c r="AT42" s="207" t="s">
        <v>304</v>
      </c>
      <c r="AV42" s="168">
        <f t="shared" si="21"/>
        <v>17</v>
      </c>
      <c r="AW42" s="168">
        <f>COUNTIF( AV$7:AV42, AV42 )</f>
        <v>13</v>
      </c>
      <c r="AX42" s="208">
        <f t="shared" si="22"/>
        <v>18.3</v>
      </c>
      <c r="AY42" s="168">
        <f t="shared" si="23"/>
        <v>29</v>
      </c>
      <c r="AZ42" s="169"/>
      <c r="BA42" s="169"/>
      <c r="BC42" s="168">
        <f t="shared" ca="1" si="24"/>
        <v>36</v>
      </c>
      <c r="BD42" s="209">
        <f t="shared" ca="1" si="6"/>
        <v>8</v>
      </c>
      <c r="BF42" s="173" t="str">
        <f t="shared" ca="1" si="25"/>
        <v>Black Hills Corporation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BKH</v>
      </c>
    </row>
    <row r="43" spans="1:61" ht="13.8" x14ac:dyDescent="0.25">
      <c r="A43" s="223" t="s">
        <v>328</v>
      </c>
      <c r="B43" s="224" t="s">
        <v>141</v>
      </c>
      <c r="C43" s="224">
        <v>18</v>
      </c>
      <c r="D43" s="224" t="s">
        <v>331</v>
      </c>
      <c r="E43" s="225" t="str">
        <f t="shared" ca="1" si="8"/>
        <v>R</v>
      </c>
      <c r="F43" s="348"/>
      <c r="G43" s="349">
        <f t="shared" ca="1" si="1"/>
        <v>21</v>
      </c>
      <c r="H43" s="350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285</v>
      </c>
      <c r="AR43" s="207" t="s">
        <v>141</v>
      </c>
      <c r="AS43" s="207">
        <v>18</v>
      </c>
      <c r="AT43" s="207" t="s">
        <v>286</v>
      </c>
      <c r="AV43" s="168">
        <f t="shared" si="21"/>
        <v>35</v>
      </c>
      <c r="AW43" s="168">
        <f>COUNTIF( AV$7:AV43, AV43 )</f>
        <v>8</v>
      </c>
      <c r="AX43" s="208">
        <f t="shared" si="22"/>
        <v>35.799999999999997</v>
      </c>
      <c r="AY43" s="168">
        <f t="shared" si="23"/>
        <v>42</v>
      </c>
      <c r="AZ43" s="169"/>
      <c r="BA43" s="169"/>
      <c r="BC43" s="168">
        <f t="shared" ca="1" si="24"/>
        <v>37</v>
      </c>
      <c r="BD43" s="209">
        <f t="shared" ca="1" si="6"/>
        <v>18</v>
      </c>
      <c r="BF43" s="173" t="str">
        <f t="shared" ca="1" si="25"/>
        <v>El Paso Electric Company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EE</v>
      </c>
    </row>
    <row r="44" spans="1:61" ht="13.8" x14ac:dyDescent="0.25">
      <c r="A44" s="223" t="s">
        <v>269</v>
      </c>
      <c r="B44" s="224" t="s">
        <v>141</v>
      </c>
      <c r="C44" s="224">
        <v>18</v>
      </c>
      <c r="D44" s="224" t="s">
        <v>270</v>
      </c>
      <c r="E44" s="225" t="str">
        <f t="shared" ca="1" si="8"/>
        <v>MR</v>
      </c>
      <c r="F44" s="348"/>
      <c r="G44" s="349">
        <f t="shared" ca="1" si="1"/>
        <v>25</v>
      </c>
      <c r="H44" s="350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243</v>
      </c>
      <c r="AR44" s="207" t="s">
        <v>139</v>
      </c>
      <c r="AS44" s="207">
        <v>20</v>
      </c>
      <c r="AT44" s="207" t="s">
        <v>244</v>
      </c>
      <c r="AV44" s="168">
        <f t="shared" si="21"/>
        <v>3</v>
      </c>
      <c r="AW44" s="168">
        <f>COUNTIF( AV$7:AV44, AV44 )</f>
        <v>10</v>
      </c>
      <c r="AX44" s="208">
        <f t="shared" si="22"/>
        <v>4</v>
      </c>
      <c r="AY44" s="168">
        <f t="shared" si="23"/>
        <v>12</v>
      </c>
      <c r="AZ44" s="169"/>
      <c r="BA44" s="169"/>
      <c r="BC44" s="168">
        <f t="shared" ca="1" si="24"/>
        <v>38</v>
      </c>
      <c r="BD44" s="209">
        <f t="shared" ca="1" si="6"/>
        <v>21</v>
      </c>
      <c r="BF44" s="173" t="str">
        <f t="shared" ca="1" si="25"/>
        <v>Exelon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EXC</v>
      </c>
    </row>
    <row r="45" spans="1:61" ht="13.8" x14ac:dyDescent="0.25">
      <c r="A45" s="223" t="s">
        <v>283</v>
      </c>
      <c r="B45" s="224" t="s">
        <v>141</v>
      </c>
      <c r="C45" s="224">
        <v>18</v>
      </c>
      <c r="D45" s="224" t="s">
        <v>284</v>
      </c>
      <c r="E45" s="225" t="str">
        <f t="shared" ca="1" si="8"/>
        <v>R</v>
      </c>
      <c r="F45" s="348"/>
      <c r="G45" s="349">
        <f t="shared" ca="1" si="1"/>
        <v>29</v>
      </c>
      <c r="H45" s="350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289</v>
      </c>
      <c r="AR45" s="207" t="s">
        <v>140</v>
      </c>
      <c r="AS45" s="207">
        <v>19</v>
      </c>
      <c r="AT45" s="207" t="s">
        <v>290</v>
      </c>
      <c r="AV45" s="168">
        <f t="shared" si="21"/>
        <v>17</v>
      </c>
      <c r="AW45" s="168">
        <f>COUNTIF( AV$7:AV45, AV45 )</f>
        <v>14</v>
      </c>
      <c r="AX45" s="208">
        <f t="shared" si="22"/>
        <v>18.399999999999999</v>
      </c>
      <c r="AY45" s="168">
        <f t="shared" si="23"/>
        <v>30</v>
      </c>
      <c r="AZ45" s="169"/>
      <c r="BA45" s="169"/>
      <c r="BC45" s="168">
        <f t="shared" ca="1" si="24"/>
        <v>39</v>
      </c>
      <c r="BD45" s="209">
        <f t="shared" ca="1" si="6"/>
        <v>25</v>
      </c>
      <c r="BF45" s="173" t="str">
        <f t="shared" ca="1" si="25"/>
        <v>IDACORP, Inc.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IDA</v>
      </c>
    </row>
    <row r="46" spans="1:61" ht="13.8" x14ac:dyDescent="0.25">
      <c r="A46" s="223" t="s">
        <v>297</v>
      </c>
      <c r="B46" s="224" t="s">
        <v>141</v>
      </c>
      <c r="C46" s="224">
        <v>18</v>
      </c>
      <c r="D46" s="224" t="s">
        <v>298</v>
      </c>
      <c r="E46" s="225" t="str">
        <f t="shared" ca="1" si="8"/>
        <v>R</v>
      </c>
      <c r="F46" s="348"/>
      <c r="G46" s="349">
        <f t="shared" ca="1" si="1"/>
        <v>34</v>
      </c>
      <c r="H46" s="350"/>
      <c r="I46" s="191"/>
      <c r="K46" s="191"/>
      <c r="N46" s="351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46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305</v>
      </c>
      <c r="AR46" s="207" t="s">
        <v>142</v>
      </c>
      <c r="AS46" s="207">
        <v>17</v>
      </c>
      <c r="AT46" s="207" t="s">
        <v>306</v>
      </c>
      <c r="AV46" s="168">
        <f t="shared" si="21"/>
        <v>43</v>
      </c>
      <c r="AW46" s="168">
        <f>COUNTIF( AV$7:AV46, AV46 )</f>
        <v>5</v>
      </c>
      <c r="AX46" s="208">
        <f t="shared" si="22"/>
        <v>43.5</v>
      </c>
      <c r="AY46" s="168">
        <f t="shared" si="23"/>
        <v>47</v>
      </c>
      <c r="AZ46" s="169"/>
      <c r="BA46" s="169"/>
      <c r="BC46" s="168">
        <f t="shared" ca="1" si="24"/>
        <v>40</v>
      </c>
      <c r="BD46" s="209">
        <f t="shared" ca="1" si="6"/>
        <v>30</v>
      </c>
      <c r="BF46" s="173" t="str">
        <f t="shared" ca="1" si="25"/>
        <v>NorthWestern Corporation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NWE</v>
      </c>
    </row>
    <row r="47" spans="1:61" ht="13.8" x14ac:dyDescent="0.25">
      <c r="A47" s="223" t="s">
        <v>299</v>
      </c>
      <c r="B47" s="224" t="s">
        <v>141</v>
      </c>
      <c r="C47" s="224">
        <v>18</v>
      </c>
      <c r="D47" s="224" t="s">
        <v>300</v>
      </c>
      <c r="E47" s="225" t="str">
        <f t="shared" ca="1" si="8"/>
        <v>R</v>
      </c>
      <c r="F47" s="348"/>
      <c r="G47" s="349">
        <f t="shared" ca="1" si="1"/>
        <v>36</v>
      </c>
      <c r="H47" s="350"/>
      <c r="I47" s="350"/>
      <c r="J47" s="187" t="s">
        <v>307</v>
      </c>
      <c r="K47" s="191"/>
      <c r="M47" s="351"/>
      <c r="N47" s="351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47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347</v>
      </c>
      <c r="AR47" s="207" t="s">
        <v>140</v>
      </c>
      <c r="AS47" s="207">
        <v>19</v>
      </c>
      <c r="AT47" s="207" t="s">
        <v>348</v>
      </c>
      <c r="AV47" s="168">
        <f t="shared" si="21"/>
        <v>17</v>
      </c>
      <c r="AW47" s="168">
        <f>COUNTIF( AV$7:AV47, AV47 )</f>
        <v>15</v>
      </c>
      <c r="AX47" s="208">
        <f t="shared" si="22"/>
        <v>18.5</v>
      </c>
      <c r="AY47" s="168">
        <f t="shared" si="23"/>
        <v>31</v>
      </c>
      <c r="AZ47" s="169"/>
      <c r="BA47" s="169"/>
      <c r="BC47" s="168">
        <f t="shared" ca="1" si="24"/>
        <v>41</v>
      </c>
      <c r="BD47" s="209">
        <f t="shared" ca="1" si="6"/>
        <v>33</v>
      </c>
      <c r="BF47" s="173" t="str">
        <f t="shared" ca="1" si="25"/>
        <v>Otter Tail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OTTR</v>
      </c>
    </row>
    <row r="48" spans="1:61" ht="13.8" x14ac:dyDescent="0.25">
      <c r="A48" s="223" t="s">
        <v>285</v>
      </c>
      <c r="B48" s="224" t="s">
        <v>141</v>
      </c>
      <c r="C48" s="224">
        <v>18</v>
      </c>
      <c r="D48" s="224" t="s">
        <v>286</v>
      </c>
      <c r="E48" s="225" t="str">
        <f t="shared" ca="1" si="8"/>
        <v>R</v>
      </c>
      <c r="F48" s="348"/>
      <c r="G48" s="349">
        <f t="shared" ca="1" si="1"/>
        <v>40</v>
      </c>
      <c r="H48" s="350"/>
      <c r="I48" s="350"/>
      <c r="K48" s="191"/>
      <c r="M48" s="351"/>
      <c r="N48" s="351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48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291</v>
      </c>
      <c r="AR48" s="207" t="s">
        <v>140</v>
      </c>
      <c r="AS48" s="207">
        <v>19</v>
      </c>
      <c r="AT48" s="207" t="s">
        <v>292</v>
      </c>
      <c r="AV48" s="168">
        <f t="shared" si="21"/>
        <v>17</v>
      </c>
      <c r="AW48" s="168">
        <f>COUNTIF( AV$7:AV48, AV48 )</f>
        <v>16</v>
      </c>
      <c r="AX48" s="208">
        <f t="shared" si="22"/>
        <v>18.600000000000001</v>
      </c>
      <c r="AY48" s="168">
        <f t="shared" si="23"/>
        <v>32</v>
      </c>
      <c r="AZ48" s="169"/>
      <c r="BA48" s="169"/>
      <c r="BC48" s="168">
        <f t="shared" ca="1" si="24"/>
        <v>42</v>
      </c>
      <c r="BD48" s="209">
        <f t="shared" ca="1" si="6"/>
        <v>37</v>
      </c>
      <c r="BF48" s="173" t="str">
        <f t="shared" ca="1" si="25"/>
        <v>Portland General Electric Company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POR</v>
      </c>
    </row>
    <row r="49" spans="1:61" ht="13.8" x14ac:dyDescent="0.25">
      <c r="A49" s="223" t="s">
        <v>254</v>
      </c>
      <c r="B49" s="224" t="s">
        <v>142</v>
      </c>
      <c r="C49" s="224">
        <v>17</v>
      </c>
      <c r="D49" s="224" t="s">
        <v>255</v>
      </c>
      <c r="E49" s="225" t="str">
        <f t="shared" ca="1" si="8"/>
        <v>R</v>
      </c>
      <c r="F49" s="348"/>
      <c r="G49" s="349">
        <f t="shared" ca="1" si="1"/>
        <v>54</v>
      </c>
      <c r="H49" s="350"/>
      <c r="I49" s="350"/>
      <c r="J49" s="191"/>
      <c r="K49" s="191"/>
      <c r="M49" s="351"/>
      <c r="N49" s="351"/>
      <c r="AF49" s="169">
        <f t="shared" si="2"/>
        <v>1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4"/>
        <v/>
      </c>
      <c r="AQ49" s="207" t="s">
        <v>293</v>
      </c>
      <c r="AR49" s="207" t="s">
        <v>139</v>
      </c>
      <c r="AS49" s="207">
        <v>20</v>
      </c>
      <c r="AT49" s="207" t="s">
        <v>294</v>
      </c>
      <c r="AV49" s="168">
        <f t="shared" si="21"/>
        <v>3</v>
      </c>
      <c r="AW49" s="168">
        <f>COUNTIF( AV$7:AV49, AV49 )</f>
        <v>11</v>
      </c>
      <c r="AX49" s="208">
        <f t="shared" si="22"/>
        <v>4.0999999999999996</v>
      </c>
      <c r="AY49" s="168">
        <f t="shared" si="23"/>
        <v>13</v>
      </c>
      <c r="AZ49" s="169"/>
      <c r="BA49" s="169"/>
      <c r="BC49" s="168">
        <f t="shared" ca="1" si="24"/>
        <v>43</v>
      </c>
      <c r="BD49" s="209">
        <f t="shared" ca="1" si="6"/>
        <v>10</v>
      </c>
      <c r="BF49" s="173" t="str">
        <f t="shared" ca="1" si="25"/>
        <v>Cleco Corporation</v>
      </c>
      <c r="BG49" s="173" t="str">
        <f t="shared" ca="1" si="25"/>
        <v>BBB-</v>
      </c>
      <c r="BH49" s="173">
        <f t="shared" ca="1" si="25"/>
        <v>17</v>
      </c>
      <c r="BI49" s="173" t="str">
        <f t="shared" ca="1" si="25"/>
        <v>**CNL</v>
      </c>
    </row>
    <row r="50" spans="1:61" ht="13.8" x14ac:dyDescent="0.25">
      <c r="A50" s="223" t="s">
        <v>275</v>
      </c>
      <c r="B50" s="224" t="s">
        <v>142</v>
      </c>
      <c r="C50" s="224">
        <v>17</v>
      </c>
      <c r="D50" s="224" t="s">
        <v>276</v>
      </c>
      <c r="E50" s="225" t="str">
        <f t="shared" ca="1" si="8"/>
        <v>R</v>
      </c>
      <c r="F50" s="348"/>
      <c r="G50" s="349">
        <f t="shared" ca="1" si="1"/>
        <v>26</v>
      </c>
      <c r="H50" s="350"/>
      <c r="I50" s="350"/>
      <c r="J50" s="191"/>
      <c r="K50" s="191"/>
      <c r="M50" s="351"/>
      <c r="N50" s="351"/>
      <c r="AF50" s="169">
        <f t="shared" si="2"/>
        <v>1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50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4"/>
        <v/>
      </c>
      <c r="AQ50" s="207" t="s">
        <v>295</v>
      </c>
      <c r="AR50" s="207" t="s">
        <v>140</v>
      </c>
      <c r="AS50" s="207">
        <v>19</v>
      </c>
      <c r="AT50" s="207" t="s">
        <v>296</v>
      </c>
      <c r="AV50" s="168">
        <f t="shared" si="21"/>
        <v>17</v>
      </c>
      <c r="AW50" s="168">
        <f>COUNTIF( AV$7:AV50, AV50 )</f>
        <v>17</v>
      </c>
      <c r="AX50" s="208">
        <f t="shared" si="22"/>
        <v>18.7</v>
      </c>
      <c r="AY50" s="168">
        <f t="shared" si="23"/>
        <v>33</v>
      </c>
      <c r="AZ50" s="169"/>
      <c r="BA50" s="169"/>
      <c r="BC50" s="168">
        <f t="shared" ca="1" si="24"/>
        <v>44</v>
      </c>
      <c r="BD50" s="209">
        <f t="shared" ca="1" si="6"/>
        <v>22</v>
      </c>
      <c r="BF50" s="173" t="str">
        <f t="shared" ca="1" si="25"/>
        <v>FirstEnergy Corp.</v>
      </c>
      <c r="BG50" s="173" t="str">
        <f t="shared" ca="1" si="25"/>
        <v>BBB-</v>
      </c>
      <c r="BH50" s="173">
        <f t="shared" ca="1" si="25"/>
        <v>17</v>
      </c>
      <c r="BI50" s="173" t="str">
        <f t="shared" ca="1" si="25"/>
        <v>FE</v>
      </c>
    </row>
    <row r="51" spans="1:61" ht="13.8" x14ac:dyDescent="0.25">
      <c r="A51" s="223" t="s">
        <v>279</v>
      </c>
      <c r="B51" s="224" t="s">
        <v>142</v>
      </c>
      <c r="C51" s="224">
        <v>17</v>
      </c>
      <c r="D51" s="224" t="s">
        <v>280</v>
      </c>
      <c r="E51" s="225" t="str">
        <f t="shared" ca="1" si="8"/>
        <v>MR</v>
      </c>
      <c r="F51" s="348"/>
      <c r="G51" s="349">
        <f t="shared" ca="1" si="1"/>
        <v>28</v>
      </c>
      <c r="H51" s="350"/>
      <c r="I51" s="350"/>
      <c r="J51" s="191"/>
      <c r="K51" s="191"/>
      <c r="M51" s="351"/>
      <c r="N51" s="351"/>
      <c r="AF51" s="169">
        <f t="shared" si="2"/>
        <v>1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51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4"/>
        <v/>
      </c>
      <c r="AQ51" s="207" t="s">
        <v>345</v>
      </c>
      <c r="AR51" s="207" t="s">
        <v>139</v>
      </c>
      <c r="AS51" s="207">
        <v>20</v>
      </c>
      <c r="AT51" s="207" t="s">
        <v>346</v>
      </c>
      <c r="AV51" s="168">
        <f t="shared" si="21"/>
        <v>3</v>
      </c>
      <c r="AW51" s="168">
        <f>COUNTIF( AV$7:AV51, AV51 )</f>
        <v>12</v>
      </c>
      <c r="AX51" s="208">
        <f t="shared" si="22"/>
        <v>4.2</v>
      </c>
      <c r="AY51" s="168">
        <f t="shared" si="23"/>
        <v>14</v>
      </c>
      <c r="AZ51" s="169"/>
      <c r="BA51" s="169"/>
      <c r="BC51" s="168">
        <f t="shared" ca="1" si="24"/>
        <v>45</v>
      </c>
      <c r="BD51" s="209">
        <f t="shared" ca="1" si="6"/>
        <v>24</v>
      </c>
      <c r="BF51" s="173" t="str">
        <f t="shared" ca="1" si="25"/>
        <v>Hawaiian Electric Industries, Inc.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HE</v>
      </c>
    </row>
    <row r="52" spans="1:61" ht="13.8" x14ac:dyDescent="0.25">
      <c r="A52" s="223" t="s">
        <v>287</v>
      </c>
      <c r="B52" s="224" t="s">
        <v>142</v>
      </c>
      <c r="C52" s="224">
        <v>17</v>
      </c>
      <c r="D52" s="224" t="s">
        <v>288</v>
      </c>
      <c r="E52" s="225" t="str">
        <f t="shared" ca="1" si="8"/>
        <v>R</v>
      </c>
      <c r="F52" s="348"/>
      <c r="G52" s="349">
        <f t="shared" ca="1" si="1"/>
        <v>57</v>
      </c>
      <c r="H52" s="350"/>
      <c r="I52" s="350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52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354</v>
      </c>
      <c r="AR52" s="207" t="s">
        <v>140</v>
      </c>
      <c r="AS52" s="207">
        <v>19</v>
      </c>
      <c r="AT52" s="207" t="s">
        <v>355</v>
      </c>
      <c r="AV52" s="168">
        <f t="shared" si="21"/>
        <v>17</v>
      </c>
      <c r="AW52" s="168">
        <f>COUNTIF( AV$7:AV52, AV52 )</f>
        <v>18</v>
      </c>
      <c r="AX52" s="208">
        <f t="shared" si="22"/>
        <v>18.8</v>
      </c>
      <c r="AY52" s="168">
        <f t="shared" si="23"/>
        <v>34</v>
      </c>
      <c r="AZ52" s="169"/>
      <c r="BA52" s="169"/>
      <c r="BC52" s="168">
        <f t="shared" ca="1" si="24"/>
        <v>46</v>
      </c>
      <c r="BD52" s="209">
        <f t="shared" ca="1" si="6"/>
        <v>26</v>
      </c>
      <c r="BF52" s="173" t="str">
        <f t="shared" ca="1" si="25"/>
        <v>IPALCO Enterprises, Inc.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**IPALCO</v>
      </c>
    </row>
    <row r="53" spans="1:61" ht="13.8" x14ac:dyDescent="0.25">
      <c r="A53" s="223" t="s">
        <v>305</v>
      </c>
      <c r="B53" s="224" t="s">
        <v>142</v>
      </c>
      <c r="C53" s="224">
        <v>17</v>
      </c>
      <c r="D53" s="224" t="s">
        <v>306</v>
      </c>
      <c r="E53" s="225" t="str">
        <f t="shared" ca="1" si="8"/>
        <v>R</v>
      </c>
      <c r="F53" s="348"/>
      <c r="G53" s="349">
        <f t="shared" ca="1" si="1"/>
        <v>59</v>
      </c>
      <c r="H53" s="350"/>
      <c r="I53" s="350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247</v>
      </c>
      <c r="AR53" s="207" t="s">
        <v>139</v>
      </c>
      <c r="AS53" s="207">
        <v>20</v>
      </c>
      <c r="AT53" s="207" t="s">
        <v>248</v>
      </c>
      <c r="AV53" s="168">
        <f t="shared" si="21"/>
        <v>3</v>
      </c>
      <c r="AW53" s="168">
        <f>COUNTIF( AV$7:AV53, AV53 )</f>
        <v>13</v>
      </c>
      <c r="AX53" s="208">
        <f t="shared" si="22"/>
        <v>4.3</v>
      </c>
      <c r="AY53" s="168">
        <f t="shared" si="23"/>
        <v>15</v>
      </c>
      <c r="AZ53" s="169"/>
      <c r="BA53" s="169"/>
      <c r="BC53" s="168">
        <f t="shared" ca="1" si="24"/>
        <v>47</v>
      </c>
      <c r="BD53" s="209">
        <f t="shared" ca="1" si="6"/>
        <v>40</v>
      </c>
      <c r="BF53" s="173" t="str">
        <f t="shared" ca="1" si="25"/>
        <v>Puget Energy,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**PSD</v>
      </c>
    </row>
    <row r="54" spans="1:61" ht="13.8" x14ac:dyDescent="0.25">
      <c r="A54" s="223" t="s">
        <v>259</v>
      </c>
      <c r="B54" s="224" t="s">
        <v>177</v>
      </c>
      <c r="C54" s="224">
        <v>14</v>
      </c>
      <c r="D54" s="224" t="s">
        <v>260</v>
      </c>
      <c r="E54" s="225" t="str">
        <f t="shared" ca="1" si="8"/>
        <v>MR</v>
      </c>
      <c r="F54" s="348"/>
      <c r="G54" s="349">
        <f t="shared" ca="1" si="1"/>
        <v>55</v>
      </c>
      <c r="H54" s="350"/>
      <c r="I54" s="350"/>
      <c r="J54" s="191"/>
      <c r="K54" s="191"/>
      <c r="AF54" s="169">
        <f t="shared" si="2"/>
        <v>0</v>
      </c>
      <c r="AG54" s="169" t="str">
        <f t="shared" ca="1" si="3"/>
        <v/>
      </c>
      <c r="AH54" s="169" t="str">
        <f t="shared" ca="1" si="18"/>
        <v/>
      </c>
      <c r="AJ54" s="169">
        <f t="shared" ca="1" si="19"/>
        <v>54</v>
      </c>
      <c r="AK54" s="169" t="str">
        <f t="shared" ca="1" si="20"/>
        <v>BB-</v>
      </c>
      <c r="AL54" s="169">
        <f t="shared" ca="1" si="20"/>
        <v>14</v>
      </c>
      <c r="AM54" s="169" t="str">
        <f t="shared" ca="1" si="4"/>
        <v/>
      </c>
      <c r="AQ54" s="207" t="s">
        <v>251</v>
      </c>
      <c r="AR54" s="207" t="s">
        <v>139</v>
      </c>
      <c r="AS54" s="207">
        <v>20</v>
      </c>
      <c r="AT54" s="207" t="s">
        <v>252</v>
      </c>
      <c r="AV54" s="168">
        <f t="shared" si="21"/>
        <v>3</v>
      </c>
      <c r="AW54" s="168">
        <f>COUNTIF( AV$7:AV54, AV54 )</f>
        <v>14</v>
      </c>
      <c r="AX54" s="208">
        <f t="shared" si="22"/>
        <v>4.4000000000000004</v>
      </c>
      <c r="AY54" s="168">
        <f t="shared" si="23"/>
        <v>16</v>
      </c>
      <c r="AZ54" s="169"/>
      <c r="BA54" s="169"/>
      <c r="BC54" s="168">
        <f t="shared" ca="1" si="24"/>
        <v>48</v>
      </c>
      <c r="BD54" s="209">
        <f t="shared" ca="1" si="6"/>
        <v>14</v>
      </c>
      <c r="BF54" s="173" t="str">
        <f t="shared" ca="1" si="25"/>
        <v>DPL Inc.</v>
      </c>
      <c r="BG54" s="173" t="str">
        <f t="shared" ca="1" si="25"/>
        <v>BB-</v>
      </c>
      <c r="BH54" s="173">
        <f t="shared" ca="1" si="25"/>
        <v>14</v>
      </c>
      <c r="BI54" s="173" t="str">
        <f t="shared" ca="1" si="25"/>
        <v>**DPL</v>
      </c>
    </row>
    <row r="55" spans="1:61" ht="13.8" x14ac:dyDescent="0.25">
      <c r="A55" s="223"/>
      <c r="B55" s="224"/>
      <c r="C55" s="224"/>
      <c r="D55" s="224"/>
      <c r="E55" s="225" t="str">
        <f t="shared" ca="1" si="8"/>
        <v/>
      </c>
      <c r="F55" s="348"/>
      <c r="G55" s="349" t="str">
        <f t="shared" ca="1" si="1"/>
        <v/>
      </c>
      <c r="H55" s="350"/>
      <c r="I55" s="350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8"/>
        <v/>
      </c>
      <c r="AJ55" s="169" t="e">
        <f t="shared" ca="1" si="19"/>
        <v>#N/A</v>
      </c>
      <c r="AK55" s="169" t="str">
        <f t="shared" ca="1" si="20"/>
        <v/>
      </c>
      <c r="AL55" s="169" t="str">
        <f t="shared" ca="1" si="20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1"/>
        <v>99</v>
      </c>
      <c r="AW55" s="168">
        <f>COUNTIF( AV$7:AV55, AV55 )</f>
        <v>1</v>
      </c>
      <c r="AX55" s="208">
        <f t="shared" si="22"/>
        <v>99.1</v>
      </c>
      <c r="AY55" s="168">
        <f t="shared" si="23"/>
        <v>49</v>
      </c>
      <c r="AZ55" s="169"/>
      <c r="BA55" s="169"/>
      <c r="BC55" s="168">
        <f t="shared" ca="1" si="24"/>
        <v>49</v>
      </c>
      <c r="BD55" s="209">
        <f t="shared" ca="1" si="6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3.8" x14ac:dyDescent="0.25">
      <c r="A56" s="223"/>
      <c r="B56" s="224"/>
      <c r="C56" s="224"/>
      <c r="D56" s="224"/>
      <c r="E56" s="225"/>
      <c r="F56" s="348"/>
      <c r="G56" s="349" t="str">
        <f t="shared" ca="1" si="1"/>
        <v/>
      </c>
      <c r="H56" s="350"/>
      <c r="I56" s="350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2</v>
      </c>
      <c r="AX56" s="208">
        <f t="shared" si="22"/>
        <v>99.2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8" x14ac:dyDescent="0.25">
      <c r="A57" s="223"/>
      <c r="B57" s="224"/>
      <c r="C57" s="224"/>
      <c r="D57" s="224"/>
      <c r="E57" s="225"/>
      <c r="F57" s="348"/>
      <c r="G57" s="349" t="str">
        <f t="shared" ca="1" si="1"/>
        <v/>
      </c>
      <c r="H57" s="350"/>
      <c r="I57" s="350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3</v>
      </c>
      <c r="AX57" s="208">
        <f t="shared" si="22"/>
        <v>99.3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8" x14ac:dyDescent="0.25">
      <c r="A58" s="223"/>
      <c r="B58" s="224"/>
      <c r="C58" s="224"/>
      <c r="D58" s="224"/>
      <c r="E58" s="225"/>
      <c r="F58" s="348"/>
      <c r="G58" s="349" t="str">
        <f t="shared" ca="1" si="1"/>
        <v/>
      </c>
      <c r="H58" s="350"/>
      <c r="I58" s="350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4</v>
      </c>
      <c r="AX58" s="208">
        <f t="shared" si="22"/>
        <v>99.4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8" x14ac:dyDescent="0.25">
      <c r="A59" s="223"/>
      <c r="B59" s="224"/>
      <c r="C59" s="224"/>
      <c r="D59" s="224"/>
      <c r="E59" s="225" t="str">
        <f t="shared" ca="1" si="8"/>
        <v/>
      </c>
      <c r="F59" s="348"/>
      <c r="G59" s="349" t="str">
        <f t="shared" ca="1" si="1"/>
        <v/>
      </c>
      <c r="H59" s="350"/>
      <c r="I59" s="350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5</v>
      </c>
      <c r="AX59" s="208">
        <f t="shared" si="22"/>
        <v>99.5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" thickBot="1" x14ac:dyDescent="0.3">
      <c r="A60" s="192"/>
      <c r="B60" s="193"/>
      <c r="C60" s="193"/>
      <c r="D60" s="193"/>
      <c r="E60" s="194" t="str">
        <f t="shared" ca="1" si="8"/>
        <v/>
      </c>
      <c r="F60" s="350"/>
      <c r="G60" s="353" t="str">
        <f t="shared" ca="1" si="1"/>
        <v/>
      </c>
      <c r="H60" s="350"/>
      <c r="I60" s="350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6</v>
      </c>
      <c r="AX60" s="208">
        <f t="shared" si="22"/>
        <v>99.6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8" x14ac:dyDescent="0.25">
      <c r="A61" s="226" t="s">
        <v>308</v>
      </c>
      <c r="B61" s="227" t="s">
        <v>162</v>
      </c>
      <c r="C61" s="227">
        <v>23</v>
      </c>
      <c r="D61" s="227" t="s">
        <v>309</v>
      </c>
      <c r="E61" s="228" t="str">
        <f t="shared" ca="1" si="8"/>
        <v>MR</v>
      </c>
      <c r="F61" s="354"/>
      <c r="G61" s="355">
        <f t="shared" ca="1" si="1"/>
        <v>31</v>
      </c>
      <c r="H61" s="350"/>
      <c r="I61" s="350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7</v>
      </c>
      <c r="AX61" s="208">
        <f t="shared" si="22"/>
        <v>99.7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8" x14ac:dyDescent="0.25">
      <c r="A62" s="223"/>
      <c r="B62" s="224"/>
      <c r="C62" s="224"/>
      <c r="D62" s="224"/>
      <c r="E62" s="225"/>
      <c r="F62" s="348"/>
      <c r="G62" s="349" t="str">
        <f t="shared" ca="1" si="1"/>
        <v/>
      </c>
      <c r="H62" s="350"/>
      <c r="I62" s="350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 t="e">
        <f t="shared" ca="1" si="19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8</v>
      </c>
      <c r="AX62" s="208">
        <f t="shared" si="22"/>
        <v>99.8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/>
      <c r="B63" s="229"/>
      <c r="C63" s="224"/>
      <c r="D63" s="224"/>
      <c r="E63" s="225"/>
      <c r="F63" s="348"/>
      <c r="G63" s="349"/>
      <c r="H63" s="350"/>
      <c r="I63" s="350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9</v>
      </c>
      <c r="AX63" s="208">
        <f t="shared" si="22"/>
        <v>99.9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/>
      <c r="B64" s="229"/>
      <c r="C64" s="224"/>
      <c r="D64" s="224"/>
      <c r="E64" s="225"/>
      <c r="F64" s="348"/>
      <c r="G64" s="349"/>
      <c r="H64" s="350"/>
      <c r="I64" s="350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308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58" ht="13.8" x14ac:dyDescent="0.25">
      <c r="A65" s="223"/>
      <c r="B65" s="229"/>
      <c r="C65" s="224"/>
      <c r="D65" s="224"/>
      <c r="E65" s="225"/>
      <c r="F65" s="348"/>
      <c r="G65" s="349"/>
      <c r="H65" s="350"/>
      <c r="I65" s="350"/>
      <c r="N65" s="168" t="s">
        <v>310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3.8" x14ac:dyDescent="0.25">
      <c r="A66" s="195"/>
      <c r="B66" s="196"/>
      <c r="C66" s="185"/>
      <c r="D66" s="185"/>
      <c r="E66" s="182"/>
      <c r="F66" s="350"/>
      <c r="H66" s="350"/>
      <c r="I66" s="350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50"/>
      <c r="H67" s="350"/>
      <c r="I67" s="350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8" x14ac:dyDescent="0.25">
      <c r="A68" s="200" t="s">
        <v>311</v>
      </c>
      <c r="B68" s="189" t="str">
        <f ca="1">OFFSET( Scale!$H$5, ROUND( C68, 0 ) - 1, 1 )</f>
        <v>BBB+</v>
      </c>
      <c r="C68" s="201">
        <f>AVERAGE(C7:C65)</f>
        <v>18.979591836734695</v>
      </c>
      <c r="D68" s="201"/>
      <c r="E68" s="201"/>
      <c r="F68" s="350"/>
      <c r="H68" s="350"/>
      <c r="I68" s="350"/>
      <c r="J68" s="351"/>
      <c r="K68" s="351"/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50"/>
      <c r="H69" s="350"/>
      <c r="I69" s="350"/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1"/>
      <c r="K70" s="351"/>
    </row>
    <row r="71" spans="1:58" x14ac:dyDescent="0.25">
      <c r="A71" s="203" t="s">
        <v>312</v>
      </c>
      <c r="F71" s="173"/>
      <c r="H71" s="173"/>
      <c r="I71" s="173"/>
    </row>
    <row r="72" spans="1:58" x14ac:dyDescent="0.25">
      <c r="A72" s="203" t="s">
        <v>313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314</v>
      </c>
      <c r="B73" s="173"/>
      <c r="D73" s="173"/>
      <c r="E73" s="173"/>
      <c r="F73" s="204"/>
      <c r="H73" s="204"/>
      <c r="I73" s="204"/>
    </row>
    <row r="74" spans="1:58" x14ac:dyDescent="0.25">
      <c r="A74" s="203" t="s">
        <v>315</v>
      </c>
      <c r="D74" s="204"/>
      <c r="F74" s="206"/>
      <c r="H74" s="206"/>
      <c r="I74" s="206"/>
      <c r="AQ74" s="207"/>
      <c r="AR74" s="207"/>
      <c r="AS74" s="207"/>
    </row>
    <row r="75" spans="1:58" x14ac:dyDescent="0.25">
      <c r="A75" s="203" t="s">
        <v>316</v>
      </c>
      <c r="D75" s="204"/>
      <c r="F75" s="206"/>
      <c r="H75" s="206"/>
      <c r="I75" s="206"/>
      <c r="AQ75" s="207"/>
      <c r="AR75" s="207"/>
      <c r="AS75" s="207"/>
    </row>
    <row r="76" spans="1:58" x14ac:dyDescent="0.25">
      <c r="A76" s="203"/>
      <c r="AQ76" s="207"/>
      <c r="AR76" s="207"/>
      <c r="AS76" s="207"/>
    </row>
    <row r="77" spans="1:58" x14ac:dyDescent="0.25">
      <c r="C77" s="190">
        <f>SUMPRODUCT( L8:L13, Y8:Y13 ) / L14</f>
        <v>18.979591836734695</v>
      </c>
      <c r="E77" s="191"/>
      <c r="G77" s="353"/>
      <c r="J77" s="173"/>
      <c r="K77" s="173"/>
      <c r="AQ77" s="207"/>
      <c r="AR77" s="207"/>
      <c r="AS77" s="207"/>
    </row>
    <row r="78" spans="1:58" s="173" customFormat="1" ht="13.8" x14ac:dyDescent="0.2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ref="AQ7:AT5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875" priority="34" stopIfTrue="1">
      <formula>IF( $AH7 = 1, TRUE, FALSE )</formula>
    </cfRule>
    <cfRule type="expression" dxfId="874" priority="35" stopIfTrue="1">
      <formula>IF( $AG7 = 1, TRUE, FALSE )</formula>
    </cfRule>
    <cfRule type="expression" dxfId="873" priority="36" stopIfTrue="1">
      <formula>IF( $AF7 = 1, TRUE, FALSE )</formula>
    </cfRule>
  </conditionalFormatting>
  <conditionalFormatting sqref="A67:E67">
    <cfRule type="expression" dxfId="872" priority="37" stopIfTrue="1">
      <formula>IF( $AH67 = 1, TRUE, FALSE )</formula>
    </cfRule>
    <cfRule type="expression" dxfId="871" priority="38" stopIfTrue="1">
      <formula>IF( $AG67 = 1, TRUE, FALSE )</formula>
    </cfRule>
    <cfRule type="expression" dxfId="870" priority="39" stopIfTrue="1">
      <formula>IF( $AF67 = 1, TRUE, FALSE )</formula>
    </cfRule>
  </conditionalFormatting>
  <conditionalFormatting sqref="A66:E66">
    <cfRule type="expression" dxfId="869" priority="31" stopIfTrue="1">
      <formula>IF( $AH66 = 1, TRUE, FALSE )</formula>
    </cfRule>
    <cfRule type="expression" dxfId="868" priority="32" stopIfTrue="1">
      <formula>IF( $AG66 = 1, TRUE, FALSE )</formula>
    </cfRule>
    <cfRule type="expression" dxfId="867" priority="33" stopIfTrue="1">
      <formula>IF( $AF66 = 1, TRUE, FALSE )</formula>
    </cfRule>
  </conditionalFormatting>
  <conditionalFormatting sqref="A8:D33 B7:D7 A35:D58">
    <cfRule type="expression" dxfId="866" priority="28" stopIfTrue="1">
      <formula>IF( $AH7 = 1, TRUE, FALSE )</formula>
    </cfRule>
    <cfRule type="expression" dxfId="865" priority="29" stopIfTrue="1">
      <formula>IF( $AG7 = 1, TRUE, FALSE )</formula>
    </cfRule>
    <cfRule type="expression" dxfId="864" priority="30" stopIfTrue="1">
      <formula>IF( $AF7 = 1, TRUE, FALSE )</formula>
    </cfRule>
  </conditionalFormatting>
  <conditionalFormatting sqref="A59:D59">
    <cfRule type="expression" dxfId="863" priority="25" stopIfTrue="1">
      <formula>IF( $AH59 = 1, TRUE, FALSE )</formula>
    </cfRule>
    <cfRule type="expression" dxfId="862" priority="26" stopIfTrue="1">
      <formula>IF( $AG59 = 1, TRUE, FALSE )</formula>
    </cfRule>
    <cfRule type="expression" dxfId="861" priority="27" stopIfTrue="1">
      <formula>IF( $AF59 = 1, TRUE, FALSE )</formula>
    </cfRule>
  </conditionalFormatting>
  <conditionalFormatting sqref="A61:D65">
    <cfRule type="expression" dxfId="860" priority="22" stopIfTrue="1">
      <formula>IF( $AH61 = 1, TRUE, FALSE )</formula>
    </cfRule>
    <cfRule type="expression" dxfId="859" priority="23" stopIfTrue="1">
      <formula>IF( $AG61 = 1, TRUE, FALSE )</formula>
    </cfRule>
    <cfRule type="expression" dxfId="858" priority="24" stopIfTrue="1">
      <formula>IF( $AF61 = 1, TRUE, FALSE )</formula>
    </cfRule>
  </conditionalFormatting>
  <conditionalFormatting sqref="U8:U12">
    <cfRule type="cellIs" dxfId="857" priority="21" operator="equal">
      <formula>0</formula>
    </cfRule>
  </conditionalFormatting>
  <conditionalFormatting sqref="O8:O12 Q8:Q12">
    <cfRule type="cellIs" dxfId="856" priority="20" operator="equal">
      <formula>0</formula>
    </cfRule>
  </conditionalFormatting>
  <conditionalFormatting sqref="V8:V12">
    <cfRule type="cellIs" dxfId="855" priority="19" operator="equal">
      <formula>0</formula>
    </cfRule>
  </conditionalFormatting>
  <conditionalFormatting sqref="S8:S12">
    <cfRule type="cellIs" dxfId="854" priority="17" operator="equal">
      <formula>0</formula>
    </cfRule>
  </conditionalFormatting>
  <conditionalFormatting sqref="R8:R12">
    <cfRule type="cellIs" dxfId="853" priority="18" operator="equal">
      <formula>0</formula>
    </cfRule>
  </conditionalFormatting>
  <conditionalFormatting sqref="P8:P12">
    <cfRule type="cellIs" dxfId="852" priority="16" operator="equal">
      <formula>0</formula>
    </cfRule>
  </conditionalFormatting>
  <conditionalFormatting sqref="M8:M12">
    <cfRule type="cellIs" dxfId="851" priority="15" operator="equal">
      <formula>0</formula>
    </cfRule>
  </conditionalFormatting>
  <conditionalFormatting sqref="T8:T12">
    <cfRule type="cellIs" dxfId="850" priority="14" operator="equal">
      <formula>0</formula>
    </cfRule>
  </conditionalFormatting>
  <conditionalFormatting sqref="N8:N12">
    <cfRule type="cellIs" dxfId="849" priority="13" operator="equal">
      <formula>0</formula>
    </cfRule>
  </conditionalFormatting>
  <conditionalFormatting sqref="K8:K12">
    <cfRule type="cellIs" dxfId="848" priority="12" operator="equal">
      <formula>0</formula>
    </cfRule>
  </conditionalFormatting>
  <conditionalFormatting sqref="I8:I12">
    <cfRule type="cellIs" dxfId="847" priority="11" operator="equal">
      <formula>0</formula>
    </cfRule>
  </conditionalFormatting>
  <conditionalFormatting sqref="W8:W12">
    <cfRule type="cellIs" dxfId="846" priority="10" operator="equal">
      <formula>0</formula>
    </cfRule>
  </conditionalFormatting>
  <conditionalFormatting sqref="A7">
    <cfRule type="expression" dxfId="845" priority="7" stopIfTrue="1">
      <formula>IF( $AH7 = 1, TRUE, FALSE )</formula>
    </cfRule>
    <cfRule type="expression" dxfId="844" priority="8" stopIfTrue="1">
      <formula>IF( $AG7 = 1, TRUE, FALSE )</formula>
    </cfRule>
    <cfRule type="expression" dxfId="843" priority="9" stopIfTrue="1">
      <formula>IF( $AF7 = 1, TRUE, FALSE )</formula>
    </cfRule>
  </conditionalFormatting>
  <conditionalFormatting sqref="A34:D34">
    <cfRule type="expression" dxfId="842" priority="1" stopIfTrue="1">
      <formula>IF( $AH34 = 1, TRUE, FALSE )</formula>
    </cfRule>
    <cfRule type="expression" dxfId="841" priority="2" stopIfTrue="1">
      <formula>IF( $AG34 = 1, TRUE, FALSE )</formula>
    </cfRule>
    <cfRule type="expression" dxfId="840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hidden="1" customWidth="1" outlineLevel="1"/>
    <col min="23" max="23" width="2" style="168" hidden="1" customWidth="1" outlineLevel="1"/>
    <col min="24" max="24" width="4.109375" style="168" customWidth="1" collapsed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15.88671875" style="169" hidden="1" customWidth="1" outlineLevel="1" collapsed="1"/>
    <col min="37" max="38" width="15.88671875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-- 2017 Q1</v>
      </c>
      <c r="G1" s="175" t="s">
        <v>195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 x14ac:dyDescent="0.25">
      <c r="A2" s="167"/>
      <c r="E2" s="171" t="str">
        <f>G2</f>
        <v>Reg_Percent_2016</v>
      </c>
      <c r="G2" s="172" t="s">
        <v>356</v>
      </c>
      <c r="AJ2" s="173" t="str">
        <f>AJ4 &amp; AJ3</f>
        <v>'Credit_2016Q4'!d:d</v>
      </c>
      <c r="AK2" s="173" t="str">
        <f>AK4 &amp; AK3</f>
        <v>'Credit_2016Q4'!b1</v>
      </c>
      <c r="AL2" s="173" t="str">
        <f>AL4 &amp; AL3</f>
        <v>'Credit_2016Q4'!c1</v>
      </c>
      <c r="AQ2" s="169"/>
    </row>
    <row r="3" spans="1:61" ht="18" hidden="1" outlineLevel="1" x14ac:dyDescent="0.25">
      <c r="A3" s="167"/>
      <c r="E3" s="174" t="str">
        <f>"'" &amp; E2 &amp; "'!"</f>
        <v>'Reg_Percent_2016'!</v>
      </c>
      <c r="G3" s="168" t="str">
        <f>"'" &amp; G2 &amp; "'!"</f>
        <v>'Reg_Percent_2016'!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205</v>
      </c>
      <c r="AK3" s="149" t="s">
        <v>206</v>
      </c>
      <c r="AL3" s="149" t="s">
        <v>207</v>
      </c>
      <c r="AQ3" s="169"/>
    </row>
    <row r="4" spans="1:61" ht="18" hidden="1" outlineLevel="1" x14ac:dyDescent="0.25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>$AQ$5</f>
        <v>'Credit_2016Q4'!</v>
      </c>
      <c r="AK4" s="169" t="str">
        <f t="shared" ref="AK4:AL4" si="0">$AQ$5</f>
        <v>'Credit_2016Q4'!</v>
      </c>
      <c r="AL4" s="169" t="str">
        <f t="shared" si="0"/>
        <v>'Credit_2016Q4'!</v>
      </c>
      <c r="AQ4" s="169"/>
    </row>
    <row r="5" spans="1:61" ht="13.8" collapsed="1" x14ac:dyDescent="0.25">
      <c r="E5" s="176" t="s">
        <v>209</v>
      </c>
      <c r="G5" s="170" t="s">
        <v>199</v>
      </c>
      <c r="I5" s="230"/>
      <c r="J5" s="389" t="s">
        <v>210</v>
      </c>
      <c r="K5" s="230"/>
      <c r="L5" s="391" t="str">
        <f>"All Companies" &amp; CHAR( 10 ) &amp; "("&amp; L14 &amp; ")"</f>
        <v>All Companies
(49)</v>
      </c>
      <c r="M5" s="391"/>
      <c r="N5" s="230"/>
      <c r="O5" s="389" t="str">
        <f ca="1">"Regulated" &amp; CHAR( 10 ) &amp; "(" &amp; O14 &amp; ")"</f>
        <v>Regulated
(35)</v>
      </c>
      <c r="P5" s="393"/>
      <c r="Q5" s="230"/>
      <c r="R5" s="389" t="str">
        <f ca="1">"Mostly Regulated" &amp; CHAR( 10 ) &amp; "(" &amp; R14 &amp; ")"</f>
        <v>Mostly Regulated
(14)</v>
      </c>
      <c r="S5" s="393"/>
      <c r="T5" s="230"/>
      <c r="U5" s="389" t="str">
        <f ca="1">"Diversified" &amp; CHAR( 10 ) &amp; "(" &amp; U14 &amp; ")"</f>
        <v>Diversified
(0)</v>
      </c>
      <c r="V5" s="393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364</v>
      </c>
    </row>
    <row r="6" spans="1:61" ht="28.5" customHeight="1" x14ac:dyDescent="0.25">
      <c r="A6" s="219" t="s">
        <v>212</v>
      </c>
      <c r="B6" s="220" t="s">
        <v>68</v>
      </c>
      <c r="C6" s="249" t="s">
        <v>214</v>
      </c>
      <c r="D6" s="221"/>
      <c r="E6" s="222">
        <f ca="1">INDIRECT( E3 &amp; G1 )</f>
        <v>42735</v>
      </c>
      <c r="I6" s="231"/>
      <c r="J6" s="390"/>
      <c r="K6" s="231"/>
      <c r="L6" s="392"/>
      <c r="M6" s="392"/>
      <c r="N6" s="231"/>
      <c r="O6" s="390"/>
      <c r="P6" s="390"/>
      <c r="Q6" s="231"/>
      <c r="R6" s="390" t="s">
        <v>136</v>
      </c>
      <c r="S6" s="390"/>
      <c r="T6" s="231"/>
      <c r="U6" s="390"/>
      <c r="V6" s="390"/>
      <c r="W6" s="231"/>
      <c r="AE6" s="178"/>
      <c r="AJ6" s="179"/>
    </row>
    <row r="7" spans="1:61" ht="13.8" x14ac:dyDescent="0.25">
      <c r="A7" s="223" t="s">
        <v>215</v>
      </c>
      <c r="B7" s="224" t="s">
        <v>166</v>
      </c>
      <c r="C7" s="224">
        <v>21</v>
      </c>
      <c r="D7" s="224" t="s">
        <v>216</v>
      </c>
      <c r="E7" s="225" t="str">
        <f ca="1">IF( LEN( $G7 ) = 0, "", OFFSET( INDIRECT( E$3 &amp; E$4 ), $G7 - 1, 0 ) )</f>
        <v>R</v>
      </c>
      <c r="F7" s="348"/>
      <c r="G7" s="349">
        <f t="shared" ref="G7:G62" ca="1" si="1">IF( LEN( $D7 ) = 0, "", MATCH( $D7, INDIRECT( G$3 &amp; G$4 ), 0 ) )</f>
        <v>58</v>
      </c>
      <c r="H7" s="350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217</v>
      </c>
      <c r="AR7" s="207" t="s">
        <v>140</v>
      </c>
      <c r="AS7" s="207">
        <v>19</v>
      </c>
      <c r="AT7" s="207" t="s">
        <v>218</v>
      </c>
      <c r="AV7" s="168">
        <f>IF( LEN( AS7 ) = 0, 99, RANK( AS7, $AS$7:$AS$63 ) )</f>
        <v>16</v>
      </c>
      <c r="AW7" s="168">
        <f>COUNTIF( AV7:AV$7, AV7 )</f>
        <v>1</v>
      </c>
      <c r="AX7" s="208">
        <f>AV7 + AW7 / 10</f>
        <v>16.100000000000001</v>
      </c>
      <c r="AY7" s="168">
        <f>RANK( AX7, $AX$7:$AX$63, 1 )</f>
        <v>16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7</v>
      </c>
      <c r="BF7" s="173" t="str">
        <f t="shared" ref="BF7:BI38" ca="1" si="7">OFFSET( AQ$6, $BD7, 0 )</f>
        <v>Berkshire Energy Holdings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**BRK</v>
      </c>
    </row>
    <row r="8" spans="1:61" ht="13.8" x14ac:dyDescent="0.25">
      <c r="A8" s="223" t="s">
        <v>235</v>
      </c>
      <c r="B8" s="224" t="s">
        <v>166</v>
      </c>
      <c r="C8" s="224">
        <v>21</v>
      </c>
      <c r="D8" s="224" t="s">
        <v>236</v>
      </c>
      <c r="E8" s="225" t="str">
        <f t="shared" ref="E8:E61" ca="1" si="8">IF( LEN( $G8 ) = 0, "", OFFSET( INDIRECT( E$3 &amp; E$4 ), $G8 - 1, 0 ) )</f>
        <v>R</v>
      </c>
      <c r="F8" s="348"/>
      <c r="G8" s="349">
        <f t="shared" ca="1" si="1"/>
        <v>24</v>
      </c>
      <c r="H8" s="350"/>
      <c r="I8" s="233"/>
      <c r="J8" s="213" t="s">
        <v>137</v>
      </c>
      <c r="K8" s="233"/>
      <c r="L8" s="213">
        <f t="shared" ref="L8:L13" si="9">COUNTIF($C$7:$C$67,$X8)</f>
        <v>3</v>
      </c>
      <c r="M8" s="214">
        <f t="shared" ref="M8:M13" si="10">IF( L8 = 0, "", L8/L$14 )</f>
        <v>6.1224489795918366E-2</v>
      </c>
      <c r="N8" s="233"/>
      <c r="O8" s="213">
        <f t="shared" ref="O8:O13" ca="1" si="11">COUNTIFS( $E$7:$E$66, O$3, $C$7:$C$66, $X8 )</f>
        <v>2</v>
      </c>
      <c r="P8" s="214">
        <f t="shared" ref="P8:P13" ca="1" si="12">IF( O8 = 0, "", O8/O$14 )</f>
        <v>5.7142857142857141E-2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7.1428571428571425E-2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7">SUM(O8, R8, U8)</f>
        <v>3</v>
      </c>
      <c r="AC8" s="351"/>
      <c r="AE8" s="184"/>
      <c r="AF8" s="169">
        <f t="shared" si="2"/>
        <v>1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20</v>
      </c>
      <c r="BF8" s="173" t="str">
        <f t="shared" ca="1" si="7"/>
        <v>Eversource Energy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ES</v>
      </c>
    </row>
    <row r="9" spans="1:61" ht="13.8" x14ac:dyDescent="0.25">
      <c r="A9" s="223" t="s">
        <v>219</v>
      </c>
      <c r="B9" s="224" t="s">
        <v>139</v>
      </c>
      <c r="C9" s="224">
        <v>20</v>
      </c>
      <c r="D9" s="224" t="s">
        <v>220</v>
      </c>
      <c r="E9" s="225" t="str">
        <f t="shared" ca="1" si="8"/>
        <v>R</v>
      </c>
      <c r="F9" s="348"/>
      <c r="G9" s="349">
        <f t="shared" ca="1" si="1"/>
        <v>8</v>
      </c>
      <c r="H9" s="350"/>
      <c r="I9" s="234"/>
      <c r="J9" s="215" t="s">
        <v>139</v>
      </c>
      <c r="K9" s="234"/>
      <c r="L9" s="215">
        <f t="shared" si="9"/>
        <v>13</v>
      </c>
      <c r="M9" s="216">
        <f t="shared" si="10"/>
        <v>0.26530612244897961</v>
      </c>
      <c r="N9" s="234"/>
      <c r="O9" s="215">
        <f t="shared" ca="1" si="11"/>
        <v>11</v>
      </c>
      <c r="P9" s="216">
        <f t="shared" ca="1" si="12"/>
        <v>0.31428571428571428</v>
      </c>
      <c r="Q9" s="234"/>
      <c r="R9" s="215">
        <f t="shared" ca="1" si="13"/>
        <v>2</v>
      </c>
      <c r="S9" s="216">
        <f t="shared" ca="1" si="14"/>
        <v>0.14285714285714285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7"/>
        <v>13</v>
      </c>
      <c r="AC9" s="351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si="21"/>
        <v>16</v>
      </c>
      <c r="AW9" s="168">
        <f>COUNTIF( AV$7:AV9, AV9 )</f>
        <v>2</v>
      </c>
      <c r="AX9" s="208">
        <f t="shared" si="22"/>
        <v>16.2</v>
      </c>
      <c r="AY9" s="168">
        <f t="shared" si="23"/>
        <v>17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ht="13.8" x14ac:dyDescent="0.25">
      <c r="A10" s="223" t="s">
        <v>222</v>
      </c>
      <c r="B10" s="224" t="s">
        <v>139</v>
      </c>
      <c r="C10" s="224">
        <v>20</v>
      </c>
      <c r="D10" s="224" t="s">
        <v>223</v>
      </c>
      <c r="E10" s="225" t="str">
        <f t="shared" ca="1" si="8"/>
        <v>R</v>
      </c>
      <c r="F10" s="348"/>
      <c r="G10" s="349">
        <f t="shared" ca="1" si="1"/>
        <v>10</v>
      </c>
      <c r="H10" s="350"/>
      <c r="I10" s="234"/>
      <c r="J10" s="215" t="s">
        <v>140</v>
      </c>
      <c r="K10" s="234"/>
      <c r="L10" s="215">
        <f t="shared" si="9"/>
        <v>19</v>
      </c>
      <c r="M10" s="216">
        <f t="shared" si="10"/>
        <v>0.38775510204081631</v>
      </c>
      <c r="N10" s="234"/>
      <c r="O10" s="215">
        <f t="shared" ca="1" si="11"/>
        <v>11</v>
      </c>
      <c r="P10" s="216">
        <f t="shared" ca="1" si="12"/>
        <v>0.31428571428571428</v>
      </c>
      <c r="Q10" s="234"/>
      <c r="R10" s="215">
        <f t="shared" ca="1" si="13"/>
        <v>8</v>
      </c>
      <c r="S10" s="216">
        <f t="shared" ca="1" si="14"/>
        <v>0.5714285714285714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229</v>
      </c>
      <c r="Y10" s="186">
        <v>19</v>
      </c>
      <c r="Z10" s="186">
        <v>1</v>
      </c>
      <c r="AA10" s="185">
        <f t="shared" ca="1" si="17"/>
        <v>19</v>
      </c>
      <c r="AE10" s="184"/>
      <c r="AF10" s="169">
        <f t="shared" si="2"/>
        <v>0</v>
      </c>
      <c r="AG10" s="169">
        <f t="shared" ca="1" si="3"/>
        <v>1</v>
      </c>
      <c r="AH10" s="169" t="str">
        <f t="shared" ca="1" si="18"/>
        <v/>
      </c>
      <c r="AJ10" s="169">
        <f t="shared" ca="1" si="19"/>
        <v>23</v>
      </c>
      <c r="AK10" s="169" t="str">
        <f t="shared" ca="1" si="20"/>
        <v>BBB+</v>
      </c>
      <c r="AL10" s="169">
        <f t="shared" ca="1" si="20"/>
        <v>19</v>
      </c>
      <c r="AM10" s="169" t="str">
        <f t="shared" ca="1" si="4"/>
        <v>Change</v>
      </c>
      <c r="AQ10" s="207" t="s">
        <v>222</v>
      </c>
      <c r="AR10" s="207" t="s">
        <v>139</v>
      </c>
      <c r="AS10" s="207">
        <v>20</v>
      </c>
      <c r="AT10" s="207" t="s">
        <v>223</v>
      </c>
      <c r="AV10" s="168">
        <f t="shared" si="21"/>
        <v>3</v>
      </c>
      <c r="AW10" s="168">
        <f>COUNTIF( AV$7:AV10, AV10 )</f>
        <v>2</v>
      </c>
      <c r="AX10" s="208">
        <f t="shared" si="22"/>
        <v>3.2</v>
      </c>
      <c r="AY10" s="168">
        <f t="shared" si="23"/>
        <v>4</v>
      </c>
      <c r="AZ10" s="169"/>
      <c r="BA10" s="169"/>
      <c r="BC10" s="168">
        <f t="shared" ca="1" si="24"/>
        <v>4</v>
      </c>
      <c r="BD10" s="209">
        <f t="shared" ca="1" si="6"/>
        <v>4</v>
      </c>
      <c r="BF10" s="173" t="str">
        <f t="shared" ca="1" si="7"/>
        <v>American Electric Power Company,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AEP</v>
      </c>
    </row>
    <row r="11" spans="1:61" ht="13.8" x14ac:dyDescent="0.25">
      <c r="A11" s="223" t="s">
        <v>249</v>
      </c>
      <c r="B11" s="224" t="s">
        <v>139</v>
      </c>
      <c r="C11" s="224">
        <v>20</v>
      </c>
      <c r="D11" s="224" t="s">
        <v>250</v>
      </c>
      <c r="E11" s="225" t="str">
        <f t="shared" ca="1" si="8"/>
        <v>MR</v>
      </c>
      <c r="F11" s="348"/>
      <c r="G11" s="349">
        <f t="shared" ca="1" si="1"/>
        <v>14</v>
      </c>
      <c r="H11" s="350"/>
      <c r="I11" s="234"/>
      <c r="J11" s="215" t="s">
        <v>141</v>
      </c>
      <c r="K11" s="234"/>
      <c r="L11" s="215">
        <f t="shared" si="9"/>
        <v>8</v>
      </c>
      <c r="M11" s="216">
        <f t="shared" si="10"/>
        <v>0.16326530612244897</v>
      </c>
      <c r="N11" s="234"/>
      <c r="O11" s="215">
        <f t="shared" ca="1" si="11"/>
        <v>7</v>
      </c>
      <c r="P11" s="216">
        <f t="shared" ca="1" si="12"/>
        <v>0.2</v>
      </c>
      <c r="Q11" s="234"/>
      <c r="R11" s="215">
        <f t="shared" ca="1" si="13"/>
        <v>1</v>
      </c>
      <c r="S11" s="216">
        <f t="shared" ca="1" si="14"/>
        <v>7.1428571428571425E-2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7"/>
        <v>8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10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233</v>
      </c>
      <c r="AR11" s="207" t="s">
        <v>140</v>
      </c>
      <c r="AS11" s="207">
        <v>19</v>
      </c>
      <c r="AT11" s="207" t="s">
        <v>234</v>
      </c>
      <c r="AV11" s="168">
        <f t="shared" si="21"/>
        <v>16</v>
      </c>
      <c r="AW11" s="168">
        <f>COUNTIF( AV$7:AV11, AV11 )</f>
        <v>3</v>
      </c>
      <c r="AX11" s="208">
        <f t="shared" si="22"/>
        <v>16.3</v>
      </c>
      <c r="AY11" s="168">
        <f t="shared" si="23"/>
        <v>18</v>
      </c>
      <c r="AZ11" s="169"/>
      <c r="BA11" s="169"/>
      <c r="BC11" s="168">
        <f t="shared" ca="1" si="24"/>
        <v>5</v>
      </c>
      <c r="BD11" s="209">
        <f t="shared" ca="1" si="6"/>
        <v>9</v>
      </c>
      <c r="BF11" s="173" t="str">
        <f t="shared" ca="1" si="7"/>
        <v>CenterPoint Energy,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CNP</v>
      </c>
    </row>
    <row r="12" spans="1:61" ht="13.8" x14ac:dyDescent="0.25">
      <c r="A12" s="223" t="s">
        <v>227</v>
      </c>
      <c r="B12" s="224" t="s">
        <v>139</v>
      </c>
      <c r="C12" s="224">
        <v>20</v>
      </c>
      <c r="D12" s="224" t="s">
        <v>228</v>
      </c>
      <c r="E12" s="225" t="str">
        <f t="shared" ca="1" si="8"/>
        <v>R</v>
      </c>
      <c r="F12" s="348"/>
      <c r="G12" s="349">
        <f t="shared" ca="1" si="1"/>
        <v>16</v>
      </c>
      <c r="H12" s="350"/>
      <c r="I12" s="234"/>
      <c r="J12" s="215" t="s">
        <v>142</v>
      </c>
      <c r="K12" s="234"/>
      <c r="L12" s="215">
        <f t="shared" si="9"/>
        <v>5</v>
      </c>
      <c r="M12" s="216">
        <f t="shared" si="10"/>
        <v>0.10204081632653061</v>
      </c>
      <c r="N12" s="234"/>
      <c r="O12" s="215">
        <f t="shared" ca="1" si="11"/>
        <v>4</v>
      </c>
      <c r="P12" s="216">
        <f t="shared" ca="1" si="12"/>
        <v>0.11428571428571428</v>
      </c>
      <c r="Q12" s="234"/>
      <c r="R12" s="215">
        <f t="shared" ca="1" si="13"/>
        <v>1</v>
      </c>
      <c r="S12" s="216">
        <f t="shared" ca="1" si="14"/>
        <v>7.1428571428571425E-2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237</v>
      </c>
      <c r="Y12" s="186">
        <v>17</v>
      </c>
      <c r="Z12" s="186">
        <v>1</v>
      </c>
      <c r="AA12" s="185">
        <f t="shared" ca="1" si="17"/>
        <v>5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11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238</v>
      </c>
      <c r="AR12" s="207" t="s">
        <v>141</v>
      </c>
      <c r="AS12" s="207">
        <v>18</v>
      </c>
      <c r="AT12" s="207" t="s">
        <v>239</v>
      </c>
      <c r="AV12" s="168">
        <f t="shared" si="21"/>
        <v>35</v>
      </c>
      <c r="AW12" s="168">
        <f>COUNTIF( AV$7:AV12, AV12 )</f>
        <v>1</v>
      </c>
      <c r="AX12" s="208">
        <f t="shared" si="22"/>
        <v>35.1</v>
      </c>
      <c r="AY12" s="168">
        <f t="shared" si="23"/>
        <v>35</v>
      </c>
      <c r="AZ12" s="169"/>
      <c r="BA12" s="169"/>
      <c r="BC12" s="168">
        <f t="shared" ca="1" si="24"/>
        <v>6</v>
      </c>
      <c r="BD12" s="209">
        <f t="shared" ca="1" si="6"/>
        <v>12</v>
      </c>
      <c r="BF12" s="173" t="str">
        <f t="shared" ca="1" si="7"/>
        <v>Consolidated Edison,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ED</v>
      </c>
    </row>
    <row r="13" spans="1:61" ht="13.8" x14ac:dyDescent="0.25">
      <c r="A13" s="223" t="s">
        <v>263</v>
      </c>
      <c r="B13" s="224" t="s">
        <v>139</v>
      </c>
      <c r="C13" s="224">
        <v>20</v>
      </c>
      <c r="D13" s="224" t="s">
        <v>264</v>
      </c>
      <c r="E13" s="225" t="str">
        <f t="shared" ca="1" si="8"/>
        <v>R</v>
      </c>
      <c r="F13" s="348"/>
      <c r="G13" s="349">
        <f t="shared" ca="1" si="1"/>
        <v>19</v>
      </c>
      <c r="H13" s="350"/>
      <c r="I13" s="235"/>
      <c r="J13" s="217" t="s">
        <v>143</v>
      </c>
      <c r="K13" s="235"/>
      <c r="L13" s="217">
        <f t="shared" si="9"/>
        <v>1</v>
      </c>
      <c r="M13" s="218">
        <f t="shared" si="10"/>
        <v>2.0408163265306121E-2</v>
      </c>
      <c r="N13" s="235"/>
      <c r="O13" s="217">
        <f t="shared" ca="1" si="11"/>
        <v>0</v>
      </c>
      <c r="P13" s="218" t="str">
        <f t="shared" ca="1" si="12"/>
        <v/>
      </c>
      <c r="Q13" s="235"/>
      <c r="R13" s="217">
        <f t="shared" ca="1" si="13"/>
        <v>1</v>
      </c>
      <c r="S13" s="218">
        <f t="shared" ca="1" si="14"/>
        <v>7.1428571428571425E-2</v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242</v>
      </c>
      <c r="Y13" s="186">
        <v>16</v>
      </c>
      <c r="Z13" s="186">
        <v>1</v>
      </c>
      <c r="AA13" s="188">
        <f t="shared" ca="1" si="17"/>
        <v>1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12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215</v>
      </c>
      <c r="AR13" s="207" t="s">
        <v>166</v>
      </c>
      <c r="AS13" s="207">
        <v>21</v>
      </c>
      <c r="AT13" s="207" t="s">
        <v>216</v>
      </c>
      <c r="AV13" s="168">
        <f t="shared" si="21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23"/>
        <v>1</v>
      </c>
      <c r="AZ13" s="169"/>
      <c r="BA13" s="169"/>
      <c r="BC13" s="168">
        <f t="shared" ca="1" si="24"/>
        <v>7</v>
      </c>
      <c r="BD13" s="209">
        <f t="shared" ca="1" si="6"/>
        <v>16</v>
      </c>
      <c r="BF13" s="173" t="str">
        <f t="shared" ca="1" si="7"/>
        <v>Duke Energy Corporation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DUK</v>
      </c>
    </row>
    <row r="14" spans="1:61" ht="13.8" x14ac:dyDescent="0.25">
      <c r="A14" s="223" t="s">
        <v>240</v>
      </c>
      <c r="B14" s="224" t="s">
        <v>139</v>
      </c>
      <c r="C14" s="224">
        <v>20</v>
      </c>
      <c r="D14" s="224" t="s">
        <v>241</v>
      </c>
      <c r="E14" s="225" t="str">
        <f t="shared" ca="1" si="8"/>
        <v>MR</v>
      </c>
      <c r="F14" s="348"/>
      <c r="G14" s="349">
        <f t="shared" ca="1" si="1"/>
        <v>32</v>
      </c>
      <c r="H14" s="350"/>
      <c r="I14" s="236"/>
      <c r="J14" s="211" t="s">
        <v>144</v>
      </c>
      <c r="K14" s="236"/>
      <c r="L14" s="211">
        <f>SUM(L8:L13)</f>
        <v>49</v>
      </c>
      <c r="M14" s="212">
        <f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14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18.959183673469386</v>
      </c>
      <c r="Z14" s="190"/>
      <c r="AA14" s="189">
        <f ca="1">SUM(AA8:AA13)</f>
        <v>49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13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245</v>
      </c>
      <c r="AR14" s="207" t="s">
        <v>141</v>
      </c>
      <c r="AS14" s="207">
        <v>18</v>
      </c>
      <c r="AT14" s="207" t="s">
        <v>246</v>
      </c>
      <c r="AV14" s="168">
        <f>IF( LEN( AS14 ) = 0, 99, RANK( AS14, $AS$7:$AS$63 ) )</f>
        <v>35</v>
      </c>
      <c r="AW14" s="168">
        <f>COUNTIF( AV$7:AV14, AV14 )</f>
        <v>2</v>
      </c>
      <c r="AX14" s="208">
        <f t="shared" si="22"/>
        <v>35.200000000000003</v>
      </c>
      <c r="AY14" s="168">
        <f t="shared" si="23"/>
        <v>36</v>
      </c>
      <c r="AZ14" s="169"/>
      <c r="BA14" s="169"/>
      <c r="BC14" s="168">
        <f t="shared" ca="1" si="24"/>
        <v>8</v>
      </c>
      <c r="BD14" s="209">
        <f t="shared" ca="1" si="6"/>
        <v>28</v>
      </c>
      <c r="BF14" s="173" t="str">
        <f t="shared" ca="1" si="7"/>
        <v>NextEra Energy,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NEE</v>
      </c>
    </row>
    <row r="15" spans="1:61" ht="13.8" x14ac:dyDescent="0.25">
      <c r="A15" s="223" t="s">
        <v>277</v>
      </c>
      <c r="B15" s="224" t="s">
        <v>139</v>
      </c>
      <c r="C15" s="224">
        <v>20</v>
      </c>
      <c r="D15" s="224" t="s">
        <v>278</v>
      </c>
      <c r="E15" s="225" t="str">
        <f t="shared" ca="1" si="8"/>
        <v>R</v>
      </c>
      <c r="F15" s="348"/>
      <c r="G15" s="349">
        <f t="shared" ca="1" si="1"/>
        <v>35</v>
      </c>
      <c r="H15" s="350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14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249</v>
      </c>
      <c r="AR15" s="207" t="s">
        <v>139</v>
      </c>
      <c r="AS15" s="207">
        <v>20</v>
      </c>
      <c r="AT15" s="207" t="s">
        <v>250</v>
      </c>
      <c r="AV15" s="168">
        <f t="shared" si="21"/>
        <v>3</v>
      </c>
      <c r="AW15" s="168">
        <f>COUNTIF( AV$7:AV15, AV15 )</f>
        <v>3</v>
      </c>
      <c r="AX15" s="208">
        <f t="shared" si="22"/>
        <v>3.3</v>
      </c>
      <c r="AY15" s="168">
        <f t="shared" si="23"/>
        <v>5</v>
      </c>
      <c r="AZ15" s="169"/>
      <c r="BA15" s="169"/>
      <c r="BC15" s="168">
        <f t="shared" ca="1" si="24"/>
        <v>9</v>
      </c>
      <c r="BD15" s="209">
        <f t="shared" ca="1" si="6"/>
        <v>31</v>
      </c>
      <c r="BF15" s="173" t="str">
        <f t="shared" ca="1" si="7"/>
        <v>OGE Energy Corp.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OGE</v>
      </c>
    </row>
    <row r="16" spans="1:61" ht="13.8" x14ac:dyDescent="0.25">
      <c r="A16" s="223" t="s">
        <v>281</v>
      </c>
      <c r="B16" s="224" t="s">
        <v>139</v>
      </c>
      <c r="C16" s="224">
        <v>20</v>
      </c>
      <c r="D16" s="224" t="s">
        <v>282</v>
      </c>
      <c r="E16" s="225" t="str">
        <f t="shared" ca="1" si="8"/>
        <v>R</v>
      </c>
      <c r="F16" s="348"/>
      <c r="G16" s="349">
        <f t="shared" ca="1" si="1"/>
        <v>38</v>
      </c>
      <c r="H16" s="350"/>
      <c r="I16" s="232"/>
      <c r="J16" s="210" t="s">
        <v>253</v>
      </c>
      <c r="K16" s="232"/>
      <c r="L16" s="386">
        <f t="array" ref="L16">SUM( IF( LEN( $C$7:$C$65 ) = 0, 0, $C$7:$C$65 ) ) / SUM( IF( LEN( $C$7:$C$65 ) = 0, 0, 1  ) )</f>
        <v>18.959183673469386</v>
      </c>
      <c r="M16" s="387"/>
      <c r="N16" s="232"/>
      <c r="O16" s="386">
        <f t="array" aca="1" ref="O16" ca="1">SUM( IF( LEN( $C$7:$C$65 ) = 0, 0, IF( $E$7:$E$65 = O3, $C$7:$C$65, 0 ) ) ) / SUM( IF( LEN( $C$7:$C$65 ) = 0, 0, IF( $E$7:$E$65 = O3, 1, 0 ) ) )</f>
        <v>19</v>
      </c>
      <c r="P16" s="387"/>
      <c r="Q16" s="232"/>
      <c r="R16" s="386">
        <f t="array" aca="1" ref="R16" ca="1">SUM( IF( LEN( $C$7:$C$65 ) = 0, 0, IF( $E$7:$E$65 = R3, $C$7:$C$65, 0 ) ) ) / SUM( IF( LEN( $C$7:$C$65 ) = 0, 0, IF( $E$7:$E$65 = R3, 1, 0 ) ) )</f>
        <v>18.857142857142858</v>
      </c>
      <c r="S16" s="387"/>
      <c r="T16" s="232"/>
      <c r="U16" s="386" t="e">
        <f t="array" aca="1" ref="U16" ca="1">SUM( IF( LEN( $C$7:$C$65 ) = 0, 0, IF( $E$7:$E$65 = U3, $C$7:$C$65, 0 ) ) ) / SUM( IF( LEN( $C$7:$C$65 ) = 0, 0, IF( $E$7:$E$65 = U3, 1, 0 ) ) )</f>
        <v>#DIV/0!</v>
      </c>
      <c r="V16" s="388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15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254</v>
      </c>
      <c r="AR16" s="207" t="s">
        <v>142</v>
      </c>
      <c r="AS16" s="207">
        <v>17</v>
      </c>
      <c r="AT16" s="207" t="s">
        <v>255</v>
      </c>
      <c r="AV16" s="168">
        <f t="shared" si="21"/>
        <v>43</v>
      </c>
      <c r="AW16" s="168">
        <f>COUNTIF( AV$7:AV16, AV16 )</f>
        <v>1</v>
      </c>
      <c r="AX16" s="208">
        <f t="shared" si="22"/>
        <v>43.1</v>
      </c>
      <c r="AY16" s="168">
        <f t="shared" si="23"/>
        <v>43</v>
      </c>
      <c r="AZ16" s="169"/>
      <c r="BA16" s="169"/>
      <c r="BC16" s="168">
        <f t="shared" ca="1" si="24"/>
        <v>10</v>
      </c>
      <c r="BD16" s="209">
        <f t="shared" ca="1" si="6"/>
        <v>35</v>
      </c>
      <c r="BF16" s="173" t="str">
        <f t="shared" ca="1" si="7"/>
        <v>Pinnacle West Capital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PNW</v>
      </c>
    </row>
    <row r="17" spans="1:61" ht="13.8" x14ac:dyDescent="0.25">
      <c r="A17" s="223" t="s">
        <v>243</v>
      </c>
      <c r="B17" s="224" t="s">
        <v>139</v>
      </c>
      <c r="C17" s="224">
        <v>20</v>
      </c>
      <c r="D17" s="224" t="s">
        <v>244</v>
      </c>
      <c r="E17" s="225" t="str">
        <f t="shared" ca="1" si="8"/>
        <v>R</v>
      </c>
      <c r="F17" s="348"/>
      <c r="G17" s="349">
        <f t="shared" ca="1" si="1"/>
        <v>41</v>
      </c>
      <c r="H17" s="350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16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256</v>
      </c>
      <c r="AR17" s="207" t="s">
        <v>140</v>
      </c>
      <c r="AS17" s="207">
        <v>19</v>
      </c>
      <c r="AT17" s="207" t="s">
        <v>257</v>
      </c>
      <c r="AV17" s="168">
        <f t="shared" si="21"/>
        <v>16</v>
      </c>
      <c r="AW17" s="168">
        <f>COUNTIF( AV$7:AV17, AV17 )</f>
        <v>4</v>
      </c>
      <c r="AX17" s="208">
        <f t="shared" si="22"/>
        <v>16.399999999999999</v>
      </c>
      <c r="AY17" s="168">
        <f t="shared" si="23"/>
        <v>19</v>
      </c>
      <c r="AZ17" s="169"/>
      <c r="BA17" s="169"/>
      <c r="BC17" s="168">
        <f t="shared" ca="1" si="24"/>
        <v>11</v>
      </c>
      <c r="BD17" s="209">
        <f t="shared" ca="1" si="6"/>
        <v>38</v>
      </c>
      <c r="BF17" s="173" t="str">
        <f t="shared" ca="1" si="7"/>
        <v>PPL Corporation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PPL</v>
      </c>
    </row>
    <row r="18" spans="1:61" ht="13.8" x14ac:dyDescent="0.25">
      <c r="A18" s="223" t="s">
        <v>293</v>
      </c>
      <c r="B18" s="224" t="s">
        <v>139</v>
      </c>
      <c r="C18" s="224">
        <v>20</v>
      </c>
      <c r="D18" s="224" t="s">
        <v>294</v>
      </c>
      <c r="E18" s="225" t="str">
        <f t="shared" ca="1" si="8"/>
        <v>R</v>
      </c>
      <c r="F18" s="348"/>
      <c r="G18" s="349">
        <f t="shared" ca="1" si="1"/>
        <v>45</v>
      </c>
      <c r="H18" s="350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17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227</v>
      </c>
      <c r="AR18" s="207" t="s">
        <v>139</v>
      </c>
      <c r="AS18" s="207">
        <v>20</v>
      </c>
      <c r="AT18" s="207" t="s">
        <v>228</v>
      </c>
      <c r="AV18" s="168">
        <f t="shared" si="21"/>
        <v>3</v>
      </c>
      <c r="AW18" s="168">
        <f>COUNTIF( AV$7:AV18, AV18 )</f>
        <v>4</v>
      </c>
      <c r="AX18" s="208">
        <f t="shared" si="22"/>
        <v>3.4</v>
      </c>
      <c r="AY18" s="168">
        <f t="shared" si="23"/>
        <v>6</v>
      </c>
      <c r="AZ18" s="169"/>
      <c r="BA18" s="169"/>
      <c r="BC18" s="168">
        <f t="shared" ca="1" si="24"/>
        <v>12</v>
      </c>
      <c r="BD18" s="209">
        <f t="shared" ca="1" si="6"/>
        <v>43</v>
      </c>
      <c r="BF18" s="173" t="str">
        <f t="shared" ca="1" si="7"/>
        <v>Southern Company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SO</v>
      </c>
    </row>
    <row r="19" spans="1:61" ht="13.8" x14ac:dyDescent="0.25">
      <c r="A19" s="223" t="s">
        <v>345</v>
      </c>
      <c r="B19" s="224" t="s">
        <v>139</v>
      </c>
      <c r="C19" s="224">
        <v>20</v>
      </c>
      <c r="D19" s="224" t="s">
        <v>346</v>
      </c>
      <c r="E19" s="225" t="str">
        <f t="shared" ca="1" si="8"/>
        <v>R</v>
      </c>
      <c r="F19" s="348"/>
      <c r="G19" s="349">
        <f t="shared" ca="1" si="1"/>
        <v>47</v>
      </c>
      <c r="H19" s="350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18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361</v>
      </c>
      <c r="AR19" s="207" t="s">
        <v>140</v>
      </c>
      <c r="AS19" s="207">
        <v>19</v>
      </c>
      <c r="AT19" s="207" t="s">
        <v>194</v>
      </c>
      <c r="AV19" s="168">
        <f t="shared" si="21"/>
        <v>16</v>
      </c>
      <c r="AW19" s="168">
        <f>COUNTIF( AV$7:AV19, AV19 )</f>
        <v>5</v>
      </c>
      <c r="AX19" s="208">
        <f t="shared" si="22"/>
        <v>16.5</v>
      </c>
      <c r="AY19" s="168">
        <f t="shared" si="23"/>
        <v>20</v>
      </c>
      <c r="AZ19" s="169"/>
      <c r="BA19" s="169"/>
      <c r="BC19" s="168">
        <f t="shared" ca="1" si="24"/>
        <v>13</v>
      </c>
      <c r="BD19" s="209">
        <f t="shared" ca="1" si="6"/>
        <v>45</v>
      </c>
      <c r="BF19" s="173" t="str">
        <f t="shared" ca="1" si="7"/>
        <v>Vectren Corporation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VVC</v>
      </c>
    </row>
    <row r="20" spans="1:61" ht="13.8" x14ac:dyDescent="0.25">
      <c r="A20" s="223" t="s">
        <v>247</v>
      </c>
      <c r="B20" s="224" t="s">
        <v>139</v>
      </c>
      <c r="C20" s="224">
        <v>20</v>
      </c>
      <c r="D20" s="224" t="s">
        <v>248</v>
      </c>
      <c r="E20" s="225" t="str">
        <f t="shared" ca="1" si="8"/>
        <v>R</v>
      </c>
      <c r="F20" s="348"/>
      <c r="G20" s="349">
        <f t="shared" ca="1" si="1"/>
        <v>48</v>
      </c>
      <c r="H20" s="350"/>
      <c r="I20" s="352"/>
      <c r="K20" s="352"/>
      <c r="N20" s="352"/>
      <c r="O20" s="173"/>
      <c r="Q20" s="352"/>
      <c r="T20" s="352"/>
      <c r="W20" s="352"/>
      <c r="AE20" s="184"/>
      <c r="AF20" s="169">
        <f t="shared" si="2"/>
        <v>0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19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259</v>
      </c>
      <c r="AR20" s="207" t="s">
        <v>177</v>
      </c>
      <c r="AS20" s="207">
        <v>14</v>
      </c>
      <c r="AT20" s="207" t="s">
        <v>260</v>
      </c>
      <c r="AV20" s="168">
        <f t="shared" si="21"/>
        <v>48</v>
      </c>
      <c r="AW20" s="168">
        <f>COUNTIF( AV$7:AV20, AV20 )</f>
        <v>1</v>
      </c>
      <c r="AX20" s="208">
        <f t="shared" si="22"/>
        <v>48.1</v>
      </c>
      <c r="AY20" s="168">
        <f t="shared" si="23"/>
        <v>48</v>
      </c>
      <c r="AZ20" s="169"/>
      <c r="BA20" s="169"/>
      <c r="BC20" s="168">
        <f t="shared" ca="1" si="24"/>
        <v>14</v>
      </c>
      <c r="BD20" s="209">
        <f t="shared" ca="1" si="6"/>
        <v>47</v>
      </c>
      <c r="BF20" s="173" t="str">
        <f t="shared" ca="1" si="7"/>
        <v>Wisconsin Energy Corporation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WEC</v>
      </c>
    </row>
    <row r="21" spans="1:61" ht="13.8" x14ac:dyDescent="0.25">
      <c r="A21" s="223" t="s">
        <v>251</v>
      </c>
      <c r="B21" s="224" t="s">
        <v>139</v>
      </c>
      <c r="C21" s="224">
        <v>20</v>
      </c>
      <c r="D21" s="224" t="s">
        <v>252</v>
      </c>
      <c r="E21" s="225" t="str">
        <f t="shared" ca="1" si="8"/>
        <v>R</v>
      </c>
      <c r="F21" s="348"/>
      <c r="G21" s="349">
        <f t="shared" ca="1" si="1"/>
        <v>50</v>
      </c>
      <c r="H21" s="350"/>
      <c r="I21" s="237"/>
      <c r="K21" s="237"/>
      <c r="N21" s="237"/>
      <c r="Q21" s="237"/>
      <c r="T21" s="237"/>
      <c r="W21" s="237"/>
      <c r="AE21" s="184"/>
      <c r="AF21" s="169">
        <f t="shared" si="2"/>
        <v>0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20</v>
      </c>
      <c r="AK21" s="169" t="str">
        <f t="shared" ca="1" si="20"/>
        <v>A-</v>
      </c>
      <c r="AL21" s="169">
        <f t="shared" ca="1" si="20"/>
        <v>20</v>
      </c>
      <c r="AM21" s="169" t="str">
        <f t="shared" ca="1" si="4"/>
        <v/>
      </c>
      <c r="AQ21" s="207" t="s">
        <v>261</v>
      </c>
      <c r="AR21" s="207" t="s">
        <v>140</v>
      </c>
      <c r="AS21" s="207">
        <v>19</v>
      </c>
      <c r="AT21" s="207" t="s">
        <v>262</v>
      </c>
      <c r="AV21" s="168">
        <f t="shared" si="21"/>
        <v>16</v>
      </c>
      <c r="AW21" s="168">
        <f>COUNTIF( AV$7:AV21, AV21 )</f>
        <v>6</v>
      </c>
      <c r="AX21" s="208">
        <f t="shared" si="22"/>
        <v>16.600000000000001</v>
      </c>
      <c r="AY21" s="168">
        <f t="shared" si="23"/>
        <v>21</v>
      </c>
      <c r="AZ21" s="169"/>
      <c r="BA21" s="169"/>
      <c r="BC21" s="168">
        <f t="shared" ca="1" si="24"/>
        <v>15</v>
      </c>
      <c r="BD21" s="209">
        <f t="shared" ca="1" si="6"/>
        <v>48</v>
      </c>
      <c r="BF21" s="173" t="str">
        <f t="shared" ca="1" si="7"/>
        <v>Xcel Energy Inc.</v>
      </c>
      <c r="BG21" s="173" t="str">
        <f t="shared" ca="1" si="7"/>
        <v>A-</v>
      </c>
      <c r="BH21" s="173">
        <f t="shared" ca="1" si="7"/>
        <v>20</v>
      </c>
      <c r="BI21" s="173" t="str">
        <f t="shared" ca="1" si="7"/>
        <v>XEL</v>
      </c>
    </row>
    <row r="22" spans="1:61" ht="13.8" x14ac:dyDescent="0.25">
      <c r="A22" s="223" t="s">
        <v>217</v>
      </c>
      <c r="B22" s="224" t="s">
        <v>140</v>
      </c>
      <c r="C22" s="224">
        <v>19</v>
      </c>
      <c r="D22" s="224" t="s">
        <v>218</v>
      </c>
      <c r="E22" s="225" t="str">
        <f t="shared" ca="1" si="8"/>
        <v>MR</v>
      </c>
      <c r="F22" s="348"/>
      <c r="G22" s="349">
        <f t="shared" ca="1" si="1"/>
        <v>7</v>
      </c>
      <c r="H22" s="350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21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263</v>
      </c>
      <c r="AR22" s="207" t="s">
        <v>139</v>
      </c>
      <c r="AS22" s="207">
        <v>20</v>
      </c>
      <c r="AT22" s="207" t="s">
        <v>264</v>
      </c>
      <c r="AV22" s="168">
        <f t="shared" si="21"/>
        <v>3</v>
      </c>
      <c r="AW22" s="168">
        <f>COUNTIF( AV$7:AV22, AV22 )</f>
        <v>5</v>
      </c>
      <c r="AX22" s="208">
        <f t="shared" si="22"/>
        <v>3.5</v>
      </c>
      <c r="AY22" s="168">
        <f t="shared" si="23"/>
        <v>7</v>
      </c>
      <c r="AZ22" s="169"/>
      <c r="BA22" s="169"/>
      <c r="BC22" s="168">
        <f t="shared" ca="1" si="24"/>
        <v>16</v>
      </c>
      <c r="BD22" s="209">
        <f t="shared" ca="1" si="6"/>
        <v>1</v>
      </c>
      <c r="BF22" s="173" t="str">
        <f t="shared" ca="1" si="7"/>
        <v>ALLETE, Inc.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ALE</v>
      </c>
    </row>
    <row r="23" spans="1:61" ht="13.8" x14ac:dyDescent="0.25">
      <c r="A23" s="223" t="s">
        <v>225</v>
      </c>
      <c r="B23" s="224" t="s">
        <v>140</v>
      </c>
      <c r="C23" s="224">
        <v>19</v>
      </c>
      <c r="D23" s="224" t="s">
        <v>226</v>
      </c>
      <c r="E23" s="225" t="str">
        <f t="shared" ca="1" si="8"/>
        <v>R</v>
      </c>
      <c r="F23" s="348"/>
      <c r="G23" s="349">
        <f t="shared" ca="1" si="1"/>
        <v>9</v>
      </c>
      <c r="H23" s="350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22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265</v>
      </c>
      <c r="AR23" s="207" t="s">
        <v>140</v>
      </c>
      <c r="AS23" s="207">
        <v>19</v>
      </c>
      <c r="AT23" s="207" t="s">
        <v>266</v>
      </c>
      <c r="AV23" s="168">
        <f t="shared" si="21"/>
        <v>16</v>
      </c>
      <c r="AW23" s="168">
        <f>COUNTIF( AV$7:AV23, AV23 )</f>
        <v>7</v>
      </c>
      <c r="AX23" s="208">
        <f t="shared" si="22"/>
        <v>16.7</v>
      </c>
      <c r="AY23" s="168">
        <f t="shared" si="23"/>
        <v>22</v>
      </c>
      <c r="AZ23" s="169"/>
      <c r="BA23" s="169"/>
      <c r="BC23" s="168">
        <f t="shared" ca="1" si="24"/>
        <v>17</v>
      </c>
      <c r="BD23" s="209">
        <f t="shared" ca="1" si="6"/>
        <v>3</v>
      </c>
      <c r="BF23" s="173" t="str">
        <f t="shared" ca="1" si="7"/>
        <v>Ameren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AEE</v>
      </c>
    </row>
    <row r="24" spans="1:61" ht="13.8" x14ac:dyDescent="0.25">
      <c r="A24" s="223" t="s">
        <v>233</v>
      </c>
      <c r="B24" s="224" t="s">
        <v>140</v>
      </c>
      <c r="C24" s="224">
        <v>19</v>
      </c>
      <c r="D24" s="224" t="s">
        <v>234</v>
      </c>
      <c r="E24" s="225" t="str">
        <f t="shared" ca="1" si="8"/>
        <v>MR</v>
      </c>
      <c r="F24" s="348"/>
      <c r="G24" s="349">
        <f t="shared" ca="1" si="1"/>
        <v>11</v>
      </c>
      <c r="H24" s="350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328</v>
      </c>
      <c r="AR24" s="207" t="s">
        <v>141</v>
      </c>
      <c r="AS24" s="207">
        <v>18</v>
      </c>
      <c r="AT24" s="207" t="s">
        <v>331</v>
      </c>
      <c r="AV24" s="168">
        <f t="shared" si="21"/>
        <v>35</v>
      </c>
      <c r="AW24" s="168">
        <f>COUNTIF( AV$7:AV24, AV24 )</f>
        <v>3</v>
      </c>
      <c r="AX24" s="208">
        <f t="shared" si="22"/>
        <v>35.299999999999997</v>
      </c>
      <c r="AY24" s="168">
        <f t="shared" si="23"/>
        <v>37</v>
      </c>
      <c r="AZ24" s="169"/>
      <c r="BA24" s="169"/>
      <c r="BC24" s="168">
        <f t="shared" ca="1" si="24"/>
        <v>18</v>
      </c>
      <c r="BD24" s="209">
        <f t="shared" ca="1" si="6"/>
        <v>5</v>
      </c>
      <c r="BF24" s="173" t="str">
        <f t="shared" ca="1" si="7"/>
        <v>AVANGRID, Inc.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AGR</v>
      </c>
    </row>
    <row r="25" spans="1:61" ht="13.8" x14ac:dyDescent="0.25">
      <c r="A25" s="223" t="s">
        <v>256</v>
      </c>
      <c r="B25" s="224" t="s">
        <v>140</v>
      </c>
      <c r="C25" s="224">
        <v>19</v>
      </c>
      <c r="D25" s="224" t="s">
        <v>257</v>
      </c>
      <c r="E25" s="225" t="str">
        <f t="shared" ca="1" si="8"/>
        <v>R</v>
      </c>
      <c r="F25" s="348"/>
      <c r="G25" s="349">
        <f t="shared" ca="1" si="1"/>
        <v>15</v>
      </c>
      <c r="H25" s="350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267</v>
      </c>
      <c r="AR25" s="207" t="s">
        <v>140</v>
      </c>
      <c r="AS25" s="207">
        <v>19</v>
      </c>
      <c r="AT25" s="207" t="s">
        <v>268</v>
      </c>
      <c r="AV25" s="168">
        <f t="shared" si="21"/>
        <v>16</v>
      </c>
      <c r="AW25" s="168">
        <f>COUNTIF( AV$7:AV25, AV25 )</f>
        <v>8</v>
      </c>
      <c r="AX25" s="208">
        <f t="shared" si="22"/>
        <v>16.8</v>
      </c>
      <c r="AY25" s="168">
        <f t="shared" si="23"/>
        <v>23</v>
      </c>
      <c r="AZ25" s="169"/>
      <c r="BA25" s="169"/>
      <c r="BC25" s="168">
        <f t="shared" ca="1" si="24"/>
        <v>19</v>
      </c>
      <c r="BD25" s="209">
        <f t="shared" ca="1" si="6"/>
        <v>11</v>
      </c>
      <c r="BF25" s="173" t="str">
        <f t="shared" ca="1" si="7"/>
        <v>CMS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CMS</v>
      </c>
    </row>
    <row r="26" spans="1:61" ht="13.8" x14ac:dyDescent="0.25">
      <c r="A26" s="223" t="s">
        <v>361</v>
      </c>
      <c r="B26" s="224" t="s">
        <v>140</v>
      </c>
      <c r="C26" s="224">
        <v>19</v>
      </c>
      <c r="D26" s="224" t="s">
        <v>194</v>
      </c>
      <c r="E26" s="225" t="str">
        <f t="shared" ca="1" si="8"/>
        <v>MR</v>
      </c>
      <c r="F26" s="348"/>
      <c r="G26" s="349">
        <f t="shared" ca="1" si="1"/>
        <v>17</v>
      </c>
      <c r="H26" s="350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235</v>
      </c>
      <c r="AR26" s="207" t="s">
        <v>166</v>
      </c>
      <c r="AS26" s="207">
        <v>21</v>
      </c>
      <c r="AT26" s="207" t="s">
        <v>236</v>
      </c>
      <c r="AV26" s="168">
        <f t="shared" si="21"/>
        <v>1</v>
      </c>
      <c r="AW26" s="168">
        <f>COUNTIF( AV$7:AV26, AV26 )</f>
        <v>2</v>
      </c>
      <c r="AX26" s="208">
        <f t="shared" si="22"/>
        <v>1.2</v>
      </c>
      <c r="AY26" s="168">
        <f t="shared" si="23"/>
        <v>2</v>
      </c>
      <c r="AZ26" s="169"/>
      <c r="BA26" s="169"/>
      <c r="BC26" s="168">
        <f t="shared" ca="1" si="24"/>
        <v>20</v>
      </c>
      <c r="BD26" s="209">
        <f t="shared" ca="1" si="6"/>
        <v>13</v>
      </c>
      <c r="BF26" s="173" t="str">
        <f t="shared" ca="1" si="7"/>
        <v>Dominion Resources, Inc.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</v>
      </c>
    </row>
    <row r="27" spans="1:61" ht="13.8" x14ac:dyDescent="0.25">
      <c r="A27" s="223" t="s">
        <v>261</v>
      </c>
      <c r="B27" s="224" t="s">
        <v>140</v>
      </c>
      <c r="C27" s="224">
        <v>19</v>
      </c>
      <c r="D27" s="224" t="s">
        <v>262</v>
      </c>
      <c r="E27" s="225" t="str">
        <f t="shared" ca="1" si="8"/>
        <v>MR</v>
      </c>
      <c r="F27" s="348"/>
      <c r="G27" s="349">
        <f t="shared" ca="1" si="1"/>
        <v>18</v>
      </c>
      <c r="H27" s="350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269</v>
      </c>
      <c r="AR27" s="207" t="s">
        <v>141</v>
      </c>
      <c r="AS27" s="207">
        <v>18</v>
      </c>
      <c r="AT27" s="207" t="s">
        <v>270</v>
      </c>
      <c r="AV27" s="168">
        <f t="shared" si="21"/>
        <v>35</v>
      </c>
      <c r="AW27" s="168">
        <f>COUNTIF( AV$7:AV27, AV27 )</f>
        <v>4</v>
      </c>
      <c r="AX27" s="208">
        <f t="shared" si="22"/>
        <v>35.4</v>
      </c>
      <c r="AY27" s="168">
        <f t="shared" si="23"/>
        <v>38</v>
      </c>
      <c r="AZ27" s="169"/>
      <c r="BA27" s="169"/>
      <c r="BC27" s="168">
        <f t="shared" ca="1" si="24"/>
        <v>21</v>
      </c>
      <c r="BD27" s="209">
        <f t="shared" ca="1" si="6"/>
        <v>15</v>
      </c>
      <c r="BF27" s="173" t="str">
        <f t="shared" ca="1" si="7"/>
        <v>DTE Energy Company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DTE</v>
      </c>
    </row>
    <row r="28" spans="1:61" ht="13.8" x14ac:dyDescent="0.25">
      <c r="A28" s="223" t="s">
        <v>265</v>
      </c>
      <c r="B28" s="224" t="s">
        <v>140</v>
      </c>
      <c r="C28" s="224">
        <v>19</v>
      </c>
      <c r="D28" s="224" t="s">
        <v>266</v>
      </c>
      <c r="E28" s="225" t="str">
        <f t="shared" ca="1" si="8"/>
        <v>R</v>
      </c>
      <c r="F28" s="348"/>
      <c r="G28" s="349">
        <f t="shared" ca="1" si="1"/>
        <v>20</v>
      </c>
      <c r="H28" s="350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275</v>
      </c>
      <c r="AR28" s="207" t="s">
        <v>142</v>
      </c>
      <c r="AS28" s="207">
        <v>17</v>
      </c>
      <c r="AT28" s="207" t="s">
        <v>276</v>
      </c>
      <c r="AV28" s="168">
        <f t="shared" si="21"/>
        <v>43</v>
      </c>
      <c r="AW28" s="168">
        <f>COUNTIF( AV$7:AV28, AV28 )</f>
        <v>2</v>
      </c>
      <c r="AX28" s="208">
        <f t="shared" si="22"/>
        <v>43.2</v>
      </c>
      <c r="AY28" s="168">
        <f t="shared" si="23"/>
        <v>44</v>
      </c>
      <c r="AZ28" s="169"/>
      <c r="BA28" s="169"/>
      <c r="BC28" s="168">
        <f t="shared" ca="1" si="24"/>
        <v>22</v>
      </c>
      <c r="BD28" s="209">
        <f t="shared" ca="1" si="6"/>
        <v>17</v>
      </c>
      <c r="BF28" s="173" t="str">
        <f t="shared" ca="1" si="7"/>
        <v>Edison International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EIX</v>
      </c>
    </row>
    <row r="29" spans="1:61" ht="13.8" x14ac:dyDescent="0.25">
      <c r="A29" s="223" t="s">
        <v>267</v>
      </c>
      <c r="B29" s="224" t="s">
        <v>140</v>
      </c>
      <c r="C29" s="224">
        <v>19</v>
      </c>
      <c r="D29" s="224" t="s">
        <v>268</v>
      </c>
      <c r="E29" s="225" t="str">
        <f t="shared" ca="1" si="8"/>
        <v>R</v>
      </c>
      <c r="F29" s="348"/>
      <c r="G29" s="349">
        <f t="shared" ca="1" si="1"/>
        <v>23</v>
      </c>
      <c r="H29" s="350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352</v>
      </c>
      <c r="AR29" s="207" t="s">
        <v>140</v>
      </c>
      <c r="AS29" s="207">
        <v>19</v>
      </c>
      <c r="AT29" s="207" t="s">
        <v>353</v>
      </c>
      <c r="AV29" s="168">
        <f t="shared" si="21"/>
        <v>16</v>
      </c>
      <c r="AW29" s="168">
        <f>COUNTIF( AV$7:AV29, AV29 )</f>
        <v>9</v>
      </c>
      <c r="AX29" s="208">
        <f t="shared" si="22"/>
        <v>16.899999999999999</v>
      </c>
      <c r="AY29" s="168">
        <f t="shared" si="23"/>
        <v>24</v>
      </c>
      <c r="AZ29" s="169"/>
      <c r="BA29" s="169"/>
      <c r="BC29" s="168">
        <f t="shared" ca="1" si="24"/>
        <v>23</v>
      </c>
      <c r="BD29" s="209">
        <f t="shared" ca="1" si="6"/>
        <v>19</v>
      </c>
      <c r="BF29" s="173" t="str">
        <f t="shared" ca="1" si="7"/>
        <v>Entergy Corporation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ETR</v>
      </c>
    </row>
    <row r="30" spans="1:61" ht="13.8" x14ac:dyDescent="0.25">
      <c r="A30" s="223" t="s">
        <v>352</v>
      </c>
      <c r="B30" s="224" t="s">
        <v>140</v>
      </c>
      <c r="C30" s="224">
        <v>19</v>
      </c>
      <c r="D30" s="224" t="s">
        <v>353</v>
      </c>
      <c r="E30" s="225" t="str">
        <f t="shared" ca="1" si="8"/>
        <v>R</v>
      </c>
      <c r="F30" s="348"/>
      <c r="G30" s="349">
        <f t="shared" ca="1" si="1"/>
        <v>27</v>
      </c>
      <c r="H30" s="350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279</v>
      </c>
      <c r="AR30" s="207" t="s">
        <v>142</v>
      </c>
      <c r="AS30" s="207">
        <v>17</v>
      </c>
      <c r="AT30" s="207" t="s">
        <v>280</v>
      </c>
      <c r="AV30" s="168">
        <f t="shared" si="21"/>
        <v>43</v>
      </c>
      <c r="AW30" s="168">
        <f>COUNTIF( AV$7:AV30, AV30 )</f>
        <v>3</v>
      </c>
      <c r="AX30" s="208">
        <f t="shared" si="22"/>
        <v>43.3</v>
      </c>
      <c r="AY30" s="168">
        <f t="shared" si="23"/>
        <v>45</v>
      </c>
      <c r="AZ30" s="169"/>
      <c r="BA30" s="169"/>
      <c r="BC30" s="168">
        <f t="shared" ca="1" si="24"/>
        <v>24</v>
      </c>
      <c r="BD30" s="209">
        <f t="shared" ca="1" si="6"/>
        <v>23</v>
      </c>
      <c r="BF30" s="173" t="str">
        <f t="shared" ca="1" si="7"/>
        <v>Great Plains Energy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GXP</v>
      </c>
    </row>
    <row r="31" spans="1:61" ht="13.8" x14ac:dyDescent="0.25">
      <c r="A31" s="223" t="s">
        <v>271</v>
      </c>
      <c r="B31" s="224" t="s">
        <v>140</v>
      </c>
      <c r="C31" s="224">
        <v>19</v>
      </c>
      <c r="D31" s="224" t="s">
        <v>272</v>
      </c>
      <c r="E31" s="225" t="str">
        <f t="shared" ca="1" si="8"/>
        <v>MR</v>
      </c>
      <c r="F31" s="348"/>
      <c r="G31" s="349">
        <f t="shared" ca="1" si="1"/>
        <v>30</v>
      </c>
      <c r="H31" s="350"/>
      <c r="I31" s="237"/>
      <c r="J31" s="191"/>
      <c r="K31" s="237"/>
      <c r="N31" s="237"/>
      <c r="O31" s="351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283</v>
      </c>
      <c r="AR31" s="207" t="s">
        <v>141</v>
      </c>
      <c r="AS31" s="207">
        <v>18</v>
      </c>
      <c r="AT31" s="207" t="s">
        <v>284</v>
      </c>
      <c r="AV31" s="168">
        <f t="shared" si="21"/>
        <v>35</v>
      </c>
      <c r="AW31" s="168">
        <f>COUNTIF( AV$7:AV31, AV31 )</f>
        <v>5</v>
      </c>
      <c r="AX31" s="208">
        <f t="shared" si="22"/>
        <v>35.5</v>
      </c>
      <c r="AY31" s="168">
        <f t="shared" si="23"/>
        <v>39</v>
      </c>
      <c r="AZ31" s="169"/>
      <c r="BA31" s="169"/>
      <c r="BC31" s="168">
        <f t="shared" ca="1" si="24"/>
        <v>25</v>
      </c>
      <c r="BD31" s="209">
        <f t="shared" ca="1" si="6"/>
        <v>27</v>
      </c>
      <c r="BF31" s="173" t="str">
        <f t="shared" ca="1" si="7"/>
        <v>MDU Resources Group,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MDU</v>
      </c>
    </row>
    <row r="32" spans="1:61" ht="13.8" x14ac:dyDescent="0.25">
      <c r="A32" s="223" t="s">
        <v>273</v>
      </c>
      <c r="B32" s="224" t="s">
        <v>140</v>
      </c>
      <c r="C32" s="224">
        <v>19</v>
      </c>
      <c r="D32" s="224" t="s">
        <v>274</v>
      </c>
      <c r="E32" s="225" t="str">
        <f t="shared" ca="1" si="8"/>
        <v>R</v>
      </c>
      <c r="F32" s="348"/>
      <c r="G32" s="349">
        <f t="shared" ca="1" si="1"/>
        <v>33</v>
      </c>
      <c r="H32" s="350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32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287</v>
      </c>
      <c r="AR32" s="207" t="s">
        <v>142</v>
      </c>
      <c r="AS32" s="207">
        <v>17</v>
      </c>
      <c r="AT32" s="207" t="s">
        <v>288</v>
      </c>
      <c r="AV32" s="168">
        <f t="shared" si="21"/>
        <v>43</v>
      </c>
      <c r="AW32" s="168">
        <f>COUNTIF( AV$7:AV32, AV32 )</f>
        <v>4</v>
      </c>
      <c r="AX32" s="208">
        <f t="shared" si="22"/>
        <v>43.4</v>
      </c>
      <c r="AY32" s="168">
        <f t="shared" si="23"/>
        <v>46</v>
      </c>
      <c r="AZ32" s="169"/>
      <c r="BA32" s="169"/>
      <c r="BC32" s="168">
        <f t="shared" ca="1" si="24"/>
        <v>26</v>
      </c>
      <c r="BD32" s="209">
        <f t="shared" ca="1" si="6"/>
        <v>29</v>
      </c>
      <c r="BF32" s="173" t="str">
        <f t="shared" ca="1" si="7"/>
        <v>NiSource Inc.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NI</v>
      </c>
    </row>
    <row r="33" spans="1:61" ht="13.8" x14ac:dyDescent="0.25">
      <c r="A33" s="223" t="s">
        <v>358</v>
      </c>
      <c r="B33" s="224" t="s">
        <v>140</v>
      </c>
      <c r="C33" s="224">
        <v>19</v>
      </c>
      <c r="D33" s="224" t="s">
        <v>359</v>
      </c>
      <c r="E33" s="225" t="str">
        <f t="shared" ca="1" si="8"/>
        <v>R</v>
      </c>
      <c r="F33" s="348"/>
      <c r="G33" s="349">
        <f t="shared" ca="1" si="1"/>
        <v>56</v>
      </c>
      <c r="H33" s="350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si="3"/>
        <v/>
      </c>
      <c r="AH33" s="169" t="str">
        <f t="shared" si="18"/>
        <v/>
      </c>
      <c r="AJ33" s="169">
        <f t="shared" ca="1" si="19"/>
        <v>62</v>
      </c>
      <c r="AK33" s="330" t="s">
        <v>140</v>
      </c>
      <c r="AL33" s="330">
        <v>19</v>
      </c>
      <c r="AM33" s="169" t="str">
        <f t="shared" si="4"/>
        <v/>
      </c>
      <c r="AQ33" s="207" t="s">
        <v>271</v>
      </c>
      <c r="AR33" s="207" t="s">
        <v>140</v>
      </c>
      <c r="AS33" s="207">
        <v>19</v>
      </c>
      <c r="AT33" s="207" t="s">
        <v>272</v>
      </c>
      <c r="AV33" s="168">
        <f t="shared" si="21"/>
        <v>16</v>
      </c>
      <c r="AW33" s="168">
        <f>COUNTIF( AV$7:AV33, AV33 )</f>
        <v>10</v>
      </c>
      <c r="AX33" s="208">
        <f t="shared" si="22"/>
        <v>17</v>
      </c>
      <c r="AY33" s="168">
        <f t="shared" si="23"/>
        <v>25</v>
      </c>
      <c r="AZ33" s="169"/>
      <c r="BA33" s="169"/>
      <c r="BC33" s="168">
        <f t="shared" ca="1" si="24"/>
        <v>27</v>
      </c>
      <c r="BD33" s="209">
        <f t="shared" ca="1" si="6"/>
        <v>32</v>
      </c>
      <c r="BF33" s="173" t="str">
        <f t="shared" ca="1" si="7"/>
        <v>Oncor Electric Delivery Company LLC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**EFH</v>
      </c>
    </row>
    <row r="34" spans="1:61" ht="13.8" x14ac:dyDescent="0.25">
      <c r="A34" s="223" t="s">
        <v>301</v>
      </c>
      <c r="B34" s="224" t="s">
        <v>140</v>
      </c>
      <c r="C34" s="224">
        <v>19</v>
      </c>
      <c r="D34" s="224" t="s">
        <v>302</v>
      </c>
      <c r="E34" s="225" t="str">
        <f t="shared" ca="1" si="8"/>
        <v>R</v>
      </c>
      <c r="F34" s="348"/>
      <c r="G34" s="349">
        <f t="shared" ca="1" si="1"/>
        <v>37</v>
      </c>
      <c r="H34" s="350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33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240</v>
      </c>
      <c r="AR34" s="207" t="s">
        <v>139</v>
      </c>
      <c r="AS34" s="207">
        <v>20</v>
      </c>
      <c r="AT34" s="207" t="s">
        <v>241</v>
      </c>
      <c r="AV34" s="168">
        <f t="shared" si="21"/>
        <v>3</v>
      </c>
      <c r="AW34" s="168">
        <f>COUNTIF( AV$7:AV34, AV34 )</f>
        <v>6</v>
      </c>
      <c r="AX34" s="208">
        <f t="shared" si="22"/>
        <v>3.6</v>
      </c>
      <c r="AY34" s="168">
        <f t="shared" si="23"/>
        <v>8</v>
      </c>
      <c r="AZ34" s="169"/>
      <c r="BA34" s="169"/>
      <c r="BC34" s="168">
        <f t="shared" ca="1" si="24"/>
        <v>28</v>
      </c>
      <c r="BD34" s="209">
        <f t="shared" ca="1" si="6"/>
        <v>34</v>
      </c>
      <c r="BF34" s="173" t="str">
        <f t="shared" ca="1" si="7"/>
        <v>PG&amp;E Corporation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PCG</v>
      </c>
    </row>
    <row r="35" spans="1:61" ht="13.8" x14ac:dyDescent="0.25">
      <c r="A35" s="223" t="s">
        <v>303</v>
      </c>
      <c r="B35" s="224" t="s">
        <v>140</v>
      </c>
      <c r="C35" s="224">
        <v>19</v>
      </c>
      <c r="D35" s="224" t="s">
        <v>304</v>
      </c>
      <c r="E35" s="225" t="str">
        <f t="shared" ca="1" si="8"/>
        <v>R</v>
      </c>
      <c r="F35" s="348"/>
      <c r="G35" s="349">
        <f t="shared" ca="1" si="1"/>
        <v>39</v>
      </c>
      <c r="H35" s="350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34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273</v>
      </c>
      <c r="AR35" s="207" t="s">
        <v>140</v>
      </c>
      <c r="AS35" s="207">
        <v>19</v>
      </c>
      <c r="AT35" s="207" t="s">
        <v>274</v>
      </c>
      <c r="AV35" s="168">
        <f t="shared" si="21"/>
        <v>16</v>
      </c>
      <c r="AW35" s="168">
        <f>COUNTIF( AV$7:AV35, AV35 )</f>
        <v>11</v>
      </c>
      <c r="AX35" s="208">
        <f t="shared" si="22"/>
        <v>17.100000000000001</v>
      </c>
      <c r="AY35" s="168">
        <f t="shared" si="23"/>
        <v>26</v>
      </c>
      <c r="AZ35" s="169"/>
      <c r="BA35" s="169"/>
      <c r="BC35" s="168">
        <f t="shared" ca="1" si="24"/>
        <v>29</v>
      </c>
      <c r="BD35" s="209">
        <f t="shared" ca="1" si="6"/>
        <v>36</v>
      </c>
      <c r="BF35" s="173" t="str">
        <f t="shared" ca="1" si="7"/>
        <v>PNM Resources, Inc.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PNM</v>
      </c>
    </row>
    <row r="36" spans="1:61" ht="13.8" x14ac:dyDescent="0.25">
      <c r="A36" s="223" t="s">
        <v>289</v>
      </c>
      <c r="B36" s="224" t="s">
        <v>140</v>
      </c>
      <c r="C36" s="224">
        <v>19</v>
      </c>
      <c r="D36" s="224" t="s">
        <v>290</v>
      </c>
      <c r="E36" s="225" t="str">
        <f t="shared" ca="1" si="8"/>
        <v>MR</v>
      </c>
      <c r="F36" s="348"/>
      <c r="G36" s="349">
        <f t="shared" ca="1" si="1"/>
        <v>42</v>
      </c>
      <c r="H36" s="350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35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297</v>
      </c>
      <c r="AR36" s="207" t="s">
        <v>141</v>
      </c>
      <c r="AS36" s="207">
        <v>18</v>
      </c>
      <c r="AT36" s="207" t="s">
        <v>298</v>
      </c>
      <c r="AV36" s="168">
        <f t="shared" si="21"/>
        <v>35</v>
      </c>
      <c r="AW36" s="168">
        <f>COUNTIF( AV$7:AV36, AV36 )</f>
        <v>6</v>
      </c>
      <c r="AX36" s="208">
        <f t="shared" si="22"/>
        <v>35.6</v>
      </c>
      <c r="AY36" s="168">
        <f t="shared" si="23"/>
        <v>40</v>
      </c>
      <c r="AZ36" s="169"/>
      <c r="BA36" s="169"/>
      <c r="BC36" s="168">
        <f t="shared" ca="1" si="24"/>
        <v>30</v>
      </c>
      <c r="BD36" s="209">
        <f t="shared" ca="1" si="6"/>
        <v>39</v>
      </c>
      <c r="BF36" s="173" t="str">
        <f t="shared" ca="1" si="7"/>
        <v>Public Service Enterprise Group Incorporated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PEG</v>
      </c>
    </row>
    <row r="37" spans="1:61" ht="13.8" x14ac:dyDescent="0.25">
      <c r="A37" s="223" t="s">
        <v>347</v>
      </c>
      <c r="B37" s="224" t="s">
        <v>140</v>
      </c>
      <c r="C37" s="224">
        <v>19</v>
      </c>
      <c r="D37" s="224" t="s">
        <v>348</v>
      </c>
      <c r="E37" s="225" t="str">
        <f t="shared" ca="1" si="8"/>
        <v>MR</v>
      </c>
      <c r="F37" s="348"/>
      <c r="G37" s="349">
        <f t="shared" ca="1" si="1"/>
        <v>43</v>
      </c>
      <c r="H37" s="350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36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277</v>
      </c>
      <c r="AR37" s="207" t="s">
        <v>139</v>
      </c>
      <c r="AS37" s="207">
        <v>20</v>
      </c>
      <c r="AT37" s="207" t="s">
        <v>278</v>
      </c>
      <c r="AV37" s="168">
        <f t="shared" si="21"/>
        <v>3</v>
      </c>
      <c r="AW37" s="168">
        <f>COUNTIF( AV$7:AV37, AV37 )</f>
        <v>7</v>
      </c>
      <c r="AX37" s="208">
        <f t="shared" si="22"/>
        <v>3.7</v>
      </c>
      <c r="AY37" s="168">
        <f t="shared" si="23"/>
        <v>9</v>
      </c>
      <c r="AZ37" s="169"/>
      <c r="BA37" s="169"/>
      <c r="BC37" s="168">
        <f t="shared" ca="1" si="24"/>
        <v>31</v>
      </c>
      <c r="BD37" s="209">
        <f t="shared" ca="1" si="6"/>
        <v>41</v>
      </c>
      <c r="BF37" s="173" t="str">
        <f t="shared" ca="1" si="7"/>
        <v>SCANA Corporation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SCG</v>
      </c>
    </row>
    <row r="38" spans="1:61" ht="13.8" x14ac:dyDescent="0.25">
      <c r="A38" s="223" t="s">
        <v>291</v>
      </c>
      <c r="B38" s="224" t="s">
        <v>140</v>
      </c>
      <c r="C38" s="224">
        <v>19</v>
      </c>
      <c r="D38" s="224" t="s">
        <v>292</v>
      </c>
      <c r="E38" s="225" t="str">
        <f t="shared" ca="1" si="8"/>
        <v>MR</v>
      </c>
      <c r="F38" s="348"/>
      <c r="G38" s="349">
        <f t="shared" ca="1" si="1"/>
        <v>44</v>
      </c>
      <c r="H38" s="350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1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37</v>
      </c>
      <c r="AK38" s="169" t="str">
        <f t="shared" ca="1" si="20"/>
        <v>BBB+</v>
      </c>
      <c r="AL38" s="169">
        <f t="shared" ca="1" si="20"/>
        <v>19</v>
      </c>
      <c r="AM38" s="169" t="str">
        <f t="shared" ca="1" si="4"/>
        <v/>
      </c>
      <c r="AQ38" s="207" t="s">
        <v>358</v>
      </c>
      <c r="AR38" s="207" t="s">
        <v>140</v>
      </c>
      <c r="AS38" s="207">
        <v>19</v>
      </c>
      <c r="AT38" s="207" t="s">
        <v>359</v>
      </c>
      <c r="AV38" s="168">
        <f t="shared" si="21"/>
        <v>16</v>
      </c>
      <c r="AW38" s="168">
        <f>COUNTIF( AV$7:AV38, AV38 )</f>
        <v>12</v>
      </c>
      <c r="AX38" s="208">
        <f t="shared" si="22"/>
        <v>17.2</v>
      </c>
      <c r="AY38" s="168">
        <f t="shared" si="23"/>
        <v>27</v>
      </c>
      <c r="AZ38" s="169"/>
      <c r="BA38" s="169"/>
      <c r="BC38" s="168">
        <f t="shared" ca="1" si="24"/>
        <v>32</v>
      </c>
      <c r="BD38" s="209">
        <f t="shared" ca="1" si="6"/>
        <v>42</v>
      </c>
      <c r="BF38" s="173" t="str">
        <f t="shared" ca="1" si="7"/>
        <v>Sempra Energy</v>
      </c>
      <c r="BG38" s="173" t="str">
        <f t="shared" ca="1" si="7"/>
        <v>BBB+</v>
      </c>
      <c r="BH38" s="173">
        <f t="shared" ca="1" si="7"/>
        <v>19</v>
      </c>
      <c r="BI38" s="173" t="str">
        <f t="shared" ca="1" si="7"/>
        <v>SRE</v>
      </c>
    </row>
    <row r="39" spans="1:61" ht="13.8" x14ac:dyDescent="0.25">
      <c r="A39" s="223" t="s">
        <v>295</v>
      </c>
      <c r="B39" s="224" t="s">
        <v>140</v>
      </c>
      <c r="C39" s="224">
        <v>19</v>
      </c>
      <c r="D39" s="224" t="s">
        <v>296</v>
      </c>
      <c r="E39" s="225" t="str">
        <f t="shared" ca="1" si="8"/>
        <v>R</v>
      </c>
      <c r="F39" s="348"/>
      <c r="G39" s="349">
        <f t="shared" ca="1" si="1"/>
        <v>46</v>
      </c>
      <c r="H39" s="350"/>
      <c r="I39" s="237"/>
      <c r="K39" s="237"/>
      <c r="L39" s="173"/>
      <c r="N39" s="237"/>
      <c r="Q39" s="237"/>
      <c r="T39" s="237"/>
      <c r="W39" s="237"/>
      <c r="AF39" s="169">
        <f t="shared" si="2"/>
        <v>1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39</v>
      </c>
      <c r="AK39" s="169" t="str">
        <f t="shared" ca="1" si="20"/>
        <v>BBB+</v>
      </c>
      <c r="AL39" s="169">
        <f t="shared" ca="1" si="20"/>
        <v>19</v>
      </c>
      <c r="AM39" s="169" t="str">
        <f t="shared" ca="1" si="4"/>
        <v/>
      </c>
      <c r="AQ39" s="207" t="s">
        <v>299</v>
      </c>
      <c r="AR39" s="207" t="s">
        <v>141</v>
      </c>
      <c r="AS39" s="207">
        <v>18</v>
      </c>
      <c r="AT39" s="207" t="s">
        <v>300</v>
      </c>
      <c r="AV39" s="168">
        <f t="shared" si="21"/>
        <v>35</v>
      </c>
      <c r="AW39" s="168">
        <f>COUNTIF( AV$7:AV39, AV39 )</f>
        <v>7</v>
      </c>
      <c r="AX39" s="208">
        <f t="shared" si="22"/>
        <v>35.700000000000003</v>
      </c>
      <c r="AY39" s="168">
        <f t="shared" si="23"/>
        <v>41</v>
      </c>
      <c r="AZ39" s="169"/>
      <c r="BA39" s="169"/>
      <c r="BC39" s="168">
        <f t="shared" ca="1" si="24"/>
        <v>33</v>
      </c>
      <c r="BD39" s="209">
        <f t="shared" ca="1" si="6"/>
        <v>44</v>
      </c>
      <c r="BF39" s="173" t="str">
        <f t="shared" ref="BF39:BI63" ca="1" si="25">OFFSET( AQ$6, $BD39, 0 )</f>
        <v>Unitil Corporation</v>
      </c>
      <c r="BG39" s="173" t="str">
        <f t="shared" ca="1" si="25"/>
        <v>BBB+</v>
      </c>
      <c r="BH39" s="173">
        <f t="shared" ca="1" si="25"/>
        <v>19</v>
      </c>
      <c r="BI39" s="173" t="str">
        <f t="shared" ca="1" si="25"/>
        <v>UTL</v>
      </c>
    </row>
    <row r="40" spans="1:61" ht="13.8" x14ac:dyDescent="0.25">
      <c r="A40" s="223" t="s">
        <v>354</v>
      </c>
      <c r="B40" s="224" t="s">
        <v>140</v>
      </c>
      <c r="C40" s="224">
        <v>19</v>
      </c>
      <c r="D40" s="224" t="s">
        <v>355</v>
      </c>
      <c r="E40" s="225" t="str">
        <f t="shared" ca="1" si="8"/>
        <v>R</v>
      </c>
      <c r="F40" s="348"/>
      <c r="G40" s="349">
        <f t="shared" ca="1" si="1"/>
        <v>49</v>
      </c>
      <c r="H40" s="350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1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40</v>
      </c>
      <c r="AK40" s="169" t="str">
        <f t="shared" ca="1" si="20"/>
        <v>BBB+</v>
      </c>
      <c r="AL40" s="169">
        <f t="shared" ca="1" si="20"/>
        <v>19</v>
      </c>
      <c r="AM40" s="169" t="str">
        <f t="shared" ca="1" si="4"/>
        <v/>
      </c>
      <c r="AQ40" s="207" t="s">
        <v>301</v>
      </c>
      <c r="AR40" s="207" t="s">
        <v>140</v>
      </c>
      <c r="AS40" s="207">
        <v>19</v>
      </c>
      <c r="AT40" s="207" t="s">
        <v>302</v>
      </c>
      <c r="AV40" s="168">
        <f t="shared" si="21"/>
        <v>16</v>
      </c>
      <c r="AW40" s="168">
        <f>COUNTIF( AV$7:AV40, AV40 )</f>
        <v>13</v>
      </c>
      <c r="AX40" s="208">
        <f t="shared" si="22"/>
        <v>17.3</v>
      </c>
      <c r="AY40" s="168">
        <f t="shared" si="23"/>
        <v>28</v>
      </c>
      <c r="AZ40" s="169"/>
      <c r="BA40" s="169"/>
      <c r="BC40" s="168">
        <f t="shared" ca="1" si="24"/>
        <v>34</v>
      </c>
      <c r="BD40" s="209">
        <f t="shared" ca="1" si="6"/>
        <v>46</v>
      </c>
      <c r="BF40" s="173" t="str">
        <f t="shared" ca="1" si="25"/>
        <v>Westar Energy, Inc.</v>
      </c>
      <c r="BG40" s="173" t="str">
        <f t="shared" ca="1" si="25"/>
        <v>BBB+</v>
      </c>
      <c r="BH40" s="173">
        <f t="shared" ca="1" si="25"/>
        <v>19</v>
      </c>
      <c r="BI40" s="173" t="str">
        <f t="shared" ca="1" si="25"/>
        <v>WR</v>
      </c>
    </row>
    <row r="41" spans="1:61" ht="13.8" x14ac:dyDescent="0.25">
      <c r="A41" s="223" t="s">
        <v>238</v>
      </c>
      <c r="B41" s="224" t="s">
        <v>141</v>
      </c>
      <c r="C41" s="224">
        <v>18</v>
      </c>
      <c r="D41" s="224" t="s">
        <v>239</v>
      </c>
      <c r="E41" s="225" t="str">
        <f t="shared" ca="1" si="8"/>
        <v>R</v>
      </c>
      <c r="F41" s="348"/>
      <c r="G41" s="349">
        <f t="shared" ca="1" si="1"/>
        <v>12</v>
      </c>
      <c r="H41" s="350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281</v>
      </c>
      <c r="AR41" s="207" t="s">
        <v>139</v>
      </c>
      <c r="AS41" s="207">
        <v>20</v>
      </c>
      <c r="AT41" s="207" t="s">
        <v>282</v>
      </c>
      <c r="AV41" s="168">
        <f t="shared" si="21"/>
        <v>3</v>
      </c>
      <c r="AW41" s="168">
        <f>COUNTIF( AV$7:AV41, AV41 )</f>
        <v>8</v>
      </c>
      <c r="AX41" s="208">
        <f t="shared" si="22"/>
        <v>3.8</v>
      </c>
      <c r="AY41" s="168">
        <f t="shared" si="23"/>
        <v>10</v>
      </c>
      <c r="AZ41" s="169"/>
      <c r="BA41" s="169"/>
      <c r="BC41" s="168">
        <f t="shared" ca="1" si="24"/>
        <v>35</v>
      </c>
      <c r="BD41" s="209">
        <f t="shared" ca="1" si="6"/>
        <v>6</v>
      </c>
      <c r="BF41" s="173" t="str">
        <f t="shared" ca="1" si="25"/>
        <v>Avista Corporation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AVA</v>
      </c>
    </row>
    <row r="42" spans="1:61" ht="13.8" x14ac:dyDescent="0.25">
      <c r="A42" s="223" t="s">
        <v>245</v>
      </c>
      <c r="B42" s="224" t="s">
        <v>141</v>
      </c>
      <c r="C42" s="224">
        <v>18</v>
      </c>
      <c r="D42" s="224" t="s">
        <v>246</v>
      </c>
      <c r="E42" s="225" t="str">
        <f t="shared" ca="1" si="8"/>
        <v>R</v>
      </c>
      <c r="F42" s="348"/>
      <c r="G42" s="349">
        <f t="shared" ca="1" si="1"/>
        <v>13</v>
      </c>
      <c r="H42" s="350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303</v>
      </c>
      <c r="AR42" s="207" t="s">
        <v>140</v>
      </c>
      <c r="AS42" s="207">
        <v>19</v>
      </c>
      <c r="AT42" s="207" t="s">
        <v>304</v>
      </c>
      <c r="AV42" s="168">
        <f t="shared" si="21"/>
        <v>16</v>
      </c>
      <c r="AW42" s="168">
        <f>COUNTIF( AV$7:AV42, AV42 )</f>
        <v>14</v>
      </c>
      <c r="AX42" s="208">
        <f t="shared" si="22"/>
        <v>17.399999999999999</v>
      </c>
      <c r="AY42" s="168">
        <f t="shared" si="23"/>
        <v>29</v>
      </c>
      <c r="AZ42" s="169"/>
      <c r="BA42" s="169"/>
      <c r="BC42" s="168">
        <f t="shared" ca="1" si="24"/>
        <v>36</v>
      </c>
      <c r="BD42" s="209">
        <f t="shared" ca="1" si="6"/>
        <v>8</v>
      </c>
      <c r="BF42" s="173" t="str">
        <f t="shared" ca="1" si="25"/>
        <v>Black Hills Corporation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BKH</v>
      </c>
    </row>
    <row r="43" spans="1:61" ht="13.8" x14ac:dyDescent="0.25">
      <c r="A43" s="223" t="s">
        <v>328</v>
      </c>
      <c r="B43" s="224" t="s">
        <v>141</v>
      </c>
      <c r="C43" s="224">
        <v>18</v>
      </c>
      <c r="D43" s="224" t="s">
        <v>331</v>
      </c>
      <c r="E43" s="225" t="str">
        <f t="shared" ca="1" si="8"/>
        <v>R</v>
      </c>
      <c r="F43" s="348"/>
      <c r="G43" s="349">
        <f t="shared" ca="1" si="1"/>
        <v>21</v>
      </c>
      <c r="H43" s="350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285</v>
      </c>
      <c r="AR43" s="207" t="s">
        <v>141</v>
      </c>
      <c r="AS43" s="207">
        <v>18</v>
      </c>
      <c r="AT43" s="207" t="s">
        <v>286</v>
      </c>
      <c r="AV43" s="168">
        <f t="shared" si="21"/>
        <v>35</v>
      </c>
      <c r="AW43" s="168">
        <f>COUNTIF( AV$7:AV43, AV43 )</f>
        <v>8</v>
      </c>
      <c r="AX43" s="208">
        <f t="shared" si="22"/>
        <v>35.799999999999997</v>
      </c>
      <c r="AY43" s="168">
        <f t="shared" si="23"/>
        <v>42</v>
      </c>
      <c r="AZ43" s="169"/>
      <c r="BA43" s="169"/>
      <c r="BC43" s="168">
        <f t="shared" ca="1" si="24"/>
        <v>37</v>
      </c>
      <c r="BD43" s="209">
        <f t="shared" ca="1" si="6"/>
        <v>18</v>
      </c>
      <c r="BF43" s="173" t="str">
        <f t="shared" ca="1" si="25"/>
        <v>El Paso Electric Company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EE</v>
      </c>
    </row>
    <row r="44" spans="1:61" ht="13.8" x14ac:dyDescent="0.25">
      <c r="A44" s="223" t="s">
        <v>269</v>
      </c>
      <c r="B44" s="224" t="s">
        <v>141</v>
      </c>
      <c r="C44" s="224">
        <v>18</v>
      </c>
      <c r="D44" s="224" t="s">
        <v>270</v>
      </c>
      <c r="E44" s="225" t="str">
        <f t="shared" ca="1" si="8"/>
        <v>MR</v>
      </c>
      <c r="F44" s="348"/>
      <c r="G44" s="349">
        <f t="shared" ca="1" si="1"/>
        <v>25</v>
      </c>
      <c r="H44" s="350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45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243</v>
      </c>
      <c r="AR44" s="207" t="s">
        <v>139</v>
      </c>
      <c r="AS44" s="207">
        <v>20</v>
      </c>
      <c r="AT44" s="207" t="s">
        <v>244</v>
      </c>
      <c r="AV44" s="168">
        <f t="shared" si="21"/>
        <v>3</v>
      </c>
      <c r="AW44" s="168">
        <f>COUNTIF( AV$7:AV44, AV44 )</f>
        <v>9</v>
      </c>
      <c r="AX44" s="208">
        <f t="shared" si="22"/>
        <v>3.9</v>
      </c>
      <c r="AY44" s="168">
        <f t="shared" si="23"/>
        <v>11</v>
      </c>
      <c r="AZ44" s="169"/>
      <c r="BA44" s="169"/>
      <c r="BC44" s="168">
        <f t="shared" ca="1" si="24"/>
        <v>38</v>
      </c>
      <c r="BD44" s="209">
        <f t="shared" ca="1" si="6"/>
        <v>21</v>
      </c>
      <c r="BF44" s="173" t="str">
        <f t="shared" ca="1" si="25"/>
        <v>Exelon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EXC</v>
      </c>
    </row>
    <row r="45" spans="1:61" ht="13.8" x14ac:dyDescent="0.25">
      <c r="A45" s="223" t="s">
        <v>283</v>
      </c>
      <c r="B45" s="224" t="s">
        <v>141</v>
      </c>
      <c r="C45" s="224">
        <v>18</v>
      </c>
      <c r="D45" s="224" t="s">
        <v>284</v>
      </c>
      <c r="E45" s="225" t="str">
        <f t="shared" ca="1" si="8"/>
        <v>R</v>
      </c>
      <c r="F45" s="348"/>
      <c r="G45" s="349">
        <f t="shared" ca="1" si="1"/>
        <v>29</v>
      </c>
      <c r="H45" s="350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46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289</v>
      </c>
      <c r="AR45" s="207" t="s">
        <v>140</v>
      </c>
      <c r="AS45" s="207">
        <v>19</v>
      </c>
      <c r="AT45" s="207" t="s">
        <v>290</v>
      </c>
      <c r="AV45" s="168">
        <f t="shared" si="21"/>
        <v>16</v>
      </c>
      <c r="AW45" s="168">
        <f>COUNTIF( AV$7:AV45, AV45 )</f>
        <v>15</v>
      </c>
      <c r="AX45" s="208">
        <f t="shared" si="22"/>
        <v>17.5</v>
      </c>
      <c r="AY45" s="168">
        <f t="shared" si="23"/>
        <v>30</v>
      </c>
      <c r="AZ45" s="169"/>
      <c r="BA45" s="169"/>
      <c r="BC45" s="168">
        <f t="shared" ca="1" si="24"/>
        <v>39</v>
      </c>
      <c r="BD45" s="209">
        <f t="shared" ca="1" si="6"/>
        <v>25</v>
      </c>
      <c r="BF45" s="173" t="str">
        <f t="shared" ca="1" si="25"/>
        <v>IDACORP, Inc.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IDA</v>
      </c>
    </row>
    <row r="46" spans="1:61" ht="13.8" x14ac:dyDescent="0.25">
      <c r="A46" s="223" t="s">
        <v>297</v>
      </c>
      <c r="B46" s="224" t="s">
        <v>141</v>
      </c>
      <c r="C46" s="224">
        <v>18</v>
      </c>
      <c r="D46" s="224" t="s">
        <v>298</v>
      </c>
      <c r="E46" s="225" t="str">
        <f t="shared" ca="1" si="8"/>
        <v>R</v>
      </c>
      <c r="F46" s="348"/>
      <c r="G46" s="349">
        <f t="shared" ca="1" si="1"/>
        <v>34</v>
      </c>
      <c r="H46" s="350"/>
      <c r="I46" s="191"/>
      <c r="K46" s="191"/>
      <c r="N46" s="351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47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305</v>
      </c>
      <c r="AR46" s="207" t="s">
        <v>142</v>
      </c>
      <c r="AS46" s="207">
        <v>17</v>
      </c>
      <c r="AT46" s="207" t="s">
        <v>306</v>
      </c>
      <c r="AV46" s="168">
        <f t="shared" si="21"/>
        <v>43</v>
      </c>
      <c r="AW46" s="168">
        <f>COUNTIF( AV$7:AV46, AV46 )</f>
        <v>5</v>
      </c>
      <c r="AX46" s="208">
        <f t="shared" si="22"/>
        <v>43.5</v>
      </c>
      <c r="AY46" s="168">
        <f t="shared" si="23"/>
        <v>47</v>
      </c>
      <c r="AZ46" s="169"/>
      <c r="BA46" s="169"/>
      <c r="BC46" s="168">
        <f t="shared" ca="1" si="24"/>
        <v>40</v>
      </c>
      <c r="BD46" s="209">
        <f t="shared" ca="1" si="6"/>
        <v>30</v>
      </c>
      <c r="BF46" s="173" t="str">
        <f t="shared" ca="1" si="25"/>
        <v>NorthWestern Corporation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NWE</v>
      </c>
    </row>
    <row r="47" spans="1:61" ht="13.8" x14ac:dyDescent="0.25">
      <c r="A47" s="223" t="s">
        <v>299</v>
      </c>
      <c r="B47" s="224" t="s">
        <v>141</v>
      </c>
      <c r="C47" s="224">
        <v>18</v>
      </c>
      <c r="D47" s="224" t="s">
        <v>300</v>
      </c>
      <c r="E47" s="225" t="str">
        <f t="shared" ca="1" si="8"/>
        <v>R</v>
      </c>
      <c r="F47" s="348"/>
      <c r="G47" s="349">
        <f t="shared" ca="1" si="1"/>
        <v>36</v>
      </c>
      <c r="H47" s="350"/>
      <c r="I47" s="350"/>
      <c r="J47" s="187" t="s">
        <v>307</v>
      </c>
      <c r="K47" s="191"/>
      <c r="M47" s="351"/>
      <c r="N47" s="351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48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347</v>
      </c>
      <c r="AR47" s="207" t="s">
        <v>140</v>
      </c>
      <c r="AS47" s="207">
        <v>19</v>
      </c>
      <c r="AT47" s="207" t="s">
        <v>348</v>
      </c>
      <c r="AV47" s="168">
        <f t="shared" si="21"/>
        <v>16</v>
      </c>
      <c r="AW47" s="168">
        <f>COUNTIF( AV$7:AV47, AV47 )</f>
        <v>16</v>
      </c>
      <c r="AX47" s="208">
        <f t="shared" si="22"/>
        <v>17.600000000000001</v>
      </c>
      <c r="AY47" s="168">
        <f t="shared" si="23"/>
        <v>31</v>
      </c>
      <c r="AZ47" s="169"/>
      <c r="BA47" s="169"/>
      <c r="BC47" s="168">
        <f t="shared" ca="1" si="24"/>
        <v>41</v>
      </c>
      <c r="BD47" s="209">
        <f t="shared" ca="1" si="6"/>
        <v>33</v>
      </c>
      <c r="BF47" s="173" t="str">
        <f t="shared" ca="1" si="25"/>
        <v>Otter Tail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OTTR</v>
      </c>
    </row>
    <row r="48" spans="1:61" ht="13.8" x14ac:dyDescent="0.25">
      <c r="A48" s="223" t="s">
        <v>285</v>
      </c>
      <c r="B48" s="224" t="s">
        <v>141</v>
      </c>
      <c r="C48" s="224">
        <v>18</v>
      </c>
      <c r="D48" s="224" t="s">
        <v>286</v>
      </c>
      <c r="E48" s="225" t="str">
        <f t="shared" ca="1" si="8"/>
        <v>R</v>
      </c>
      <c r="F48" s="348"/>
      <c r="G48" s="349">
        <f t="shared" ca="1" si="1"/>
        <v>40</v>
      </c>
      <c r="H48" s="350"/>
      <c r="I48" s="350"/>
      <c r="K48" s="191"/>
      <c r="M48" s="351"/>
      <c r="N48" s="351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49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291</v>
      </c>
      <c r="AR48" s="207" t="s">
        <v>140</v>
      </c>
      <c r="AS48" s="207">
        <v>19</v>
      </c>
      <c r="AT48" s="207" t="s">
        <v>292</v>
      </c>
      <c r="AV48" s="168">
        <f t="shared" si="21"/>
        <v>16</v>
      </c>
      <c r="AW48" s="168">
        <f>COUNTIF( AV$7:AV48, AV48 )</f>
        <v>17</v>
      </c>
      <c r="AX48" s="208">
        <f t="shared" si="22"/>
        <v>17.7</v>
      </c>
      <c r="AY48" s="168">
        <f t="shared" si="23"/>
        <v>32</v>
      </c>
      <c r="AZ48" s="169"/>
      <c r="BA48" s="169"/>
      <c r="BC48" s="168">
        <f t="shared" ca="1" si="24"/>
        <v>42</v>
      </c>
      <c r="BD48" s="209">
        <f t="shared" ca="1" si="6"/>
        <v>37</v>
      </c>
      <c r="BF48" s="173" t="str">
        <f t="shared" ca="1" si="25"/>
        <v>Portland General Electric Company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POR</v>
      </c>
    </row>
    <row r="49" spans="1:61" ht="13.8" x14ac:dyDescent="0.25">
      <c r="A49" s="223" t="s">
        <v>254</v>
      </c>
      <c r="B49" s="224" t="s">
        <v>142</v>
      </c>
      <c r="C49" s="224">
        <v>17</v>
      </c>
      <c r="D49" s="224" t="s">
        <v>255</v>
      </c>
      <c r="E49" s="225" t="str">
        <f t="shared" ca="1" si="8"/>
        <v>R</v>
      </c>
      <c r="F49" s="348"/>
      <c r="G49" s="349">
        <f t="shared" ca="1" si="1"/>
        <v>54</v>
      </c>
      <c r="H49" s="350"/>
      <c r="I49" s="350"/>
      <c r="J49" s="191"/>
      <c r="K49" s="191"/>
      <c r="M49" s="351"/>
      <c r="N49" s="351"/>
      <c r="AF49" s="169">
        <f t="shared" si="2"/>
        <v>1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50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4"/>
        <v/>
      </c>
      <c r="AQ49" s="207" t="s">
        <v>293</v>
      </c>
      <c r="AR49" s="207" t="s">
        <v>139</v>
      </c>
      <c r="AS49" s="207">
        <v>20</v>
      </c>
      <c r="AT49" s="207" t="s">
        <v>294</v>
      </c>
      <c r="AV49" s="168">
        <f t="shared" si="21"/>
        <v>3</v>
      </c>
      <c r="AW49" s="168">
        <f>COUNTIF( AV$7:AV49, AV49 )</f>
        <v>10</v>
      </c>
      <c r="AX49" s="208">
        <f t="shared" si="22"/>
        <v>4</v>
      </c>
      <c r="AY49" s="168">
        <f t="shared" si="23"/>
        <v>12</v>
      </c>
      <c r="AZ49" s="169"/>
      <c r="BA49" s="169"/>
      <c r="BC49" s="168">
        <f t="shared" ca="1" si="24"/>
        <v>43</v>
      </c>
      <c r="BD49" s="209">
        <f t="shared" ca="1" si="6"/>
        <v>10</v>
      </c>
      <c r="BF49" s="173" t="str">
        <f t="shared" ca="1" si="25"/>
        <v>Cleco Corporation</v>
      </c>
      <c r="BG49" s="173" t="str">
        <f t="shared" ca="1" si="25"/>
        <v>BBB-</v>
      </c>
      <c r="BH49" s="173">
        <f t="shared" ca="1" si="25"/>
        <v>17</v>
      </c>
      <c r="BI49" s="173" t="str">
        <f t="shared" ca="1" si="25"/>
        <v>**CNL</v>
      </c>
    </row>
    <row r="50" spans="1:61" ht="13.8" x14ac:dyDescent="0.25">
      <c r="A50" s="223" t="s">
        <v>275</v>
      </c>
      <c r="B50" s="224" t="s">
        <v>142</v>
      </c>
      <c r="C50" s="224">
        <v>17</v>
      </c>
      <c r="D50" s="224" t="s">
        <v>276</v>
      </c>
      <c r="E50" s="225" t="str">
        <f t="shared" ca="1" si="8"/>
        <v>R</v>
      </c>
      <c r="F50" s="348"/>
      <c r="G50" s="349">
        <f t="shared" ca="1" si="1"/>
        <v>26</v>
      </c>
      <c r="H50" s="350"/>
      <c r="I50" s="350"/>
      <c r="J50" s="191"/>
      <c r="K50" s="191"/>
      <c r="M50" s="351"/>
      <c r="N50" s="351"/>
      <c r="AF50" s="169">
        <f t="shared" si="2"/>
        <v>1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51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4"/>
        <v/>
      </c>
      <c r="AQ50" s="207" t="s">
        <v>295</v>
      </c>
      <c r="AR50" s="207" t="s">
        <v>140</v>
      </c>
      <c r="AS50" s="207">
        <v>19</v>
      </c>
      <c r="AT50" s="207" t="s">
        <v>296</v>
      </c>
      <c r="AV50" s="168">
        <f t="shared" si="21"/>
        <v>16</v>
      </c>
      <c r="AW50" s="168">
        <f>COUNTIF( AV$7:AV50, AV50 )</f>
        <v>18</v>
      </c>
      <c r="AX50" s="208">
        <f t="shared" si="22"/>
        <v>17.8</v>
      </c>
      <c r="AY50" s="168">
        <f t="shared" si="23"/>
        <v>33</v>
      </c>
      <c r="AZ50" s="169"/>
      <c r="BA50" s="169"/>
      <c r="BC50" s="168">
        <f t="shared" ca="1" si="24"/>
        <v>44</v>
      </c>
      <c r="BD50" s="209">
        <f t="shared" ca="1" si="6"/>
        <v>22</v>
      </c>
      <c r="BF50" s="173" t="str">
        <f t="shared" ca="1" si="25"/>
        <v>FirstEnergy Corp.</v>
      </c>
      <c r="BG50" s="173" t="str">
        <f t="shared" ca="1" si="25"/>
        <v>BBB-</v>
      </c>
      <c r="BH50" s="173">
        <f t="shared" ca="1" si="25"/>
        <v>17</v>
      </c>
      <c r="BI50" s="173" t="str">
        <f t="shared" ca="1" si="25"/>
        <v>FE</v>
      </c>
    </row>
    <row r="51" spans="1:61" ht="13.8" x14ac:dyDescent="0.25">
      <c r="A51" s="223" t="s">
        <v>279</v>
      </c>
      <c r="B51" s="224" t="s">
        <v>142</v>
      </c>
      <c r="C51" s="224">
        <v>17</v>
      </c>
      <c r="D51" s="224" t="s">
        <v>280</v>
      </c>
      <c r="E51" s="225" t="str">
        <f t="shared" ca="1" si="8"/>
        <v>MR</v>
      </c>
      <c r="F51" s="348"/>
      <c r="G51" s="349">
        <f t="shared" ca="1" si="1"/>
        <v>28</v>
      </c>
      <c r="H51" s="350"/>
      <c r="I51" s="350"/>
      <c r="J51" s="191"/>
      <c r="K51" s="191"/>
      <c r="M51" s="351"/>
      <c r="N51" s="351"/>
      <c r="AF51" s="169">
        <f t="shared" si="2"/>
        <v>1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52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4"/>
        <v/>
      </c>
      <c r="AQ51" s="207" t="s">
        <v>345</v>
      </c>
      <c r="AR51" s="207" t="s">
        <v>139</v>
      </c>
      <c r="AS51" s="207">
        <v>20</v>
      </c>
      <c r="AT51" s="207" t="s">
        <v>346</v>
      </c>
      <c r="AV51" s="168">
        <f t="shared" si="21"/>
        <v>3</v>
      </c>
      <c r="AW51" s="168">
        <f>COUNTIF( AV$7:AV51, AV51 )</f>
        <v>11</v>
      </c>
      <c r="AX51" s="208">
        <f t="shared" si="22"/>
        <v>4.0999999999999996</v>
      </c>
      <c r="AY51" s="168">
        <f t="shared" si="23"/>
        <v>13</v>
      </c>
      <c r="AZ51" s="169"/>
      <c r="BA51" s="169"/>
      <c r="BC51" s="168">
        <f t="shared" ca="1" si="24"/>
        <v>45</v>
      </c>
      <c r="BD51" s="209">
        <f t="shared" ca="1" si="6"/>
        <v>24</v>
      </c>
      <c r="BF51" s="173" t="str">
        <f t="shared" ca="1" si="25"/>
        <v>Hawaiian Electric Industries, Inc.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HE</v>
      </c>
    </row>
    <row r="52" spans="1:61" ht="13.8" x14ac:dyDescent="0.25">
      <c r="A52" s="223" t="s">
        <v>287</v>
      </c>
      <c r="B52" s="224" t="s">
        <v>142</v>
      </c>
      <c r="C52" s="224">
        <v>17</v>
      </c>
      <c r="D52" s="224" t="s">
        <v>288</v>
      </c>
      <c r="E52" s="225" t="str">
        <f t="shared" ca="1" si="8"/>
        <v>R</v>
      </c>
      <c r="F52" s="348"/>
      <c r="G52" s="349">
        <f t="shared" ca="1" si="1"/>
        <v>57</v>
      </c>
      <c r="H52" s="350"/>
      <c r="I52" s="350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53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354</v>
      </c>
      <c r="AR52" s="207" t="s">
        <v>140</v>
      </c>
      <c r="AS52" s="207">
        <v>19</v>
      </c>
      <c r="AT52" s="207" t="s">
        <v>355</v>
      </c>
      <c r="AV52" s="168">
        <f t="shared" si="21"/>
        <v>16</v>
      </c>
      <c r="AW52" s="168">
        <f>COUNTIF( AV$7:AV52, AV52 )</f>
        <v>19</v>
      </c>
      <c r="AX52" s="208">
        <f t="shared" si="22"/>
        <v>17.899999999999999</v>
      </c>
      <c r="AY52" s="168">
        <f t="shared" si="23"/>
        <v>34</v>
      </c>
      <c r="AZ52" s="169"/>
      <c r="BA52" s="169"/>
      <c r="BC52" s="168">
        <f t="shared" ca="1" si="24"/>
        <v>46</v>
      </c>
      <c r="BD52" s="209">
        <f t="shared" ca="1" si="6"/>
        <v>26</v>
      </c>
      <c r="BF52" s="173" t="str">
        <f t="shared" ca="1" si="25"/>
        <v>IPALCO Enterprises, Inc.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**IPALCO</v>
      </c>
    </row>
    <row r="53" spans="1:61" ht="13.8" x14ac:dyDescent="0.25">
      <c r="A53" s="223" t="s">
        <v>305</v>
      </c>
      <c r="B53" s="224" t="s">
        <v>142</v>
      </c>
      <c r="C53" s="224">
        <v>17</v>
      </c>
      <c r="D53" s="224" t="s">
        <v>306</v>
      </c>
      <c r="E53" s="225" t="str">
        <f t="shared" ca="1" si="8"/>
        <v>R</v>
      </c>
      <c r="F53" s="348"/>
      <c r="G53" s="349">
        <f t="shared" ca="1" si="1"/>
        <v>59</v>
      </c>
      <c r="H53" s="350"/>
      <c r="I53" s="350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54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247</v>
      </c>
      <c r="AR53" s="207" t="s">
        <v>139</v>
      </c>
      <c r="AS53" s="207">
        <v>20</v>
      </c>
      <c r="AT53" s="207" t="s">
        <v>248</v>
      </c>
      <c r="AV53" s="168">
        <f t="shared" si="21"/>
        <v>3</v>
      </c>
      <c r="AW53" s="168">
        <f>COUNTIF( AV$7:AV53, AV53 )</f>
        <v>12</v>
      </c>
      <c r="AX53" s="208">
        <f t="shared" si="22"/>
        <v>4.2</v>
      </c>
      <c r="AY53" s="168">
        <f t="shared" si="23"/>
        <v>14</v>
      </c>
      <c r="AZ53" s="169"/>
      <c r="BA53" s="169"/>
      <c r="BC53" s="168">
        <f t="shared" ca="1" si="24"/>
        <v>47</v>
      </c>
      <c r="BD53" s="209">
        <f t="shared" ca="1" si="6"/>
        <v>40</v>
      </c>
      <c r="BF53" s="173" t="str">
        <f t="shared" ca="1" si="25"/>
        <v>Puget Energy,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**PSD</v>
      </c>
    </row>
    <row r="54" spans="1:61" ht="13.8" x14ac:dyDescent="0.25">
      <c r="A54" s="223" t="s">
        <v>259</v>
      </c>
      <c r="B54" s="224" t="s">
        <v>177</v>
      </c>
      <c r="C54" s="224">
        <v>14</v>
      </c>
      <c r="D54" s="224" t="s">
        <v>260</v>
      </c>
      <c r="E54" s="225" t="str">
        <f t="shared" ca="1" si="8"/>
        <v>MR</v>
      </c>
      <c r="F54" s="348"/>
      <c r="G54" s="349">
        <f t="shared" ca="1" si="1"/>
        <v>55</v>
      </c>
      <c r="H54" s="350"/>
      <c r="I54" s="350"/>
      <c r="J54" s="191"/>
      <c r="K54" s="191"/>
      <c r="AF54" s="169">
        <f t="shared" si="2"/>
        <v>0</v>
      </c>
      <c r="AG54" s="169" t="str">
        <f t="shared" ca="1" si="3"/>
        <v/>
      </c>
      <c r="AH54" s="169">
        <f t="shared" ca="1" si="18"/>
        <v>1</v>
      </c>
      <c r="AJ54" s="169">
        <f t="shared" ca="1" si="19"/>
        <v>55</v>
      </c>
      <c r="AK54" s="169" t="str">
        <f t="shared" ca="1" si="20"/>
        <v>BB</v>
      </c>
      <c r="AL54" s="169">
        <f t="shared" ca="1" si="20"/>
        <v>15</v>
      </c>
      <c r="AM54" s="169" t="str">
        <f t="shared" ca="1" si="4"/>
        <v>Change</v>
      </c>
      <c r="AQ54" s="207" t="s">
        <v>251</v>
      </c>
      <c r="AR54" s="207" t="s">
        <v>139</v>
      </c>
      <c r="AS54" s="207">
        <v>20</v>
      </c>
      <c r="AT54" s="207" t="s">
        <v>252</v>
      </c>
      <c r="AV54" s="168">
        <f t="shared" si="21"/>
        <v>3</v>
      </c>
      <c r="AW54" s="168">
        <f>COUNTIF( AV$7:AV54, AV54 )</f>
        <v>13</v>
      </c>
      <c r="AX54" s="208">
        <f t="shared" si="22"/>
        <v>4.3</v>
      </c>
      <c r="AY54" s="168">
        <f t="shared" si="23"/>
        <v>15</v>
      </c>
      <c r="AZ54" s="169"/>
      <c r="BA54" s="169"/>
      <c r="BC54" s="168">
        <f t="shared" ca="1" si="24"/>
        <v>48</v>
      </c>
      <c r="BD54" s="209">
        <f t="shared" ca="1" si="6"/>
        <v>14</v>
      </c>
      <c r="BF54" s="173" t="str">
        <f t="shared" ca="1" si="25"/>
        <v>DPL Inc.</v>
      </c>
      <c r="BG54" s="173" t="str">
        <f t="shared" ca="1" si="25"/>
        <v>BB-</v>
      </c>
      <c r="BH54" s="173">
        <f t="shared" ca="1" si="25"/>
        <v>14</v>
      </c>
      <c r="BI54" s="173" t="str">
        <f t="shared" ca="1" si="25"/>
        <v>**DPL</v>
      </c>
    </row>
    <row r="55" spans="1:61" ht="13.8" x14ac:dyDescent="0.25">
      <c r="A55" s="223"/>
      <c r="B55" s="224"/>
      <c r="C55" s="224"/>
      <c r="D55" s="224"/>
      <c r="E55" s="225" t="str">
        <f t="shared" ca="1" si="8"/>
        <v/>
      </c>
      <c r="F55" s="348"/>
      <c r="G55" s="349" t="str">
        <f t="shared" ca="1" si="1"/>
        <v/>
      </c>
      <c r="H55" s="350"/>
      <c r="I55" s="350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8"/>
        <v/>
      </c>
      <c r="AJ55" s="169" t="e">
        <f t="shared" ca="1" si="19"/>
        <v>#N/A</v>
      </c>
      <c r="AK55" s="169" t="str">
        <f t="shared" ca="1" si="20"/>
        <v/>
      </c>
      <c r="AL55" s="169" t="str">
        <f t="shared" ca="1" si="20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1"/>
        <v>99</v>
      </c>
      <c r="AW55" s="168">
        <f>COUNTIF( AV$7:AV55, AV55 )</f>
        <v>1</v>
      </c>
      <c r="AX55" s="208">
        <f t="shared" si="22"/>
        <v>99.1</v>
      </c>
      <c r="AY55" s="168">
        <f t="shared" si="23"/>
        <v>49</v>
      </c>
      <c r="AZ55" s="169"/>
      <c r="BA55" s="169"/>
      <c r="BC55" s="168">
        <f t="shared" ca="1" si="24"/>
        <v>49</v>
      </c>
      <c r="BD55" s="209">
        <f t="shared" ca="1" si="6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3.8" x14ac:dyDescent="0.25">
      <c r="A56" s="223"/>
      <c r="B56" s="224"/>
      <c r="C56" s="224"/>
      <c r="D56" s="224"/>
      <c r="E56" s="225"/>
      <c r="F56" s="348"/>
      <c r="G56" s="349" t="str">
        <f t="shared" ca="1" si="1"/>
        <v/>
      </c>
      <c r="H56" s="350"/>
      <c r="I56" s="350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2</v>
      </c>
      <c r="AX56" s="208">
        <f t="shared" si="22"/>
        <v>99.2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8" x14ac:dyDescent="0.25">
      <c r="A57" s="223"/>
      <c r="B57" s="224"/>
      <c r="C57" s="224"/>
      <c r="D57" s="224"/>
      <c r="E57" s="225"/>
      <c r="F57" s="348"/>
      <c r="G57" s="349" t="str">
        <f t="shared" ca="1" si="1"/>
        <v/>
      </c>
      <c r="H57" s="350"/>
      <c r="I57" s="350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3</v>
      </c>
      <c r="AX57" s="208">
        <f t="shared" si="22"/>
        <v>99.3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8" x14ac:dyDescent="0.25">
      <c r="A58" s="223"/>
      <c r="B58" s="224"/>
      <c r="C58" s="224"/>
      <c r="D58" s="224"/>
      <c r="E58" s="225"/>
      <c r="F58" s="348"/>
      <c r="G58" s="349" t="str">
        <f t="shared" ca="1" si="1"/>
        <v/>
      </c>
      <c r="H58" s="350"/>
      <c r="I58" s="350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4</v>
      </c>
      <c r="AX58" s="208">
        <f t="shared" si="22"/>
        <v>99.4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8" x14ac:dyDescent="0.25">
      <c r="A59" s="223"/>
      <c r="B59" s="224"/>
      <c r="C59" s="224"/>
      <c r="D59" s="224"/>
      <c r="E59" s="225" t="str">
        <f t="shared" ca="1" si="8"/>
        <v/>
      </c>
      <c r="F59" s="348"/>
      <c r="G59" s="349" t="str">
        <f t="shared" ca="1" si="1"/>
        <v/>
      </c>
      <c r="H59" s="350"/>
      <c r="I59" s="350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5</v>
      </c>
      <c r="AX59" s="208">
        <f t="shared" si="22"/>
        <v>99.5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" thickBot="1" x14ac:dyDescent="0.3">
      <c r="A60" s="192"/>
      <c r="B60" s="193"/>
      <c r="C60" s="193"/>
      <c r="D60" s="193"/>
      <c r="E60" s="194" t="str">
        <f t="shared" ca="1" si="8"/>
        <v/>
      </c>
      <c r="F60" s="350"/>
      <c r="G60" s="353" t="str">
        <f t="shared" ca="1" si="1"/>
        <v/>
      </c>
      <c r="H60" s="350"/>
      <c r="I60" s="350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6</v>
      </c>
      <c r="AX60" s="208">
        <f t="shared" si="22"/>
        <v>99.6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8" x14ac:dyDescent="0.25">
      <c r="A61" s="226" t="s">
        <v>308</v>
      </c>
      <c r="B61" s="227" t="s">
        <v>162</v>
      </c>
      <c r="C61" s="227">
        <v>23</v>
      </c>
      <c r="D61" s="227" t="s">
        <v>309</v>
      </c>
      <c r="E61" s="228" t="str">
        <f t="shared" ca="1" si="8"/>
        <v>MR</v>
      </c>
      <c r="F61" s="354"/>
      <c r="G61" s="355">
        <f t="shared" ca="1" si="1"/>
        <v>31</v>
      </c>
      <c r="H61" s="350"/>
      <c r="I61" s="350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7</v>
      </c>
      <c r="AX61" s="208">
        <f t="shared" si="22"/>
        <v>99.7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8" x14ac:dyDescent="0.25">
      <c r="A62" s="223"/>
      <c r="B62" s="224"/>
      <c r="C62" s="224"/>
      <c r="D62" s="224"/>
      <c r="E62" s="225"/>
      <c r="F62" s="348"/>
      <c r="G62" s="349" t="str">
        <f t="shared" ca="1" si="1"/>
        <v/>
      </c>
      <c r="H62" s="350"/>
      <c r="I62" s="350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 t="e">
        <f t="shared" ca="1" si="19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8</v>
      </c>
      <c r="AX62" s="208">
        <f t="shared" si="22"/>
        <v>99.8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/>
      <c r="B63" s="229"/>
      <c r="C63" s="224"/>
      <c r="D63" s="224"/>
      <c r="E63" s="225"/>
      <c r="F63" s="348"/>
      <c r="G63" s="349"/>
      <c r="H63" s="350"/>
      <c r="I63" s="350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9</v>
      </c>
      <c r="AX63" s="208">
        <f t="shared" si="22"/>
        <v>99.9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/>
      <c r="B64" s="229"/>
      <c r="C64" s="224"/>
      <c r="D64" s="224"/>
      <c r="E64" s="225"/>
      <c r="F64" s="348"/>
      <c r="G64" s="349"/>
      <c r="H64" s="350"/>
      <c r="I64" s="350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308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58" ht="13.8" x14ac:dyDescent="0.25">
      <c r="A65" s="223"/>
      <c r="B65" s="229"/>
      <c r="C65" s="224"/>
      <c r="D65" s="224"/>
      <c r="E65" s="225"/>
      <c r="F65" s="348"/>
      <c r="G65" s="349"/>
      <c r="H65" s="350"/>
      <c r="I65" s="350"/>
      <c r="N65" s="168" t="s">
        <v>310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3.8" x14ac:dyDescent="0.25">
      <c r="A66" s="195"/>
      <c r="B66" s="196"/>
      <c r="C66" s="185"/>
      <c r="D66" s="185"/>
      <c r="E66" s="182"/>
      <c r="F66" s="350"/>
      <c r="H66" s="350"/>
      <c r="I66" s="350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50"/>
      <c r="H67" s="350"/>
      <c r="I67" s="350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8" x14ac:dyDescent="0.25">
      <c r="A68" s="200" t="s">
        <v>311</v>
      </c>
      <c r="B68" s="189" t="str">
        <f ca="1">OFFSET( Scale!$H$5, ROUND( C68, 0 ) - 1, 1 )</f>
        <v>BBB+</v>
      </c>
      <c r="C68" s="201">
        <f>AVERAGE(C7:C65)</f>
        <v>18.959183673469386</v>
      </c>
      <c r="D68" s="201"/>
      <c r="E68" s="201"/>
      <c r="F68" s="350"/>
      <c r="H68" s="350"/>
      <c r="I68" s="350"/>
      <c r="J68" s="351"/>
      <c r="K68" s="351"/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50"/>
      <c r="H69" s="350"/>
      <c r="I69" s="350"/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1"/>
      <c r="K70" s="351"/>
    </row>
    <row r="71" spans="1:58" x14ac:dyDescent="0.25">
      <c r="A71" s="203" t="s">
        <v>312</v>
      </c>
      <c r="F71" s="173"/>
      <c r="H71" s="173"/>
      <c r="I71" s="173"/>
    </row>
    <row r="72" spans="1:58" x14ac:dyDescent="0.25">
      <c r="A72" s="203" t="s">
        <v>313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314</v>
      </c>
      <c r="B73" s="173"/>
      <c r="D73" s="173"/>
      <c r="E73" s="173"/>
      <c r="F73" s="204"/>
      <c r="H73" s="204"/>
      <c r="I73" s="204"/>
    </row>
    <row r="74" spans="1:58" x14ac:dyDescent="0.25">
      <c r="A74" s="203" t="s">
        <v>315</v>
      </c>
      <c r="D74" s="204"/>
      <c r="F74" s="206"/>
      <c r="H74" s="206"/>
      <c r="I74" s="206"/>
      <c r="AQ74" s="207"/>
      <c r="AR74" s="207"/>
      <c r="AS74" s="207"/>
    </row>
    <row r="75" spans="1:58" x14ac:dyDescent="0.25">
      <c r="A75" s="203" t="s">
        <v>316</v>
      </c>
      <c r="D75" s="204"/>
      <c r="F75" s="206"/>
      <c r="H75" s="206"/>
      <c r="I75" s="206"/>
      <c r="AQ75" s="207"/>
      <c r="AR75" s="207"/>
      <c r="AS75" s="207"/>
    </row>
    <row r="76" spans="1:58" x14ac:dyDescent="0.25">
      <c r="A76" s="203"/>
      <c r="AQ76" s="207"/>
      <c r="AR76" s="207"/>
      <c r="AS76" s="207"/>
    </row>
    <row r="77" spans="1:58" x14ac:dyDescent="0.25">
      <c r="C77" s="190">
        <f>SUMPRODUCT( L8:L13, Y8:Y13 ) / L14</f>
        <v>18.959183673469386</v>
      </c>
      <c r="E77" s="191"/>
      <c r="G77" s="353"/>
      <c r="J77" s="173"/>
      <c r="K77" s="173"/>
      <c r="AQ77" s="207"/>
      <c r="AR77" s="207"/>
      <c r="AS77" s="207"/>
    </row>
    <row r="78" spans="1:58" s="173" customFormat="1" ht="13.8" x14ac:dyDescent="0.2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ref="AQ7:AT5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839" priority="28" stopIfTrue="1">
      <formula>IF( $AH7 = 1, TRUE, FALSE )</formula>
    </cfRule>
    <cfRule type="expression" dxfId="838" priority="29" stopIfTrue="1">
      <formula>IF( $AG7 = 1, TRUE, FALSE )</formula>
    </cfRule>
    <cfRule type="expression" dxfId="837" priority="30" stopIfTrue="1">
      <formula>IF( $AF7 = 1, TRUE, FALSE )</formula>
    </cfRule>
  </conditionalFormatting>
  <conditionalFormatting sqref="A67:E67">
    <cfRule type="expression" dxfId="836" priority="31" stopIfTrue="1">
      <formula>IF( $AH67 = 1, TRUE, FALSE )</formula>
    </cfRule>
    <cfRule type="expression" dxfId="835" priority="32" stopIfTrue="1">
      <formula>IF( $AG67 = 1, TRUE, FALSE )</formula>
    </cfRule>
    <cfRule type="expression" dxfId="834" priority="33" stopIfTrue="1">
      <formula>IF( $AF67 = 1, TRUE, FALSE )</formula>
    </cfRule>
  </conditionalFormatting>
  <conditionalFormatting sqref="A66:E66">
    <cfRule type="expression" dxfId="833" priority="25" stopIfTrue="1">
      <formula>IF( $AH66 = 1, TRUE, FALSE )</formula>
    </cfRule>
    <cfRule type="expression" dxfId="832" priority="26" stopIfTrue="1">
      <formula>IF( $AG66 = 1, TRUE, FALSE )</formula>
    </cfRule>
    <cfRule type="expression" dxfId="831" priority="27" stopIfTrue="1">
      <formula>IF( $AF66 = 1, TRUE, FALSE )</formula>
    </cfRule>
  </conditionalFormatting>
  <conditionalFormatting sqref="A8:D58 B7:D7">
    <cfRule type="expression" dxfId="830" priority="22" stopIfTrue="1">
      <formula>IF( $AH7 = 1, TRUE, FALSE )</formula>
    </cfRule>
    <cfRule type="expression" dxfId="829" priority="23" stopIfTrue="1">
      <formula>IF( $AG7 = 1, TRUE, FALSE )</formula>
    </cfRule>
    <cfRule type="expression" dxfId="828" priority="24" stopIfTrue="1">
      <formula>IF( $AF7 = 1, TRUE, FALSE )</formula>
    </cfRule>
  </conditionalFormatting>
  <conditionalFormatting sqref="A59:D59">
    <cfRule type="expression" dxfId="827" priority="19" stopIfTrue="1">
      <formula>IF( $AH59 = 1, TRUE, FALSE )</formula>
    </cfRule>
    <cfRule type="expression" dxfId="826" priority="20" stopIfTrue="1">
      <formula>IF( $AG59 = 1, TRUE, FALSE )</formula>
    </cfRule>
    <cfRule type="expression" dxfId="825" priority="21" stopIfTrue="1">
      <formula>IF( $AF59 = 1, TRUE, FALSE )</formula>
    </cfRule>
  </conditionalFormatting>
  <conditionalFormatting sqref="A61:D65">
    <cfRule type="expression" dxfId="824" priority="16" stopIfTrue="1">
      <formula>IF( $AH61 = 1, TRUE, FALSE )</formula>
    </cfRule>
    <cfRule type="expression" dxfId="823" priority="17" stopIfTrue="1">
      <formula>IF( $AG61 = 1, TRUE, FALSE )</formula>
    </cfRule>
    <cfRule type="expression" dxfId="822" priority="18" stopIfTrue="1">
      <formula>IF( $AF61 = 1, TRUE, FALSE )</formula>
    </cfRule>
  </conditionalFormatting>
  <conditionalFormatting sqref="U8:U12">
    <cfRule type="cellIs" dxfId="821" priority="15" operator="equal">
      <formula>0</formula>
    </cfRule>
  </conditionalFormatting>
  <conditionalFormatting sqref="O8:O12 Q8:Q12">
    <cfRule type="cellIs" dxfId="820" priority="14" operator="equal">
      <formula>0</formula>
    </cfRule>
  </conditionalFormatting>
  <conditionalFormatting sqref="V8:V12">
    <cfRule type="cellIs" dxfId="819" priority="13" operator="equal">
      <formula>0</formula>
    </cfRule>
  </conditionalFormatting>
  <conditionalFormatting sqref="S8:S12">
    <cfRule type="cellIs" dxfId="818" priority="11" operator="equal">
      <formula>0</formula>
    </cfRule>
  </conditionalFormatting>
  <conditionalFormatting sqref="R8:R12">
    <cfRule type="cellIs" dxfId="817" priority="12" operator="equal">
      <formula>0</formula>
    </cfRule>
  </conditionalFormatting>
  <conditionalFormatting sqref="P8:P12">
    <cfRule type="cellIs" dxfId="816" priority="10" operator="equal">
      <formula>0</formula>
    </cfRule>
  </conditionalFormatting>
  <conditionalFormatting sqref="M8:M12">
    <cfRule type="cellIs" dxfId="815" priority="9" operator="equal">
      <formula>0</formula>
    </cfRule>
  </conditionalFormatting>
  <conditionalFormatting sqref="T8:T12">
    <cfRule type="cellIs" dxfId="814" priority="8" operator="equal">
      <formula>0</formula>
    </cfRule>
  </conditionalFormatting>
  <conditionalFormatting sqref="N8:N12">
    <cfRule type="cellIs" dxfId="813" priority="7" operator="equal">
      <formula>0</formula>
    </cfRule>
  </conditionalFormatting>
  <conditionalFormatting sqref="K8:K12">
    <cfRule type="cellIs" dxfId="812" priority="6" operator="equal">
      <formula>0</formula>
    </cfRule>
  </conditionalFormatting>
  <conditionalFormatting sqref="I8:I12">
    <cfRule type="cellIs" dxfId="811" priority="5" operator="equal">
      <formula>0</formula>
    </cfRule>
  </conditionalFormatting>
  <conditionalFormatting sqref="W8:W12">
    <cfRule type="cellIs" dxfId="810" priority="4" operator="equal">
      <formula>0</formula>
    </cfRule>
  </conditionalFormatting>
  <conditionalFormatting sqref="A7">
    <cfRule type="expression" dxfId="809" priority="1" stopIfTrue="1">
      <formula>IF( $AH7 = 1, TRUE, FALSE )</formula>
    </cfRule>
    <cfRule type="expression" dxfId="808" priority="2" stopIfTrue="1">
      <formula>IF( $AG7 = 1, TRUE, FALSE )</formula>
    </cfRule>
    <cfRule type="expression" dxfId="807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customWidth="1"/>
    <col min="23" max="23" width="2" style="168" customWidth="1"/>
    <col min="24" max="24" width="4.109375" style="168" customWidth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15.88671875" style="169" hidden="1" customWidth="1" outlineLevel="1" collapsed="1"/>
    <col min="37" max="38" width="15.88671875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-- 2016 Q4</v>
      </c>
      <c r="G1" s="175" t="s">
        <v>195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 x14ac:dyDescent="0.25">
      <c r="A2" s="167"/>
      <c r="E2" s="171" t="str">
        <f>G2</f>
        <v>Reg_Percent_2015</v>
      </c>
      <c r="G2" s="172" t="s">
        <v>365</v>
      </c>
      <c r="AJ2" s="173" t="str">
        <f>AJ4 &amp; AJ3</f>
        <v>'Credit_2016Q3'!d:d</v>
      </c>
      <c r="AK2" s="173" t="str">
        <f>AK4 &amp; AK3</f>
        <v>'Credit_2016Q3'!b1</v>
      </c>
      <c r="AL2" s="173" t="str">
        <f>AL4 &amp; AL3</f>
        <v>'Credit_2016Q3'!c1</v>
      </c>
      <c r="AQ2" s="169"/>
    </row>
    <row r="3" spans="1:61" ht="18" hidden="1" outlineLevel="1" x14ac:dyDescent="0.25">
      <c r="A3" s="167"/>
      <c r="E3" s="174" t="str">
        <f>"'" &amp; E2 &amp; "'!"</f>
        <v>'Reg_Percent_2015'!</v>
      </c>
      <c r="G3" s="168" t="str">
        <f>"'" &amp; G2 &amp; "'!"</f>
        <v>'Reg_Percent_2015'!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205</v>
      </c>
      <c r="AK3" s="149" t="s">
        <v>206</v>
      </c>
      <c r="AL3" s="149" t="s">
        <v>207</v>
      </c>
      <c r="AQ3" s="169"/>
    </row>
    <row r="4" spans="1:61" ht="18" hidden="1" outlineLevel="1" x14ac:dyDescent="0.25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>$AQ$5</f>
        <v>'Credit_2016Q3'!</v>
      </c>
      <c r="AK4" s="169" t="str">
        <f t="shared" ref="AK4:AL4" si="0">$AQ$5</f>
        <v>'Credit_2016Q3'!</v>
      </c>
      <c r="AL4" s="169" t="str">
        <f t="shared" si="0"/>
        <v>'Credit_2016Q3'!</v>
      </c>
      <c r="AQ4" s="169"/>
    </row>
    <row r="5" spans="1:61" ht="13.8" collapsed="1" x14ac:dyDescent="0.25">
      <c r="E5" s="176" t="s">
        <v>209</v>
      </c>
      <c r="G5" s="170" t="s">
        <v>199</v>
      </c>
      <c r="I5" s="230"/>
      <c r="J5" s="389" t="s">
        <v>210</v>
      </c>
      <c r="K5" s="230"/>
      <c r="L5" s="391" t="str">
        <f>"All Companies" &amp; CHAR( 10 ) &amp; "("&amp; L14 &amp; ")"</f>
        <v>All Companies
(50)</v>
      </c>
      <c r="M5" s="391"/>
      <c r="N5" s="230"/>
      <c r="O5" s="389" t="str">
        <f ca="1">"Regulated" &amp; CHAR( 10 ) &amp; "(" &amp; O14 &amp; ")"</f>
        <v>Regulated
(36)</v>
      </c>
      <c r="P5" s="393"/>
      <c r="Q5" s="230"/>
      <c r="R5" s="389" t="str">
        <f ca="1">"Mostly Regulated" &amp; CHAR( 10 ) &amp; "(" &amp; R14 &amp; ")"</f>
        <v>Mostly Regulated
(12)</v>
      </c>
      <c r="S5" s="393"/>
      <c r="T5" s="230"/>
      <c r="U5" s="389" t="str">
        <f ca="1">"Diversified" &amp; CHAR( 10 ) &amp; "(" &amp; U14 &amp; ")"</f>
        <v>Diversified
(2)</v>
      </c>
      <c r="V5" s="393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366</v>
      </c>
    </row>
    <row r="6" spans="1:61" ht="28.5" customHeight="1" x14ac:dyDescent="0.25">
      <c r="A6" s="219" t="s">
        <v>212</v>
      </c>
      <c r="B6" s="220" t="s">
        <v>67</v>
      </c>
      <c r="C6" s="249" t="s">
        <v>214</v>
      </c>
      <c r="D6" s="221"/>
      <c r="E6" s="222">
        <f ca="1">INDIRECT( E3 &amp; G1 )</f>
        <v>42369</v>
      </c>
      <c r="I6" s="231"/>
      <c r="J6" s="390"/>
      <c r="K6" s="231"/>
      <c r="L6" s="392"/>
      <c r="M6" s="392"/>
      <c r="N6" s="231"/>
      <c r="O6" s="390"/>
      <c r="P6" s="390"/>
      <c r="Q6" s="231"/>
      <c r="R6" s="390" t="s">
        <v>136</v>
      </c>
      <c r="S6" s="390"/>
      <c r="T6" s="231"/>
      <c r="U6" s="390"/>
      <c r="V6" s="390"/>
      <c r="W6" s="231"/>
      <c r="AE6" s="178"/>
      <c r="AJ6" s="179"/>
    </row>
    <row r="7" spans="1:61" ht="13.8" x14ac:dyDescent="0.25">
      <c r="A7" s="223" t="s">
        <v>215</v>
      </c>
      <c r="B7" s="224" t="s">
        <v>166</v>
      </c>
      <c r="C7" s="224">
        <v>21</v>
      </c>
      <c r="D7" s="224" t="s">
        <v>216</v>
      </c>
      <c r="E7" s="225" t="str">
        <f ca="1">IF( LEN( $G7 ) = 0, "", OFFSET( INDIRECT( E$3 &amp; E$4 ), $G7 - 1, 0 ) )</f>
        <v>R</v>
      </c>
      <c r="F7" s="348"/>
      <c r="G7" s="349">
        <f t="shared" ref="G7:G62" ca="1" si="1">IF( LEN( $D7 ) = 0, "", MATCH( $D7, INDIRECT( G$3 &amp; G$4 ), 0 ) )</f>
        <v>60</v>
      </c>
      <c r="H7" s="350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217</v>
      </c>
      <c r="AR7" s="207" t="s">
        <v>140</v>
      </c>
      <c r="AS7" s="207">
        <v>19</v>
      </c>
      <c r="AT7" s="207" t="s">
        <v>218</v>
      </c>
      <c r="AV7" s="168">
        <f>IF( LEN( AS7 ) = 0, 99, RANK( AS7, $AS$7:$AS$63 ) )</f>
        <v>15</v>
      </c>
      <c r="AW7" s="168">
        <f>COUNTIF( AV7:AV$7, AV7 )</f>
        <v>1</v>
      </c>
      <c r="AX7" s="208">
        <f>AV7 + AW7 / 10</f>
        <v>15.1</v>
      </c>
      <c r="AY7" s="168">
        <f>RANK( AX7, $AX$7:$AX$63, 1 )</f>
        <v>15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7</v>
      </c>
      <c r="BF7" s="173" t="str">
        <f t="shared" ref="BF7:BI38" ca="1" si="7">OFFSET( AQ$6, $BD7, 0 )</f>
        <v>Berkshire Energy Holdings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**BRK</v>
      </c>
    </row>
    <row r="8" spans="1:61" ht="13.8" x14ac:dyDescent="0.25">
      <c r="A8" s="223" t="s">
        <v>235</v>
      </c>
      <c r="B8" s="224" t="s">
        <v>166</v>
      </c>
      <c r="C8" s="224">
        <v>21</v>
      </c>
      <c r="D8" s="224" t="s">
        <v>236</v>
      </c>
      <c r="E8" s="225" t="str">
        <f t="shared" ref="E8:E62" ca="1" si="8">IF( LEN( $G8 ) = 0, "", OFFSET( INDIRECT( E$3 &amp; E$4 ), $G8 - 1, 0 ) )</f>
        <v>R</v>
      </c>
      <c r="F8" s="348"/>
      <c r="G8" s="349">
        <f t="shared" ca="1" si="1"/>
        <v>25</v>
      </c>
      <c r="H8" s="350"/>
      <c r="I8" s="233"/>
      <c r="J8" s="213" t="s">
        <v>137</v>
      </c>
      <c r="K8" s="233"/>
      <c r="L8" s="213">
        <f t="shared" ref="L8:L13" si="9">COUNTIF($C$7:$C$67,$X8)</f>
        <v>3</v>
      </c>
      <c r="M8" s="214">
        <f t="shared" ref="M8:M13" si="10">IF( L8 = 0, "", L8/L$14 )</f>
        <v>0.06</v>
      </c>
      <c r="N8" s="233"/>
      <c r="O8" s="213">
        <f t="shared" ref="O8:O13" ca="1" si="11">COUNTIFS( $E$7:$E$66, O$3, $C$7:$C$66, $X8 )</f>
        <v>2</v>
      </c>
      <c r="P8" s="214">
        <f t="shared" ref="P8:P13" ca="1" si="12">IF( O8 = 0, "", O8/O$14 )</f>
        <v>5.5555555555555552E-2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8.3333333333333329E-2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7">SUM(O8, R8, U8)</f>
        <v>3</v>
      </c>
      <c r="AC8" s="351"/>
      <c r="AE8" s="184"/>
      <c r="AF8" s="169">
        <f t="shared" si="2"/>
        <v>1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21</v>
      </c>
      <c r="BF8" s="173" t="str">
        <f t="shared" ca="1" si="7"/>
        <v>Eversource Energy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ES</v>
      </c>
    </row>
    <row r="9" spans="1:61" ht="13.8" x14ac:dyDescent="0.25">
      <c r="A9" s="223" t="s">
        <v>219</v>
      </c>
      <c r="B9" s="224" t="s">
        <v>139</v>
      </c>
      <c r="C9" s="224">
        <v>20</v>
      </c>
      <c r="D9" s="224" t="s">
        <v>220</v>
      </c>
      <c r="E9" s="225" t="str">
        <f t="shared" ca="1" si="8"/>
        <v>R</v>
      </c>
      <c r="F9" s="348"/>
      <c r="G9" s="349">
        <f t="shared" ca="1" si="1"/>
        <v>8</v>
      </c>
      <c r="H9" s="350"/>
      <c r="I9" s="234"/>
      <c r="J9" s="215" t="s">
        <v>139</v>
      </c>
      <c r="K9" s="234"/>
      <c r="L9" s="215">
        <f t="shared" si="9"/>
        <v>12</v>
      </c>
      <c r="M9" s="216">
        <f t="shared" si="10"/>
        <v>0.24</v>
      </c>
      <c r="N9" s="234"/>
      <c r="O9" s="215">
        <f t="shared" ca="1" si="11"/>
        <v>10</v>
      </c>
      <c r="P9" s="216">
        <f t="shared" ca="1" si="12"/>
        <v>0.27777777777777779</v>
      </c>
      <c r="Q9" s="234"/>
      <c r="R9" s="215">
        <f t="shared" ca="1" si="13"/>
        <v>2</v>
      </c>
      <c r="S9" s="216">
        <f t="shared" ca="1" si="14"/>
        <v>0.16666666666666666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7"/>
        <v>12</v>
      </c>
      <c r="AC9" s="351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si="21"/>
        <v>15</v>
      </c>
      <c r="AW9" s="168">
        <f>COUNTIF( AV$7:AV9, AV9 )</f>
        <v>2</v>
      </c>
      <c r="AX9" s="208">
        <f t="shared" si="22"/>
        <v>15.2</v>
      </c>
      <c r="AY9" s="168">
        <f t="shared" si="23"/>
        <v>16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ht="13.8" x14ac:dyDescent="0.25">
      <c r="A10" s="223" t="s">
        <v>249</v>
      </c>
      <c r="B10" s="224" t="s">
        <v>139</v>
      </c>
      <c r="C10" s="224">
        <v>20</v>
      </c>
      <c r="D10" s="224" t="s">
        <v>250</v>
      </c>
      <c r="E10" s="225" t="str">
        <f t="shared" ca="1" si="8"/>
        <v>MR</v>
      </c>
      <c r="F10" s="348"/>
      <c r="G10" s="349">
        <f t="shared" ca="1" si="1"/>
        <v>14</v>
      </c>
      <c r="H10" s="350"/>
      <c r="I10" s="234"/>
      <c r="J10" s="215" t="s">
        <v>140</v>
      </c>
      <c r="K10" s="234"/>
      <c r="L10" s="215">
        <f t="shared" si="9"/>
        <v>20</v>
      </c>
      <c r="M10" s="216">
        <f t="shared" si="10"/>
        <v>0.4</v>
      </c>
      <c r="N10" s="234"/>
      <c r="O10" s="215">
        <f t="shared" ca="1" si="11"/>
        <v>13</v>
      </c>
      <c r="P10" s="216">
        <f t="shared" ca="1" si="12"/>
        <v>0.3611111111111111</v>
      </c>
      <c r="Q10" s="234"/>
      <c r="R10" s="215">
        <f t="shared" ca="1" si="13"/>
        <v>7</v>
      </c>
      <c r="S10" s="216">
        <f t="shared" ca="1" si="14"/>
        <v>0.58333333333333337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229</v>
      </c>
      <c r="Y10" s="186">
        <v>19</v>
      </c>
      <c r="Z10" s="186">
        <v>1</v>
      </c>
      <c r="AA10" s="185">
        <f t="shared" ca="1" si="17"/>
        <v>20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222</v>
      </c>
      <c r="AR10" s="207" t="s">
        <v>140</v>
      </c>
      <c r="AS10" s="207">
        <v>19</v>
      </c>
      <c r="AT10" s="207" t="s">
        <v>223</v>
      </c>
      <c r="AV10" s="168">
        <f t="shared" si="21"/>
        <v>15</v>
      </c>
      <c r="AW10" s="168">
        <f>COUNTIF( AV$7:AV10, AV10 )</f>
        <v>3</v>
      </c>
      <c r="AX10" s="208">
        <f t="shared" si="22"/>
        <v>15.3</v>
      </c>
      <c r="AY10" s="168">
        <f t="shared" si="23"/>
        <v>17</v>
      </c>
      <c r="AZ10" s="169"/>
      <c r="BA10" s="169"/>
      <c r="BC10" s="168">
        <f t="shared" ca="1" si="24"/>
        <v>4</v>
      </c>
      <c r="BD10" s="209">
        <f t="shared" ca="1" si="6"/>
        <v>9</v>
      </c>
      <c r="BF10" s="173" t="str">
        <f t="shared" ca="1" si="7"/>
        <v>CenterPoint Energy,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CNP</v>
      </c>
    </row>
    <row r="11" spans="1:61" ht="13.8" x14ac:dyDescent="0.25">
      <c r="A11" s="223" t="s">
        <v>227</v>
      </c>
      <c r="B11" s="224" t="s">
        <v>139</v>
      </c>
      <c r="C11" s="224">
        <v>20</v>
      </c>
      <c r="D11" s="224" t="s">
        <v>228</v>
      </c>
      <c r="E11" s="225" t="str">
        <f t="shared" ca="1" si="8"/>
        <v>R</v>
      </c>
      <c r="F11" s="348"/>
      <c r="G11" s="349">
        <f t="shared" ca="1" si="1"/>
        <v>17</v>
      </c>
      <c r="H11" s="350"/>
      <c r="I11" s="234"/>
      <c r="J11" s="215" t="s">
        <v>141</v>
      </c>
      <c r="K11" s="234"/>
      <c r="L11" s="215">
        <f t="shared" si="9"/>
        <v>9</v>
      </c>
      <c r="M11" s="216">
        <f t="shared" si="10"/>
        <v>0.18</v>
      </c>
      <c r="N11" s="234"/>
      <c r="O11" s="215">
        <f t="shared" ca="1" si="11"/>
        <v>8</v>
      </c>
      <c r="P11" s="216">
        <f t="shared" ca="1" si="12"/>
        <v>0.22222222222222221</v>
      </c>
      <c r="Q11" s="234"/>
      <c r="R11" s="215">
        <f t="shared" ca="1" si="13"/>
        <v>0</v>
      </c>
      <c r="S11" s="216" t="str">
        <f t="shared" ca="1" si="14"/>
        <v/>
      </c>
      <c r="T11" s="234"/>
      <c r="U11" s="215">
        <f t="shared" ca="1" si="15"/>
        <v>1</v>
      </c>
      <c r="V11" s="216">
        <f t="shared" ca="1" si="16"/>
        <v>0.5</v>
      </c>
      <c r="W11" s="234"/>
      <c r="X11" s="186" t="s">
        <v>232</v>
      </c>
      <c r="Y11" s="186">
        <v>18</v>
      </c>
      <c r="Z11" s="186">
        <v>1</v>
      </c>
      <c r="AA11" s="185">
        <f t="shared" ca="1" si="17"/>
        <v>9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233</v>
      </c>
      <c r="AR11" s="207" t="s">
        <v>140</v>
      </c>
      <c r="AS11" s="207">
        <v>19</v>
      </c>
      <c r="AT11" s="207" t="s">
        <v>234</v>
      </c>
      <c r="AV11" s="168">
        <f t="shared" si="21"/>
        <v>15</v>
      </c>
      <c r="AW11" s="168">
        <f>COUNTIF( AV$7:AV11, AV11 )</f>
        <v>4</v>
      </c>
      <c r="AX11" s="208">
        <f t="shared" si="22"/>
        <v>15.4</v>
      </c>
      <c r="AY11" s="168">
        <f t="shared" si="23"/>
        <v>18</v>
      </c>
      <c r="AZ11" s="169"/>
      <c r="BA11" s="169"/>
      <c r="BC11" s="168">
        <f t="shared" ca="1" si="24"/>
        <v>5</v>
      </c>
      <c r="BD11" s="209">
        <f t="shared" ca="1" si="6"/>
        <v>12</v>
      </c>
      <c r="BF11" s="173" t="str">
        <f t="shared" ca="1" si="7"/>
        <v>Consolidated Edison,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ED</v>
      </c>
    </row>
    <row r="12" spans="1:61" ht="13.8" x14ac:dyDescent="0.25">
      <c r="A12" s="223" t="s">
        <v>263</v>
      </c>
      <c r="B12" s="224" t="s">
        <v>139</v>
      </c>
      <c r="C12" s="224">
        <v>20</v>
      </c>
      <c r="D12" s="224" t="s">
        <v>264</v>
      </c>
      <c r="E12" s="225" t="str">
        <f t="shared" ca="1" si="8"/>
        <v>R</v>
      </c>
      <c r="F12" s="348"/>
      <c r="G12" s="349">
        <f t="shared" ca="1" si="1"/>
        <v>20</v>
      </c>
      <c r="H12" s="350"/>
      <c r="I12" s="234"/>
      <c r="J12" s="215" t="s">
        <v>142</v>
      </c>
      <c r="K12" s="234"/>
      <c r="L12" s="215">
        <f t="shared" si="9"/>
        <v>5</v>
      </c>
      <c r="M12" s="216">
        <f t="shared" si="10"/>
        <v>0.1</v>
      </c>
      <c r="N12" s="234"/>
      <c r="O12" s="215">
        <f t="shared" ca="1" si="11"/>
        <v>3</v>
      </c>
      <c r="P12" s="216">
        <f t="shared" ca="1" si="12"/>
        <v>8.3333333333333329E-2</v>
      </c>
      <c r="Q12" s="234"/>
      <c r="R12" s="215">
        <f t="shared" ca="1" si="13"/>
        <v>1</v>
      </c>
      <c r="S12" s="216">
        <f t="shared" ca="1" si="14"/>
        <v>8.3333333333333329E-2</v>
      </c>
      <c r="T12" s="234"/>
      <c r="U12" s="215">
        <f t="shared" ca="1" si="15"/>
        <v>1</v>
      </c>
      <c r="V12" s="216">
        <f t="shared" ca="1" si="16"/>
        <v>0.5</v>
      </c>
      <c r="W12" s="234"/>
      <c r="X12" s="186" t="s">
        <v>237</v>
      </c>
      <c r="Y12" s="186">
        <v>17</v>
      </c>
      <c r="Z12" s="186">
        <v>1</v>
      </c>
      <c r="AA12" s="185">
        <f t="shared" ca="1" si="17"/>
        <v>5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238</v>
      </c>
      <c r="AR12" s="207" t="s">
        <v>141</v>
      </c>
      <c r="AS12" s="207">
        <v>18</v>
      </c>
      <c r="AT12" s="207" t="s">
        <v>239</v>
      </c>
      <c r="AV12" s="168">
        <f t="shared" si="21"/>
        <v>35</v>
      </c>
      <c r="AW12" s="168">
        <f>COUNTIF( AV$7:AV12, AV12 )</f>
        <v>1</v>
      </c>
      <c r="AX12" s="208">
        <f t="shared" si="22"/>
        <v>35.1</v>
      </c>
      <c r="AY12" s="168">
        <f t="shared" si="23"/>
        <v>35</v>
      </c>
      <c r="AZ12" s="169"/>
      <c r="BA12" s="169"/>
      <c r="BC12" s="168">
        <f t="shared" ca="1" si="24"/>
        <v>6</v>
      </c>
      <c r="BD12" s="209">
        <f t="shared" ca="1" si="6"/>
        <v>16</v>
      </c>
      <c r="BF12" s="173" t="str">
        <f t="shared" ca="1" si="7"/>
        <v>Duke Energy Corporation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DUK</v>
      </c>
    </row>
    <row r="13" spans="1:61" ht="13.8" x14ac:dyDescent="0.25">
      <c r="A13" s="223" t="s">
        <v>240</v>
      </c>
      <c r="B13" s="224" t="s">
        <v>139</v>
      </c>
      <c r="C13" s="224">
        <v>20</v>
      </c>
      <c r="D13" s="224" t="s">
        <v>241</v>
      </c>
      <c r="E13" s="225" t="str">
        <f t="shared" ca="1" si="8"/>
        <v>MR</v>
      </c>
      <c r="F13" s="348"/>
      <c r="G13" s="349">
        <f t="shared" ca="1" si="1"/>
        <v>33</v>
      </c>
      <c r="H13" s="350"/>
      <c r="I13" s="235"/>
      <c r="J13" s="217" t="s">
        <v>143</v>
      </c>
      <c r="K13" s="235"/>
      <c r="L13" s="217">
        <f t="shared" si="9"/>
        <v>1</v>
      </c>
      <c r="M13" s="218">
        <f t="shared" si="10"/>
        <v>0.02</v>
      </c>
      <c r="N13" s="235"/>
      <c r="O13" s="217">
        <f t="shared" ca="1" si="11"/>
        <v>0</v>
      </c>
      <c r="P13" s="218" t="str">
        <f t="shared" ca="1" si="12"/>
        <v/>
      </c>
      <c r="Q13" s="235"/>
      <c r="R13" s="217">
        <f t="shared" ca="1" si="13"/>
        <v>1</v>
      </c>
      <c r="S13" s="218">
        <f t="shared" ca="1" si="14"/>
        <v>8.3333333333333329E-2</v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242</v>
      </c>
      <c r="Y13" s="186">
        <v>16</v>
      </c>
      <c r="Z13" s="186">
        <v>1</v>
      </c>
      <c r="AA13" s="188">
        <f t="shared" ca="1" si="17"/>
        <v>1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215</v>
      </c>
      <c r="AR13" s="207" t="s">
        <v>166</v>
      </c>
      <c r="AS13" s="207">
        <v>21</v>
      </c>
      <c r="AT13" s="207" t="s">
        <v>216</v>
      </c>
      <c r="AV13" s="168">
        <f t="shared" si="21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23"/>
        <v>1</v>
      </c>
      <c r="AZ13" s="169"/>
      <c r="BA13" s="169"/>
      <c r="BC13" s="168">
        <f t="shared" ca="1" si="24"/>
        <v>7</v>
      </c>
      <c r="BD13" s="209">
        <f t="shared" ca="1" si="6"/>
        <v>29</v>
      </c>
      <c r="BF13" s="173" t="str">
        <f t="shared" ca="1" si="7"/>
        <v>NextEra Energy, Inc.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NEE</v>
      </c>
    </row>
    <row r="14" spans="1:61" ht="13.8" x14ac:dyDescent="0.25">
      <c r="A14" s="223" t="s">
        <v>277</v>
      </c>
      <c r="B14" s="224" t="s">
        <v>139</v>
      </c>
      <c r="C14" s="224">
        <v>20</v>
      </c>
      <c r="D14" s="224" t="s">
        <v>278</v>
      </c>
      <c r="E14" s="225" t="str">
        <f t="shared" ca="1" si="8"/>
        <v>R</v>
      </c>
      <c r="F14" s="348"/>
      <c r="G14" s="349">
        <f t="shared" ca="1" si="1"/>
        <v>36</v>
      </c>
      <c r="H14" s="350"/>
      <c r="I14" s="236"/>
      <c r="J14" s="211" t="s">
        <v>144</v>
      </c>
      <c r="K14" s="236"/>
      <c r="L14" s="211">
        <f>SUM(L8:L13)</f>
        <v>50</v>
      </c>
      <c r="M14" s="212">
        <f>L14/L$14</f>
        <v>1</v>
      </c>
      <c r="N14" s="236"/>
      <c r="O14" s="211">
        <f ca="1">SUM(O8:O13)</f>
        <v>36</v>
      </c>
      <c r="P14" s="212">
        <f ca="1">O14/O$14</f>
        <v>1</v>
      </c>
      <c r="Q14" s="236"/>
      <c r="R14" s="211">
        <f ca="1">SUM(R8:R13)</f>
        <v>12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18.920000000000002</v>
      </c>
      <c r="Z14" s="190"/>
      <c r="AA14" s="189">
        <f ca="1">SUM(AA8:AA13)</f>
        <v>50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245</v>
      </c>
      <c r="AR14" s="207" t="s">
        <v>141</v>
      </c>
      <c r="AS14" s="207">
        <v>18</v>
      </c>
      <c r="AT14" s="207" t="s">
        <v>246</v>
      </c>
      <c r="AV14" s="168">
        <f>IF( LEN( AS14 ) = 0, 99, RANK( AS14, $AS$7:$AS$63 ) )</f>
        <v>35</v>
      </c>
      <c r="AW14" s="168">
        <f>COUNTIF( AV$7:AV14, AV14 )</f>
        <v>2</v>
      </c>
      <c r="AX14" s="208">
        <f t="shared" si="22"/>
        <v>35.200000000000003</v>
      </c>
      <c r="AY14" s="168">
        <f t="shared" si="23"/>
        <v>36</v>
      </c>
      <c r="AZ14" s="169"/>
      <c r="BA14" s="169"/>
      <c r="BC14" s="168">
        <f t="shared" ca="1" si="24"/>
        <v>8</v>
      </c>
      <c r="BD14" s="209">
        <f t="shared" ca="1" si="6"/>
        <v>32</v>
      </c>
      <c r="BF14" s="173" t="str">
        <f t="shared" ca="1" si="7"/>
        <v>OGE Energy Corp.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OGE</v>
      </c>
    </row>
    <row r="15" spans="1:61" ht="13.8" x14ac:dyDescent="0.25">
      <c r="A15" s="223" t="s">
        <v>281</v>
      </c>
      <c r="B15" s="224" t="s">
        <v>139</v>
      </c>
      <c r="C15" s="224">
        <v>20</v>
      </c>
      <c r="D15" s="224" t="s">
        <v>282</v>
      </c>
      <c r="E15" s="225" t="str">
        <f t="shared" ca="1" si="8"/>
        <v>R</v>
      </c>
      <c r="F15" s="348"/>
      <c r="G15" s="349">
        <f t="shared" ca="1" si="1"/>
        <v>39</v>
      </c>
      <c r="H15" s="350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249</v>
      </c>
      <c r="AR15" s="207" t="s">
        <v>139</v>
      </c>
      <c r="AS15" s="207">
        <v>20</v>
      </c>
      <c r="AT15" s="207" t="s">
        <v>250</v>
      </c>
      <c r="AV15" s="168">
        <f t="shared" si="21"/>
        <v>3</v>
      </c>
      <c r="AW15" s="168">
        <f>COUNTIF( AV$7:AV15, AV15 )</f>
        <v>2</v>
      </c>
      <c r="AX15" s="208">
        <f t="shared" si="22"/>
        <v>3.2</v>
      </c>
      <c r="AY15" s="168">
        <f t="shared" si="23"/>
        <v>4</v>
      </c>
      <c r="AZ15" s="169"/>
      <c r="BA15" s="169"/>
      <c r="BC15" s="168">
        <f t="shared" ca="1" si="24"/>
        <v>9</v>
      </c>
      <c r="BD15" s="209">
        <f t="shared" ca="1" si="6"/>
        <v>35</v>
      </c>
      <c r="BF15" s="173" t="str">
        <f t="shared" ca="1" si="7"/>
        <v>Pinnacle West Capital Corporation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PNW</v>
      </c>
    </row>
    <row r="16" spans="1:61" ht="13.8" x14ac:dyDescent="0.25">
      <c r="A16" s="223" t="s">
        <v>243</v>
      </c>
      <c r="B16" s="224" t="s">
        <v>139</v>
      </c>
      <c r="C16" s="224">
        <v>20</v>
      </c>
      <c r="D16" s="224" t="s">
        <v>244</v>
      </c>
      <c r="E16" s="225" t="str">
        <f t="shared" ca="1" si="8"/>
        <v>R</v>
      </c>
      <c r="F16" s="348"/>
      <c r="G16" s="349">
        <f t="shared" ca="1" si="1"/>
        <v>42</v>
      </c>
      <c r="H16" s="350"/>
      <c r="I16" s="232"/>
      <c r="J16" s="210" t="s">
        <v>253</v>
      </c>
      <c r="K16" s="232"/>
      <c r="L16" s="386">
        <f t="array" ref="L16">SUM( IF( LEN( $C$7:$C$65 ) = 0, 0, $C$7:$C$65 ) ) / SUM( IF( LEN( $C$7:$C$65 ) = 0, 0, 1  ) )</f>
        <v>18.940000000000001</v>
      </c>
      <c r="M16" s="387"/>
      <c r="N16" s="232"/>
      <c r="O16" s="386">
        <f t="array" aca="1" ref="O16" ca="1">SUM( IF( LEN( $C$7:$C$65 ) = 0, 0, IF( $E$7:$E$65 = O3, $C$7:$C$65, 0 ) ) ) / SUM( IF( LEN( $C$7:$C$65 ) = 0, 0, IF( $E$7:$E$65 = O3, 1, 0 ) ) )</f>
        <v>19</v>
      </c>
      <c r="P16" s="387"/>
      <c r="Q16" s="232"/>
      <c r="R16" s="386">
        <f t="array" aca="1" ref="R16" ca="1">SUM( IF( LEN( $C$7:$C$65 ) = 0, 0, IF( $E$7:$E$65 = R3, $C$7:$C$65, 0 ) ) ) / SUM( IF( LEN( $C$7:$C$65 ) = 0, 0, IF( $E$7:$E$65 = R3, 1, 0 ) ) )</f>
        <v>19</v>
      </c>
      <c r="S16" s="387"/>
      <c r="T16" s="232"/>
      <c r="U16" s="386">
        <f t="array" aca="1" ref="U16" ca="1">SUM( IF( LEN( $C$7:$C$65 ) = 0, 0, IF( $E$7:$E$65 = U3, $C$7:$C$65, 0 ) ) ) / SUM( IF( LEN( $C$7:$C$65 ) = 0, 0, IF( $E$7:$E$65 = U3, 1, 0 ) ) )</f>
        <v>17.5</v>
      </c>
      <c r="V16" s="388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254</v>
      </c>
      <c r="AR16" s="207" t="s">
        <v>142</v>
      </c>
      <c r="AS16" s="207">
        <v>17</v>
      </c>
      <c r="AT16" s="207" t="s">
        <v>255</v>
      </c>
      <c r="AV16" s="168">
        <f t="shared" si="21"/>
        <v>44</v>
      </c>
      <c r="AW16" s="168">
        <f>COUNTIF( AV$7:AV16, AV16 )</f>
        <v>1</v>
      </c>
      <c r="AX16" s="208">
        <f t="shared" si="22"/>
        <v>44.1</v>
      </c>
      <c r="AY16" s="168">
        <f t="shared" si="23"/>
        <v>44</v>
      </c>
      <c r="AZ16" s="169"/>
      <c r="BA16" s="169"/>
      <c r="BC16" s="168">
        <f t="shared" ca="1" si="24"/>
        <v>10</v>
      </c>
      <c r="BD16" s="209">
        <f t="shared" ca="1" si="6"/>
        <v>38</v>
      </c>
      <c r="BF16" s="173" t="str">
        <f t="shared" ca="1" si="7"/>
        <v>PPL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PPL</v>
      </c>
    </row>
    <row r="17" spans="1:61" ht="13.8" x14ac:dyDescent="0.25">
      <c r="A17" s="223" t="s">
        <v>293</v>
      </c>
      <c r="B17" s="224" t="s">
        <v>139</v>
      </c>
      <c r="C17" s="224">
        <v>20</v>
      </c>
      <c r="D17" s="224" t="s">
        <v>294</v>
      </c>
      <c r="E17" s="225" t="str">
        <f t="shared" ca="1" si="8"/>
        <v>R</v>
      </c>
      <c r="F17" s="348"/>
      <c r="G17" s="349">
        <f t="shared" ca="1" si="1"/>
        <v>46</v>
      </c>
      <c r="H17" s="350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256</v>
      </c>
      <c r="AR17" s="207" t="s">
        <v>140</v>
      </c>
      <c r="AS17" s="207">
        <v>19</v>
      </c>
      <c r="AT17" s="207" t="s">
        <v>257</v>
      </c>
      <c r="AV17" s="168">
        <f t="shared" si="21"/>
        <v>15</v>
      </c>
      <c r="AW17" s="168">
        <f>COUNTIF( AV$7:AV17, AV17 )</f>
        <v>5</v>
      </c>
      <c r="AX17" s="208">
        <f t="shared" si="22"/>
        <v>15.5</v>
      </c>
      <c r="AY17" s="168">
        <f t="shared" si="23"/>
        <v>19</v>
      </c>
      <c r="AZ17" s="169"/>
      <c r="BA17" s="169"/>
      <c r="BC17" s="168">
        <f t="shared" ca="1" si="24"/>
        <v>11</v>
      </c>
      <c r="BD17" s="209">
        <f t="shared" ca="1" si="6"/>
        <v>43</v>
      </c>
      <c r="BF17" s="173" t="str">
        <f t="shared" ca="1" si="7"/>
        <v>Southern Company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SO</v>
      </c>
    </row>
    <row r="18" spans="1:61" ht="13.8" x14ac:dyDescent="0.25">
      <c r="A18" s="223" t="s">
        <v>345</v>
      </c>
      <c r="B18" s="224" t="s">
        <v>139</v>
      </c>
      <c r="C18" s="224">
        <v>20</v>
      </c>
      <c r="D18" s="224" t="s">
        <v>346</v>
      </c>
      <c r="E18" s="225" t="str">
        <f t="shared" ca="1" si="8"/>
        <v>R</v>
      </c>
      <c r="F18" s="348"/>
      <c r="G18" s="349">
        <f t="shared" ca="1" si="1"/>
        <v>49</v>
      </c>
      <c r="H18" s="350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227</v>
      </c>
      <c r="AR18" s="207" t="s">
        <v>139</v>
      </c>
      <c r="AS18" s="207">
        <v>20</v>
      </c>
      <c r="AT18" s="207" t="s">
        <v>228</v>
      </c>
      <c r="AV18" s="168">
        <f t="shared" si="21"/>
        <v>3</v>
      </c>
      <c r="AW18" s="168">
        <f>COUNTIF( AV$7:AV18, AV18 )</f>
        <v>3</v>
      </c>
      <c r="AX18" s="208">
        <f t="shared" si="22"/>
        <v>3.3</v>
      </c>
      <c r="AY18" s="168">
        <f t="shared" si="23"/>
        <v>5</v>
      </c>
      <c r="AZ18" s="169"/>
      <c r="BA18" s="169"/>
      <c r="BC18" s="168">
        <f t="shared" ca="1" si="24"/>
        <v>12</v>
      </c>
      <c r="BD18" s="209">
        <f t="shared" ca="1" si="6"/>
        <v>46</v>
      </c>
      <c r="BF18" s="173" t="str">
        <f t="shared" ca="1" si="7"/>
        <v>Vectren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VVC</v>
      </c>
    </row>
    <row r="19" spans="1:61" ht="13.8" x14ac:dyDescent="0.25">
      <c r="A19" s="223" t="s">
        <v>247</v>
      </c>
      <c r="B19" s="224" t="s">
        <v>139</v>
      </c>
      <c r="C19" s="224">
        <v>20</v>
      </c>
      <c r="D19" s="224" t="s">
        <v>248</v>
      </c>
      <c r="E19" s="225" t="str">
        <f t="shared" ca="1" si="8"/>
        <v>R</v>
      </c>
      <c r="F19" s="348"/>
      <c r="G19" s="349">
        <f t="shared" ca="1" si="1"/>
        <v>50</v>
      </c>
      <c r="H19" s="350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361</v>
      </c>
      <c r="AR19" s="207" t="s">
        <v>140</v>
      </c>
      <c r="AS19" s="207">
        <v>19</v>
      </c>
      <c r="AT19" s="207" t="s">
        <v>194</v>
      </c>
      <c r="AV19" s="168">
        <f t="shared" si="21"/>
        <v>15</v>
      </c>
      <c r="AW19" s="168">
        <f>COUNTIF( AV$7:AV19, AV19 )</f>
        <v>6</v>
      </c>
      <c r="AX19" s="208">
        <f t="shared" si="22"/>
        <v>15.6</v>
      </c>
      <c r="AY19" s="168">
        <f t="shared" si="23"/>
        <v>20</v>
      </c>
      <c r="AZ19" s="169"/>
      <c r="BA19" s="169"/>
      <c r="BC19" s="168">
        <f t="shared" ca="1" si="24"/>
        <v>13</v>
      </c>
      <c r="BD19" s="209">
        <f t="shared" ca="1" si="6"/>
        <v>48</v>
      </c>
      <c r="BF19" s="173" t="str">
        <f t="shared" ca="1" si="7"/>
        <v>Wisconsin Energy Corporation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WEC</v>
      </c>
    </row>
    <row r="20" spans="1:61" ht="13.8" x14ac:dyDescent="0.25">
      <c r="A20" s="223" t="s">
        <v>251</v>
      </c>
      <c r="B20" s="224" t="s">
        <v>139</v>
      </c>
      <c r="C20" s="224">
        <v>20</v>
      </c>
      <c r="D20" s="224" t="s">
        <v>252</v>
      </c>
      <c r="E20" s="225" t="str">
        <f t="shared" ca="1" si="8"/>
        <v>R</v>
      </c>
      <c r="F20" s="348"/>
      <c r="G20" s="349">
        <f t="shared" ca="1" si="1"/>
        <v>52</v>
      </c>
      <c r="H20" s="350"/>
      <c r="I20" s="352"/>
      <c r="K20" s="352"/>
      <c r="N20" s="352"/>
      <c r="O20" s="173"/>
      <c r="Q20" s="352"/>
      <c r="T20" s="352"/>
      <c r="W20" s="352"/>
      <c r="AE20" s="184"/>
      <c r="AF20" s="169">
        <f t="shared" si="2"/>
        <v>0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259</v>
      </c>
      <c r="AR20" s="207" t="s">
        <v>175</v>
      </c>
      <c r="AS20" s="207">
        <v>15</v>
      </c>
      <c r="AT20" s="207" t="s">
        <v>260</v>
      </c>
      <c r="AV20" s="168">
        <f t="shared" si="21"/>
        <v>49</v>
      </c>
      <c r="AW20" s="168">
        <f>COUNTIF( AV$7:AV20, AV20 )</f>
        <v>1</v>
      </c>
      <c r="AX20" s="208">
        <f t="shared" si="22"/>
        <v>49.1</v>
      </c>
      <c r="AY20" s="168">
        <f t="shared" si="23"/>
        <v>49</v>
      </c>
      <c r="AZ20" s="169"/>
      <c r="BA20" s="169"/>
      <c r="BC20" s="168">
        <f t="shared" ca="1" si="24"/>
        <v>14</v>
      </c>
      <c r="BD20" s="209">
        <f t="shared" ca="1" si="6"/>
        <v>49</v>
      </c>
      <c r="BF20" s="173" t="str">
        <f t="shared" ca="1" si="7"/>
        <v>Xcel Energy Inc.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XEL</v>
      </c>
    </row>
    <row r="21" spans="1:61" ht="13.8" x14ac:dyDescent="0.25">
      <c r="A21" s="223" t="s">
        <v>217</v>
      </c>
      <c r="B21" s="224" t="s">
        <v>140</v>
      </c>
      <c r="C21" s="224">
        <v>19</v>
      </c>
      <c r="D21" s="224" t="s">
        <v>218</v>
      </c>
      <c r="E21" s="225" t="str">
        <f t="shared" ca="1" si="8"/>
        <v>MR</v>
      </c>
      <c r="F21" s="348"/>
      <c r="G21" s="349">
        <f t="shared" ca="1" si="1"/>
        <v>7</v>
      </c>
      <c r="H21" s="350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261</v>
      </c>
      <c r="AR21" s="207" t="s">
        <v>140</v>
      </c>
      <c r="AS21" s="207">
        <v>19</v>
      </c>
      <c r="AT21" s="207" t="s">
        <v>262</v>
      </c>
      <c r="AV21" s="168">
        <f t="shared" si="21"/>
        <v>15</v>
      </c>
      <c r="AW21" s="168">
        <f>COUNTIF( AV$7:AV21, AV21 )</f>
        <v>7</v>
      </c>
      <c r="AX21" s="208">
        <f t="shared" si="22"/>
        <v>15.7</v>
      </c>
      <c r="AY21" s="168">
        <f t="shared" si="23"/>
        <v>21</v>
      </c>
      <c r="AZ21" s="169"/>
      <c r="BA21" s="169"/>
      <c r="BC21" s="168">
        <f t="shared" ca="1" si="24"/>
        <v>15</v>
      </c>
      <c r="BD21" s="209">
        <f t="shared" ca="1" si="6"/>
        <v>1</v>
      </c>
      <c r="BF21" s="173" t="str">
        <f t="shared" ca="1" si="7"/>
        <v>ALLETE, Inc.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ALE</v>
      </c>
    </row>
    <row r="22" spans="1:61" ht="13.8" x14ac:dyDescent="0.25">
      <c r="A22" s="223" t="s">
        <v>225</v>
      </c>
      <c r="B22" s="224" t="s">
        <v>140</v>
      </c>
      <c r="C22" s="224">
        <v>19</v>
      </c>
      <c r="D22" s="224" t="s">
        <v>226</v>
      </c>
      <c r="E22" s="225" t="str">
        <f t="shared" ca="1" si="8"/>
        <v>R</v>
      </c>
      <c r="F22" s="348"/>
      <c r="G22" s="349">
        <f t="shared" ca="1" si="1"/>
        <v>9</v>
      </c>
      <c r="H22" s="350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263</v>
      </c>
      <c r="AR22" s="207" t="s">
        <v>139</v>
      </c>
      <c r="AS22" s="207">
        <v>20</v>
      </c>
      <c r="AT22" s="207" t="s">
        <v>264</v>
      </c>
      <c r="AV22" s="168">
        <f t="shared" si="21"/>
        <v>3</v>
      </c>
      <c r="AW22" s="168">
        <f>COUNTIF( AV$7:AV22, AV22 )</f>
        <v>4</v>
      </c>
      <c r="AX22" s="208">
        <f t="shared" si="22"/>
        <v>3.4</v>
      </c>
      <c r="AY22" s="168">
        <f t="shared" si="23"/>
        <v>6</v>
      </c>
      <c r="AZ22" s="169"/>
      <c r="BA22" s="169"/>
      <c r="BC22" s="168">
        <f t="shared" ca="1" si="24"/>
        <v>16</v>
      </c>
      <c r="BD22" s="209">
        <f t="shared" ca="1" si="6"/>
        <v>3</v>
      </c>
      <c r="BF22" s="173" t="str">
        <f t="shared" ca="1" si="7"/>
        <v>Ameren Corporation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AEE</v>
      </c>
    </row>
    <row r="23" spans="1:61" ht="13.8" x14ac:dyDescent="0.25">
      <c r="A23" s="223" t="s">
        <v>222</v>
      </c>
      <c r="B23" s="224" t="s">
        <v>140</v>
      </c>
      <c r="C23" s="224">
        <v>19</v>
      </c>
      <c r="D23" s="224" t="s">
        <v>223</v>
      </c>
      <c r="E23" s="225" t="str">
        <f t="shared" ca="1" si="8"/>
        <v>R</v>
      </c>
      <c r="F23" s="348"/>
      <c r="G23" s="349">
        <f t="shared" ca="1" si="1"/>
        <v>10</v>
      </c>
      <c r="H23" s="350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265</v>
      </c>
      <c r="AR23" s="207" t="s">
        <v>140</v>
      </c>
      <c r="AS23" s="207">
        <v>19</v>
      </c>
      <c r="AT23" s="207" t="s">
        <v>266</v>
      </c>
      <c r="AV23" s="168">
        <f t="shared" si="21"/>
        <v>15</v>
      </c>
      <c r="AW23" s="168">
        <f>COUNTIF( AV$7:AV23, AV23 )</f>
        <v>8</v>
      </c>
      <c r="AX23" s="208">
        <f t="shared" si="22"/>
        <v>15.8</v>
      </c>
      <c r="AY23" s="168">
        <f t="shared" si="23"/>
        <v>22</v>
      </c>
      <c r="AZ23" s="169"/>
      <c r="BA23" s="169"/>
      <c r="BC23" s="168">
        <f t="shared" ca="1" si="24"/>
        <v>17</v>
      </c>
      <c r="BD23" s="209">
        <f t="shared" ca="1" si="6"/>
        <v>4</v>
      </c>
      <c r="BF23" s="173" t="str">
        <f t="shared" ca="1" si="7"/>
        <v>American Electric Power Company, Inc.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AEP</v>
      </c>
    </row>
    <row r="24" spans="1:61" ht="13.8" x14ac:dyDescent="0.25">
      <c r="A24" s="223" t="s">
        <v>233</v>
      </c>
      <c r="B24" s="224" t="s">
        <v>140</v>
      </c>
      <c r="C24" s="224">
        <v>19</v>
      </c>
      <c r="D24" s="224" t="s">
        <v>234</v>
      </c>
      <c r="E24" s="225" t="str">
        <f t="shared" ca="1" si="8"/>
        <v>MR</v>
      </c>
      <c r="F24" s="348"/>
      <c r="G24" s="349">
        <f t="shared" ca="1" si="1"/>
        <v>11</v>
      </c>
      <c r="H24" s="350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328</v>
      </c>
      <c r="AR24" s="207" t="s">
        <v>141</v>
      </c>
      <c r="AS24" s="207">
        <v>18</v>
      </c>
      <c r="AT24" s="207" t="s">
        <v>331</v>
      </c>
      <c r="AV24" s="168">
        <f t="shared" si="21"/>
        <v>35</v>
      </c>
      <c r="AW24" s="168">
        <f>COUNTIF( AV$7:AV24, AV24 )</f>
        <v>3</v>
      </c>
      <c r="AX24" s="208">
        <f t="shared" si="22"/>
        <v>35.299999999999997</v>
      </c>
      <c r="AY24" s="168">
        <f t="shared" si="23"/>
        <v>37</v>
      </c>
      <c r="AZ24" s="169"/>
      <c r="BA24" s="169"/>
      <c r="BC24" s="168">
        <f t="shared" ca="1" si="24"/>
        <v>18</v>
      </c>
      <c r="BD24" s="209">
        <f t="shared" ca="1" si="6"/>
        <v>5</v>
      </c>
      <c r="BF24" s="173" t="str">
        <f t="shared" ca="1" si="7"/>
        <v>AVANGRID, Inc.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AGR</v>
      </c>
    </row>
    <row r="25" spans="1:61" ht="13.8" x14ac:dyDescent="0.25">
      <c r="A25" s="223" t="s">
        <v>256</v>
      </c>
      <c r="B25" s="224" t="s">
        <v>140</v>
      </c>
      <c r="C25" s="224">
        <v>19</v>
      </c>
      <c r="D25" s="224" t="s">
        <v>257</v>
      </c>
      <c r="E25" s="225" t="str">
        <f t="shared" ca="1" si="8"/>
        <v>R</v>
      </c>
      <c r="F25" s="348"/>
      <c r="G25" s="349">
        <f t="shared" ca="1" si="1"/>
        <v>16</v>
      </c>
      <c r="H25" s="350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367</v>
      </c>
      <c r="AR25" s="207" t="s">
        <v>141</v>
      </c>
      <c r="AS25" s="207">
        <v>18</v>
      </c>
      <c r="AT25" s="207" t="s">
        <v>368</v>
      </c>
      <c r="AV25" s="168">
        <f t="shared" si="21"/>
        <v>35</v>
      </c>
      <c r="AW25" s="168">
        <f>COUNTIF( AV$7:AV25, AV25 )</f>
        <v>4</v>
      </c>
      <c r="AX25" s="208">
        <f t="shared" si="22"/>
        <v>35.4</v>
      </c>
      <c r="AY25" s="168">
        <f t="shared" si="23"/>
        <v>38</v>
      </c>
      <c r="AZ25" s="169"/>
      <c r="BA25" s="169"/>
      <c r="BC25" s="168">
        <f t="shared" ca="1" si="24"/>
        <v>19</v>
      </c>
      <c r="BD25" s="209">
        <f t="shared" ca="1" si="6"/>
        <v>11</v>
      </c>
      <c r="BF25" s="173" t="str">
        <f t="shared" ca="1" si="7"/>
        <v>CMS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CMS</v>
      </c>
    </row>
    <row r="26" spans="1:61" ht="13.8" x14ac:dyDescent="0.25">
      <c r="A26" s="223" t="s">
        <v>361</v>
      </c>
      <c r="B26" s="224" t="s">
        <v>140</v>
      </c>
      <c r="C26" s="224">
        <v>19</v>
      </c>
      <c r="D26" s="224" t="s">
        <v>194</v>
      </c>
      <c r="E26" s="225" t="str">
        <f t="shared" ca="1" si="8"/>
        <v>MR</v>
      </c>
      <c r="F26" s="348"/>
      <c r="G26" s="349">
        <f t="shared" ca="1" si="1"/>
        <v>18</v>
      </c>
      <c r="H26" s="350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267</v>
      </c>
      <c r="AR26" s="207" t="s">
        <v>140</v>
      </c>
      <c r="AS26" s="207">
        <v>19</v>
      </c>
      <c r="AT26" s="207" t="s">
        <v>268</v>
      </c>
      <c r="AV26" s="168">
        <f t="shared" si="21"/>
        <v>15</v>
      </c>
      <c r="AW26" s="168">
        <f>COUNTIF( AV$7:AV26, AV26 )</f>
        <v>9</v>
      </c>
      <c r="AX26" s="208">
        <f t="shared" si="22"/>
        <v>15.9</v>
      </c>
      <c r="AY26" s="168">
        <f t="shared" si="23"/>
        <v>23</v>
      </c>
      <c r="AZ26" s="169"/>
      <c r="BA26" s="169"/>
      <c r="BC26" s="168">
        <f t="shared" ca="1" si="24"/>
        <v>20</v>
      </c>
      <c r="BD26" s="209">
        <f t="shared" ca="1" si="6"/>
        <v>13</v>
      </c>
      <c r="BF26" s="173" t="str">
        <f t="shared" ca="1" si="7"/>
        <v>Dominion Resources, Inc.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</v>
      </c>
    </row>
    <row r="27" spans="1:61" ht="13.8" x14ac:dyDescent="0.25">
      <c r="A27" s="223" t="s">
        <v>261</v>
      </c>
      <c r="B27" s="224" t="s">
        <v>140</v>
      </c>
      <c r="C27" s="224">
        <v>19</v>
      </c>
      <c r="D27" s="224" t="s">
        <v>262</v>
      </c>
      <c r="E27" s="225" t="str">
        <f t="shared" ca="1" si="8"/>
        <v>R</v>
      </c>
      <c r="F27" s="348"/>
      <c r="G27" s="349">
        <f t="shared" ca="1" si="1"/>
        <v>19</v>
      </c>
      <c r="H27" s="350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235</v>
      </c>
      <c r="AR27" s="207" t="s">
        <v>166</v>
      </c>
      <c r="AS27" s="207">
        <v>21</v>
      </c>
      <c r="AT27" s="207" t="s">
        <v>236</v>
      </c>
      <c r="AV27" s="168">
        <f t="shared" si="21"/>
        <v>1</v>
      </c>
      <c r="AW27" s="168">
        <f>COUNTIF( AV$7:AV27, AV27 )</f>
        <v>2</v>
      </c>
      <c r="AX27" s="208">
        <f t="shared" si="22"/>
        <v>1.2</v>
      </c>
      <c r="AY27" s="168">
        <f t="shared" si="23"/>
        <v>2</v>
      </c>
      <c r="AZ27" s="169"/>
      <c r="BA27" s="169"/>
      <c r="BC27" s="168">
        <f t="shared" ca="1" si="24"/>
        <v>21</v>
      </c>
      <c r="BD27" s="209">
        <f t="shared" ca="1" si="6"/>
        <v>15</v>
      </c>
      <c r="BF27" s="173" t="str">
        <f t="shared" ca="1" si="7"/>
        <v>DTE Energy Company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DTE</v>
      </c>
    </row>
    <row r="28" spans="1:61" ht="13.8" x14ac:dyDescent="0.25">
      <c r="A28" s="223" t="s">
        <v>265</v>
      </c>
      <c r="B28" s="224" t="s">
        <v>140</v>
      </c>
      <c r="C28" s="224">
        <v>19</v>
      </c>
      <c r="D28" s="224" t="s">
        <v>266</v>
      </c>
      <c r="E28" s="225" t="str">
        <f t="shared" ca="1" si="8"/>
        <v>R</v>
      </c>
      <c r="F28" s="348"/>
      <c r="G28" s="349">
        <f t="shared" ca="1" si="1"/>
        <v>21</v>
      </c>
      <c r="H28" s="350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269</v>
      </c>
      <c r="AR28" s="207" t="s">
        <v>141</v>
      </c>
      <c r="AS28" s="207">
        <v>18</v>
      </c>
      <c r="AT28" s="207" t="s">
        <v>270</v>
      </c>
      <c r="AV28" s="168">
        <f t="shared" si="21"/>
        <v>35</v>
      </c>
      <c r="AW28" s="168">
        <f>COUNTIF( AV$7:AV28, AV28 )</f>
        <v>5</v>
      </c>
      <c r="AX28" s="208">
        <f t="shared" si="22"/>
        <v>35.5</v>
      </c>
      <c r="AY28" s="168">
        <f t="shared" si="23"/>
        <v>39</v>
      </c>
      <c r="AZ28" s="169"/>
      <c r="BA28" s="169"/>
      <c r="BC28" s="168">
        <f t="shared" ca="1" si="24"/>
        <v>22</v>
      </c>
      <c r="BD28" s="209">
        <f t="shared" ca="1" si="6"/>
        <v>17</v>
      </c>
      <c r="BF28" s="173" t="str">
        <f t="shared" ca="1" si="7"/>
        <v>Edison International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EIX</v>
      </c>
    </row>
    <row r="29" spans="1:61" ht="13.8" x14ac:dyDescent="0.25">
      <c r="A29" s="223" t="s">
        <v>267</v>
      </c>
      <c r="B29" s="224" t="s">
        <v>140</v>
      </c>
      <c r="C29" s="224">
        <v>19</v>
      </c>
      <c r="D29" s="224" t="s">
        <v>268</v>
      </c>
      <c r="E29" s="225" t="str">
        <f t="shared" ca="1" si="8"/>
        <v>R</v>
      </c>
      <c r="F29" s="348"/>
      <c r="G29" s="349">
        <f t="shared" ca="1" si="1"/>
        <v>24</v>
      </c>
      <c r="H29" s="350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275</v>
      </c>
      <c r="AR29" s="207" t="s">
        <v>142</v>
      </c>
      <c r="AS29" s="207">
        <v>17</v>
      </c>
      <c r="AT29" s="207" t="s">
        <v>276</v>
      </c>
      <c r="AV29" s="168">
        <f t="shared" si="21"/>
        <v>44</v>
      </c>
      <c r="AW29" s="168">
        <f>COUNTIF( AV$7:AV29, AV29 )</f>
        <v>2</v>
      </c>
      <c r="AX29" s="208">
        <f t="shared" si="22"/>
        <v>44.2</v>
      </c>
      <c r="AY29" s="168">
        <f t="shared" si="23"/>
        <v>45</v>
      </c>
      <c r="AZ29" s="169"/>
      <c r="BA29" s="169"/>
      <c r="BC29" s="168">
        <f t="shared" ca="1" si="24"/>
        <v>23</v>
      </c>
      <c r="BD29" s="209">
        <f t="shared" ca="1" si="6"/>
        <v>20</v>
      </c>
      <c r="BF29" s="173" t="str">
        <f t="shared" ca="1" si="7"/>
        <v>Entergy Corporation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ETR</v>
      </c>
    </row>
    <row r="30" spans="1:61" ht="13.8" x14ac:dyDescent="0.25">
      <c r="A30" s="223" t="s">
        <v>352</v>
      </c>
      <c r="B30" s="224" t="s">
        <v>140</v>
      </c>
      <c r="C30" s="224">
        <v>19</v>
      </c>
      <c r="D30" s="224" t="s">
        <v>353</v>
      </c>
      <c r="E30" s="225" t="str">
        <f t="shared" ca="1" si="8"/>
        <v>R</v>
      </c>
      <c r="F30" s="348"/>
      <c r="G30" s="349">
        <f t="shared" ca="1" si="1"/>
        <v>28</v>
      </c>
      <c r="H30" s="350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352</v>
      </c>
      <c r="AR30" s="207" t="s">
        <v>140</v>
      </c>
      <c r="AS30" s="207">
        <v>19</v>
      </c>
      <c r="AT30" s="207" t="s">
        <v>353</v>
      </c>
      <c r="AV30" s="168">
        <f t="shared" si="21"/>
        <v>15</v>
      </c>
      <c r="AW30" s="168">
        <f>COUNTIF( AV$7:AV30, AV30 )</f>
        <v>10</v>
      </c>
      <c r="AX30" s="208">
        <f t="shared" si="22"/>
        <v>16</v>
      </c>
      <c r="AY30" s="168">
        <f t="shared" si="23"/>
        <v>24</v>
      </c>
      <c r="AZ30" s="169"/>
      <c r="BA30" s="169"/>
      <c r="BC30" s="168">
        <f t="shared" ca="1" si="24"/>
        <v>24</v>
      </c>
      <c r="BD30" s="209">
        <f t="shared" ca="1" si="6"/>
        <v>24</v>
      </c>
      <c r="BF30" s="173" t="str">
        <f t="shared" ca="1" si="7"/>
        <v>Great Plains Energy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GXP</v>
      </c>
    </row>
    <row r="31" spans="1:61" ht="13.8" x14ac:dyDescent="0.25">
      <c r="A31" s="223" t="s">
        <v>271</v>
      </c>
      <c r="B31" s="224" t="s">
        <v>140</v>
      </c>
      <c r="C31" s="224">
        <v>19</v>
      </c>
      <c r="D31" s="224" t="s">
        <v>272</v>
      </c>
      <c r="E31" s="225" t="str">
        <f t="shared" ca="1" si="8"/>
        <v>MR</v>
      </c>
      <c r="F31" s="348"/>
      <c r="G31" s="349">
        <f t="shared" ca="1" si="1"/>
        <v>31</v>
      </c>
      <c r="H31" s="350"/>
      <c r="I31" s="237"/>
      <c r="J31" s="191"/>
      <c r="K31" s="237"/>
      <c r="N31" s="237"/>
      <c r="O31" s="351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279</v>
      </c>
      <c r="AR31" s="207" t="s">
        <v>142</v>
      </c>
      <c r="AS31" s="207">
        <v>17</v>
      </c>
      <c r="AT31" s="207" t="s">
        <v>280</v>
      </c>
      <c r="AV31" s="168">
        <f t="shared" si="21"/>
        <v>44</v>
      </c>
      <c r="AW31" s="168">
        <f>COUNTIF( AV$7:AV31, AV31 )</f>
        <v>3</v>
      </c>
      <c r="AX31" s="208">
        <f t="shared" si="22"/>
        <v>44.3</v>
      </c>
      <c r="AY31" s="168">
        <f t="shared" si="23"/>
        <v>46</v>
      </c>
      <c r="AZ31" s="169"/>
      <c r="BA31" s="169"/>
      <c r="BC31" s="168">
        <f t="shared" ca="1" si="24"/>
        <v>25</v>
      </c>
      <c r="BD31" s="209">
        <f t="shared" ca="1" si="6"/>
        <v>28</v>
      </c>
      <c r="BF31" s="173" t="str">
        <f t="shared" ca="1" si="7"/>
        <v>MDU Resources Group,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MDU</v>
      </c>
    </row>
    <row r="32" spans="1:61" ht="13.8" x14ac:dyDescent="0.25">
      <c r="A32" s="223" t="s">
        <v>273</v>
      </c>
      <c r="B32" s="224" t="s">
        <v>140</v>
      </c>
      <c r="C32" s="224">
        <v>19</v>
      </c>
      <c r="D32" s="224" t="s">
        <v>274</v>
      </c>
      <c r="E32" s="225" t="str">
        <f t="shared" ca="1" si="8"/>
        <v>R</v>
      </c>
      <c r="F32" s="348"/>
      <c r="G32" s="349">
        <f t="shared" ca="1" si="1"/>
        <v>34</v>
      </c>
      <c r="H32" s="350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32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283</v>
      </c>
      <c r="AR32" s="207" t="s">
        <v>141</v>
      </c>
      <c r="AS32" s="207">
        <v>18</v>
      </c>
      <c r="AT32" s="207" t="s">
        <v>284</v>
      </c>
      <c r="AV32" s="168">
        <f t="shared" si="21"/>
        <v>35</v>
      </c>
      <c r="AW32" s="168">
        <f>COUNTIF( AV$7:AV32, AV32 )</f>
        <v>6</v>
      </c>
      <c r="AX32" s="208">
        <f t="shared" si="22"/>
        <v>35.6</v>
      </c>
      <c r="AY32" s="168">
        <f t="shared" si="23"/>
        <v>40</v>
      </c>
      <c r="AZ32" s="169"/>
      <c r="BA32" s="169"/>
      <c r="BC32" s="168">
        <f t="shared" ca="1" si="24"/>
        <v>26</v>
      </c>
      <c r="BD32" s="209">
        <f t="shared" ca="1" si="6"/>
        <v>30</v>
      </c>
      <c r="BF32" s="173" t="str">
        <f t="shared" ca="1" si="7"/>
        <v>NiSource Inc.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NI</v>
      </c>
    </row>
    <row r="33" spans="1:61" ht="13.8" x14ac:dyDescent="0.25">
      <c r="A33" s="223" t="s">
        <v>301</v>
      </c>
      <c r="B33" s="224" t="s">
        <v>140</v>
      </c>
      <c r="C33" s="224">
        <v>19</v>
      </c>
      <c r="D33" s="224" t="s">
        <v>302</v>
      </c>
      <c r="E33" s="225" t="str">
        <f t="shared" ca="1" si="8"/>
        <v>R</v>
      </c>
      <c r="F33" s="348"/>
      <c r="G33" s="349">
        <f t="shared" ca="1" si="1"/>
        <v>38</v>
      </c>
      <c r="H33" s="350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33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287</v>
      </c>
      <c r="AR33" s="207" t="s">
        <v>142</v>
      </c>
      <c r="AS33" s="207">
        <v>17</v>
      </c>
      <c r="AT33" s="207" t="s">
        <v>288</v>
      </c>
      <c r="AV33" s="168">
        <f t="shared" si="21"/>
        <v>44</v>
      </c>
      <c r="AW33" s="168">
        <f>COUNTIF( AV$7:AV33, AV33 )</f>
        <v>4</v>
      </c>
      <c r="AX33" s="208">
        <f t="shared" si="22"/>
        <v>44.4</v>
      </c>
      <c r="AY33" s="168">
        <f t="shared" si="23"/>
        <v>47</v>
      </c>
      <c r="AZ33" s="169"/>
      <c r="BA33" s="169"/>
      <c r="BC33" s="168">
        <f t="shared" ca="1" si="24"/>
        <v>27</v>
      </c>
      <c r="BD33" s="209">
        <f t="shared" ca="1" si="6"/>
        <v>34</v>
      </c>
      <c r="BF33" s="173" t="str">
        <f t="shared" ca="1" si="7"/>
        <v>PG&amp;E Corporation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PCG</v>
      </c>
    </row>
    <row r="34" spans="1:61" ht="13.8" x14ac:dyDescent="0.25">
      <c r="A34" s="223" t="s">
        <v>303</v>
      </c>
      <c r="B34" s="224" t="s">
        <v>140</v>
      </c>
      <c r="C34" s="224">
        <v>19</v>
      </c>
      <c r="D34" s="224" t="s">
        <v>304</v>
      </c>
      <c r="E34" s="225" t="str">
        <f t="shared" ca="1" si="8"/>
        <v>R</v>
      </c>
      <c r="F34" s="348"/>
      <c r="G34" s="349">
        <f t="shared" ca="1" si="1"/>
        <v>40</v>
      </c>
      <c r="H34" s="350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34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271</v>
      </c>
      <c r="AR34" s="207" t="s">
        <v>140</v>
      </c>
      <c r="AS34" s="207">
        <v>19</v>
      </c>
      <c r="AT34" s="207" t="s">
        <v>272</v>
      </c>
      <c r="AV34" s="168">
        <f t="shared" si="21"/>
        <v>15</v>
      </c>
      <c r="AW34" s="168">
        <f>COUNTIF( AV$7:AV34, AV34 )</f>
        <v>11</v>
      </c>
      <c r="AX34" s="208">
        <f t="shared" si="22"/>
        <v>16.100000000000001</v>
      </c>
      <c r="AY34" s="168">
        <f t="shared" si="23"/>
        <v>25</v>
      </c>
      <c r="AZ34" s="169"/>
      <c r="BA34" s="169"/>
      <c r="BC34" s="168">
        <f t="shared" ca="1" si="24"/>
        <v>28</v>
      </c>
      <c r="BD34" s="209">
        <f t="shared" ca="1" si="6"/>
        <v>36</v>
      </c>
      <c r="BF34" s="173" t="str">
        <f t="shared" ca="1" si="7"/>
        <v>PNM Resources, Inc.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PNM</v>
      </c>
    </row>
    <row r="35" spans="1:61" ht="13.8" x14ac:dyDescent="0.25">
      <c r="A35" s="223" t="s">
        <v>289</v>
      </c>
      <c r="B35" s="224" t="s">
        <v>140</v>
      </c>
      <c r="C35" s="224">
        <v>19</v>
      </c>
      <c r="D35" s="224" t="s">
        <v>290</v>
      </c>
      <c r="E35" s="225" t="str">
        <f t="shared" ca="1" si="8"/>
        <v>MR</v>
      </c>
      <c r="F35" s="348"/>
      <c r="G35" s="349">
        <f t="shared" ca="1" si="1"/>
        <v>43</v>
      </c>
      <c r="H35" s="350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35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240</v>
      </c>
      <c r="AR35" s="207" t="s">
        <v>139</v>
      </c>
      <c r="AS35" s="207">
        <v>20</v>
      </c>
      <c r="AT35" s="207" t="s">
        <v>241</v>
      </c>
      <c r="AV35" s="168">
        <f t="shared" si="21"/>
        <v>3</v>
      </c>
      <c r="AW35" s="168">
        <f>COUNTIF( AV$7:AV35, AV35 )</f>
        <v>5</v>
      </c>
      <c r="AX35" s="208">
        <f t="shared" si="22"/>
        <v>3.5</v>
      </c>
      <c r="AY35" s="168">
        <f t="shared" si="23"/>
        <v>7</v>
      </c>
      <c r="AZ35" s="169"/>
      <c r="BA35" s="169"/>
      <c r="BC35" s="168">
        <f t="shared" ca="1" si="24"/>
        <v>29</v>
      </c>
      <c r="BD35" s="209">
        <f t="shared" ca="1" si="6"/>
        <v>39</v>
      </c>
      <c r="BF35" s="173" t="str">
        <f t="shared" ca="1" si="7"/>
        <v>Public Service Enterprise Group Incorporated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PEG</v>
      </c>
    </row>
    <row r="36" spans="1:61" ht="13.8" x14ac:dyDescent="0.25">
      <c r="A36" s="223" t="s">
        <v>347</v>
      </c>
      <c r="B36" s="224" t="s">
        <v>140</v>
      </c>
      <c r="C36" s="224">
        <v>19</v>
      </c>
      <c r="D36" s="224" t="s">
        <v>348</v>
      </c>
      <c r="E36" s="225" t="str">
        <f t="shared" ca="1" si="8"/>
        <v>MR</v>
      </c>
      <c r="F36" s="348"/>
      <c r="G36" s="349">
        <f t="shared" ca="1" si="1"/>
        <v>44</v>
      </c>
      <c r="H36" s="350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36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273</v>
      </c>
      <c r="AR36" s="207" t="s">
        <v>140</v>
      </c>
      <c r="AS36" s="207">
        <v>19</v>
      </c>
      <c r="AT36" s="207" t="s">
        <v>274</v>
      </c>
      <c r="AV36" s="168">
        <f t="shared" si="21"/>
        <v>15</v>
      </c>
      <c r="AW36" s="168">
        <f>COUNTIF( AV$7:AV36, AV36 )</f>
        <v>12</v>
      </c>
      <c r="AX36" s="208">
        <f t="shared" si="22"/>
        <v>16.2</v>
      </c>
      <c r="AY36" s="168">
        <f t="shared" si="23"/>
        <v>26</v>
      </c>
      <c r="AZ36" s="169"/>
      <c r="BA36" s="169"/>
      <c r="BC36" s="168">
        <f t="shared" ca="1" si="24"/>
        <v>30</v>
      </c>
      <c r="BD36" s="209">
        <f t="shared" ca="1" si="6"/>
        <v>41</v>
      </c>
      <c r="BF36" s="173" t="str">
        <f t="shared" ca="1" si="7"/>
        <v>SCANA Corporation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SCG</v>
      </c>
    </row>
    <row r="37" spans="1:61" ht="13.8" x14ac:dyDescent="0.25">
      <c r="A37" s="223" t="s">
        <v>291</v>
      </c>
      <c r="B37" s="224" t="s">
        <v>140</v>
      </c>
      <c r="C37" s="224">
        <v>19</v>
      </c>
      <c r="D37" s="224" t="s">
        <v>292</v>
      </c>
      <c r="E37" s="225" t="str">
        <f t="shared" ca="1" si="8"/>
        <v>MR</v>
      </c>
      <c r="F37" s="348"/>
      <c r="G37" s="349">
        <f t="shared" ca="1" si="1"/>
        <v>45</v>
      </c>
      <c r="H37" s="350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37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297</v>
      </c>
      <c r="AR37" s="207" t="s">
        <v>141</v>
      </c>
      <c r="AS37" s="207">
        <v>18</v>
      </c>
      <c r="AT37" s="207" t="s">
        <v>298</v>
      </c>
      <c r="AV37" s="168">
        <f t="shared" si="21"/>
        <v>35</v>
      </c>
      <c r="AW37" s="168">
        <f>COUNTIF( AV$7:AV37, AV37 )</f>
        <v>7</v>
      </c>
      <c r="AX37" s="208">
        <f t="shared" si="22"/>
        <v>35.700000000000003</v>
      </c>
      <c r="AY37" s="168">
        <f t="shared" si="23"/>
        <v>41</v>
      </c>
      <c r="AZ37" s="169"/>
      <c r="BA37" s="169"/>
      <c r="BC37" s="168">
        <f t="shared" ca="1" si="24"/>
        <v>31</v>
      </c>
      <c r="BD37" s="209">
        <f t="shared" ca="1" si="6"/>
        <v>42</v>
      </c>
      <c r="BF37" s="173" t="str">
        <f t="shared" ca="1" si="7"/>
        <v>Sempra Energy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SRE</v>
      </c>
    </row>
    <row r="38" spans="1:61" ht="13.8" x14ac:dyDescent="0.25">
      <c r="A38" s="223" t="s">
        <v>369</v>
      </c>
      <c r="B38" s="224" t="s">
        <v>140</v>
      </c>
      <c r="C38" s="224">
        <v>19</v>
      </c>
      <c r="D38" s="224" t="s">
        <v>370</v>
      </c>
      <c r="E38" s="225" t="str">
        <f t="shared" ca="1" si="8"/>
        <v>R</v>
      </c>
      <c r="F38" s="348"/>
      <c r="G38" s="349">
        <f t="shared" ca="1" si="1"/>
        <v>19</v>
      </c>
      <c r="H38" s="350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1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27</v>
      </c>
      <c r="AK38" s="169" t="str">
        <f t="shared" ca="1" si="20"/>
        <v>BBB+</v>
      </c>
      <c r="AL38" s="169">
        <f t="shared" ca="1" si="20"/>
        <v>19</v>
      </c>
      <c r="AM38" s="169" t="str">
        <f t="shared" ca="1" si="4"/>
        <v/>
      </c>
      <c r="AQ38" s="207" t="s">
        <v>277</v>
      </c>
      <c r="AR38" s="207" t="s">
        <v>139</v>
      </c>
      <c r="AS38" s="207">
        <v>20</v>
      </c>
      <c r="AT38" s="207" t="s">
        <v>278</v>
      </c>
      <c r="AV38" s="168">
        <f t="shared" si="21"/>
        <v>3</v>
      </c>
      <c r="AW38" s="168">
        <f>COUNTIF( AV$7:AV38, AV38 )</f>
        <v>6</v>
      </c>
      <c r="AX38" s="208">
        <f t="shared" si="22"/>
        <v>3.6</v>
      </c>
      <c r="AY38" s="168">
        <f t="shared" si="23"/>
        <v>8</v>
      </c>
      <c r="AZ38" s="169"/>
      <c r="BA38" s="169"/>
      <c r="BC38" s="168">
        <f t="shared" ca="1" si="24"/>
        <v>32</v>
      </c>
      <c r="BD38" s="209">
        <f t="shared" ca="1" si="6"/>
        <v>44</v>
      </c>
      <c r="BF38" s="173" t="str">
        <f t="shared" ca="1" si="7"/>
        <v>TECO Energy, Inc.</v>
      </c>
      <c r="BG38" s="173" t="str">
        <f t="shared" ca="1" si="7"/>
        <v>BBB+</v>
      </c>
      <c r="BH38" s="173">
        <f t="shared" ca="1" si="7"/>
        <v>19</v>
      </c>
      <c r="BI38" s="173" t="str">
        <f t="shared" ca="1" si="7"/>
        <v>**TE</v>
      </c>
    </row>
    <row r="39" spans="1:61" ht="13.8" x14ac:dyDescent="0.25">
      <c r="A39" s="223" t="s">
        <v>295</v>
      </c>
      <c r="B39" s="224" t="s">
        <v>140</v>
      </c>
      <c r="C39" s="224">
        <v>19</v>
      </c>
      <c r="D39" s="224" t="s">
        <v>296</v>
      </c>
      <c r="E39" s="225" t="str">
        <f t="shared" ca="1" si="8"/>
        <v>R</v>
      </c>
      <c r="F39" s="348"/>
      <c r="G39" s="349">
        <f t="shared" ca="1" si="1"/>
        <v>48</v>
      </c>
      <c r="H39" s="350"/>
      <c r="I39" s="237"/>
      <c r="K39" s="237"/>
      <c r="L39" s="173"/>
      <c r="N39" s="237"/>
      <c r="Q39" s="237"/>
      <c r="T39" s="237"/>
      <c r="W39" s="237"/>
      <c r="AF39" s="169">
        <f t="shared" si="2"/>
        <v>1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39</v>
      </c>
      <c r="AK39" s="169" t="str">
        <f t="shared" ca="1" si="20"/>
        <v>BBB+</v>
      </c>
      <c r="AL39" s="169">
        <f t="shared" ca="1" si="20"/>
        <v>19</v>
      </c>
      <c r="AM39" s="169" t="str">
        <f t="shared" ca="1" si="4"/>
        <v/>
      </c>
      <c r="AQ39" s="207" t="s">
        <v>299</v>
      </c>
      <c r="AR39" s="207" t="s">
        <v>141</v>
      </c>
      <c r="AS39" s="207">
        <v>18</v>
      </c>
      <c r="AT39" s="207" t="s">
        <v>300</v>
      </c>
      <c r="AV39" s="168">
        <f t="shared" si="21"/>
        <v>35</v>
      </c>
      <c r="AW39" s="168">
        <f>COUNTIF( AV$7:AV39, AV39 )</f>
        <v>8</v>
      </c>
      <c r="AX39" s="208">
        <f t="shared" si="22"/>
        <v>35.799999999999997</v>
      </c>
      <c r="AY39" s="168">
        <f t="shared" si="23"/>
        <v>42</v>
      </c>
      <c r="AZ39" s="169"/>
      <c r="BA39" s="169"/>
      <c r="BC39" s="168">
        <f t="shared" ca="1" si="24"/>
        <v>33</v>
      </c>
      <c r="BD39" s="209">
        <f t="shared" ca="1" si="6"/>
        <v>45</v>
      </c>
      <c r="BF39" s="173" t="str">
        <f t="shared" ref="BF39:BI63" ca="1" si="25">OFFSET( AQ$6, $BD39, 0 )</f>
        <v>Unitil Corporation</v>
      </c>
      <c r="BG39" s="173" t="str">
        <f t="shared" ca="1" si="25"/>
        <v>BBB+</v>
      </c>
      <c r="BH39" s="173">
        <f t="shared" ca="1" si="25"/>
        <v>19</v>
      </c>
      <c r="BI39" s="173" t="str">
        <f t="shared" ca="1" si="25"/>
        <v>UTL</v>
      </c>
    </row>
    <row r="40" spans="1:61" ht="13.8" x14ac:dyDescent="0.25">
      <c r="A40" s="223" t="s">
        <v>354</v>
      </c>
      <c r="B40" s="224" t="s">
        <v>140</v>
      </c>
      <c r="C40" s="224">
        <v>19</v>
      </c>
      <c r="D40" s="224" t="s">
        <v>355</v>
      </c>
      <c r="E40" s="225" t="str">
        <f t="shared" ca="1" si="8"/>
        <v>R</v>
      </c>
      <c r="F40" s="348"/>
      <c r="G40" s="349">
        <f t="shared" ca="1" si="1"/>
        <v>51</v>
      </c>
      <c r="H40" s="350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1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40</v>
      </c>
      <c r="AK40" s="169" t="str">
        <f t="shared" ca="1" si="20"/>
        <v>BBB+</v>
      </c>
      <c r="AL40" s="169">
        <f t="shared" ca="1" si="20"/>
        <v>19</v>
      </c>
      <c r="AM40" s="169" t="str">
        <f t="shared" ca="1" si="4"/>
        <v/>
      </c>
      <c r="AQ40" s="207" t="s">
        <v>301</v>
      </c>
      <c r="AR40" s="207" t="s">
        <v>140</v>
      </c>
      <c r="AS40" s="207">
        <v>19</v>
      </c>
      <c r="AT40" s="207" t="s">
        <v>302</v>
      </c>
      <c r="AV40" s="168">
        <f t="shared" si="21"/>
        <v>15</v>
      </c>
      <c r="AW40" s="168">
        <f>COUNTIF( AV$7:AV40, AV40 )</f>
        <v>13</v>
      </c>
      <c r="AX40" s="208">
        <f t="shared" si="22"/>
        <v>16.3</v>
      </c>
      <c r="AY40" s="168">
        <f t="shared" si="23"/>
        <v>27</v>
      </c>
      <c r="AZ40" s="169"/>
      <c r="BA40" s="169"/>
      <c r="BC40" s="168">
        <f t="shared" ca="1" si="24"/>
        <v>34</v>
      </c>
      <c r="BD40" s="209">
        <f t="shared" ca="1" si="6"/>
        <v>47</v>
      </c>
      <c r="BF40" s="173" t="str">
        <f t="shared" ca="1" si="25"/>
        <v>Westar Energy, Inc.</v>
      </c>
      <c r="BG40" s="173" t="str">
        <f t="shared" ca="1" si="25"/>
        <v>BBB+</v>
      </c>
      <c r="BH40" s="173">
        <f t="shared" ca="1" si="25"/>
        <v>19</v>
      </c>
      <c r="BI40" s="173" t="str">
        <f t="shared" ca="1" si="25"/>
        <v>WR</v>
      </c>
    </row>
    <row r="41" spans="1:61" ht="13.8" x14ac:dyDescent="0.25">
      <c r="A41" s="223" t="s">
        <v>238</v>
      </c>
      <c r="B41" s="224" t="s">
        <v>141</v>
      </c>
      <c r="C41" s="224">
        <v>18</v>
      </c>
      <c r="D41" s="224" t="s">
        <v>239</v>
      </c>
      <c r="E41" s="225" t="str">
        <f t="shared" ca="1" si="8"/>
        <v>R</v>
      </c>
      <c r="F41" s="348"/>
      <c r="G41" s="349">
        <f t="shared" ca="1" si="1"/>
        <v>12</v>
      </c>
      <c r="H41" s="350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281</v>
      </c>
      <c r="AR41" s="207" t="s">
        <v>139</v>
      </c>
      <c r="AS41" s="207">
        <v>20</v>
      </c>
      <c r="AT41" s="207" t="s">
        <v>282</v>
      </c>
      <c r="AV41" s="168">
        <f t="shared" si="21"/>
        <v>3</v>
      </c>
      <c r="AW41" s="168">
        <f>COUNTIF( AV$7:AV41, AV41 )</f>
        <v>7</v>
      </c>
      <c r="AX41" s="208">
        <f t="shared" si="22"/>
        <v>3.7</v>
      </c>
      <c r="AY41" s="168">
        <f t="shared" si="23"/>
        <v>9</v>
      </c>
      <c r="AZ41" s="169"/>
      <c r="BA41" s="169"/>
      <c r="BC41" s="168">
        <f t="shared" ca="1" si="24"/>
        <v>35</v>
      </c>
      <c r="BD41" s="209">
        <f t="shared" ca="1" si="6"/>
        <v>6</v>
      </c>
      <c r="BF41" s="173" t="str">
        <f t="shared" ca="1" si="25"/>
        <v>Avista Corporation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AVA</v>
      </c>
    </row>
    <row r="42" spans="1:61" ht="13.8" x14ac:dyDescent="0.25">
      <c r="A42" s="223" t="s">
        <v>245</v>
      </c>
      <c r="B42" s="224" t="s">
        <v>141</v>
      </c>
      <c r="C42" s="224">
        <v>18</v>
      </c>
      <c r="D42" s="224" t="s">
        <v>246</v>
      </c>
      <c r="E42" s="225" t="str">
        <f t="shared" ca="1" si="8"/>
        <v>R</v>
      </c>
      <c r="F42" s="348"/>
      <c r="G42" s="349">
        <f t="shared" ca="1" si="1"/>
        <v>13</v>
      </c>
      <c r="H42" s="350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303</v>
      </c>
      <c r="AR42" s="207" t="s">
        <v>140</v>
      </c>
      <c r="AS42" s="207">
        <v>19</v>
      </c>
      <c r="AT42" s="207" t="s">
        <v>304</v>
      </c>
      <c r="AV42" s="168">
        <f t="shared" si="21"/>
        <v>15</v>
      </c>
      <c r="AW42" s="168">
        <f>COUNTIF( AV$7:AV42, AV42 )</f>
        <v>14</v>
      </c>
      <c r="AX42" s="208">
        <f t="shared" si="22"/>
        <v>16.399999999999999</v>
      </c>
      <c r="AY42" s="168">
        <f t="shared" si="23"/>
        <v>28</v>
      </c>
      <c r="AZ42" s="169"/>
      <c r="BA42" s="169"/>
      <c r="BC42" s="168">
        <f t="shared" ca="1" si="24"/>
        <v>36</v>
      </c>
      <c r="BD42" s="209">
        <f t="shared" ca="1" si="6"/>
        <v>8</v>
      </c>
      <c r="BF42" s="173" t="str">
        <f t="shared" ca="1" si="25"/>
        <v>Black Hills Corporation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BKH</v>
      </c>
    </row>
    <row r="43" spans="1:61" ht="13.8" x14ac:dyDescent="0.25">
      <c r="A43" s="223" t="s">
        <v>328</v>
      </c>
      <c r="B43" s="224" t="s">
        <v>141</v>
      </c>
      <c r="C43" s="224">
        <v>18</v>
      </c>
      <c r="D43" s="224" t="s">
        <v>331</v>
      </c>
      <c r="E43" s="225" t="str">
        <f t="shared" ca="1" si="8"/>
        <v>R</v>
      </c>
      <c r="F43" s="348"/>
      <c r="G43" s="349">
        <f t="shared" ca="1" si="1"/>
        <v>22</v>
      </c>
      <c r="H43" s="350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285</v>
      </c>
      <c r="AR43" s="207" t="s">
        <v>141</v>
      </c>
      <c r="AS43" s="207">
        <v>18</v>
      </c>
      <c r="AT43" s="207" t="s">
        <v>286</v>
      </c>
      <c r="AV43" s="168">
        <f t="shared" si="21"/>
        <v>35</v>
      </c>
      <c r="AW43" s="168">
        <f>COUNTIF( AV$7:AV43, AV43 )</f>
        <v>9</v>
      </c>
      <c r="AX43" s="208">
        <f t="shared" si="22"/>
        <v>35.9</v>
      </c>
      <c r="AY43" s="168">
        <f t="shared" si="23"/>
        <v>43</v>
      </c>
      <c r="AZ43" s="169"/>
      <c r="BA43" s="169"/>
      <c r="BC43" s="168">
        <f t="shared" ca="1" si="24"/>
        <v>37</v>
      </c>
      <c r="BD43" s="209">
        <f t="shared" ca="1" si="6"/>
        <v>18</v>
      </c>
      <c r="BF43" s="173" t="str">
        <f t="shared" ca="1" si="25"/>
        <v>El Paso Electric Company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EE</v>
      </c>
    </row>
    <row r="44" spans="1:61" ht="13.8" x14ac:dyDescent="0.25">
      <c r="A44" s="223" t="s">
        <v>367</v>
      </c>
      <c r="B44" s="224" t="s">
        <v>141</v>
      </c>
      <c r="C44" s="224">
        <v>18</v>
      </c>
      <c r="D44" s="224" t="s">
        <v>368</v>
      </c>
      <c r="E44" s="225" t="str">
        <f t="shared" ca="1" si="8"/>
        <v>R</v>
      </c>
      <c r="F44" s="348"/>
      <c r="G44" s="349">
        <f t="shared" ca="1" si="1"/>
        <v>23</v>
      </c>
      <c r="H44" s="350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243</v>
      </c>
      <c r="AR44" s="207" t="s">
        <v>139</v>
      </c>
      <c r="AS44" s="207">
        <v>20</v>
      </c>
      <c r="AT44" s="207" t="s">
        <v>244</v>
      </c>
      <c r="AV44" s="168">
        <f t="shared" si="21"/>
        <v>3</v>
      </c>
      <c r="AW44" s="168">
        <f>COUNTIF( AV$7:AV44, AV44 )</f>
        <v>8</v>
      </c>
      <c r="AX44" s="208">
        <f t="shared" si="22"/>
        <v>3.8</v>
      </c>
      <c r="AY44" s="168">
        <f t="shared" si="23"/>
        <v>10</v>
      </c>
      <c r="AZ44" s="169"/>
      <c r="BA44" s="169"/>
      <c r="BC44" s="168">
        <f t="shared" ca="1" si="24"/>
        <v>38</v>
      </c>
      <c r="BD44" s="209">
        <f t="shared" ca="1" si="6"/>
        <v>19</v>
      </c>
      <c r="BF44" s="173" t="str">
        <f t="shared" ca="1" si="25"/>
        <v>Empire District Electric Company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EDE</v>
      </c>
    </row>
    <row r="45" spans="1:61" ht="13.8" x14ac:dyDescent="0.25">
      <c r="A45" s="223" t="s">
        <v>269</v>
      </c>
      <c r="B45" s="224" t="s">
        <v>141</v>
      </c>
      <c r="C45" s="224">
        <v>18</v>
      </c>
      <c r="D45" s="224" t="s">
        <v>270</v>
      </c>
      <c r="E45" s="225" t="str">
        <f t="shared" ca="1" si="8"/>
        <v>D</v>
      </c>
      <c r="F45" s="348"/>
      <c r="G45" s="349">
        <f t="shared" ca="1" si="1"/>
        <v>26</v>
      </c>
      <c r="H45" s="350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289</v>
      </c>
      <c r="AR45" s="207" t="s">
        <v>140</v>
      </c>
      <c r="AS45" s="207">
        <v>19</v>
      </c>
      <c r="AT45" s="207" t="s">
        <v>290</v>
      </c>
      <c r="AV45" s="168">
        <f t="shared" si="21"/>
        <v>15</v>
      </c>
      <c r="AW45" s="168">
        <f>COUNTIF( AV$7:AV45, AV45 )</f>
        <v>15</v>
      </c>
      <c r="AX45" s="208">
        <f t="shared" si="22"/>
        <v>16.5</v>
      </c>
      <c r="AY45" s="168">
        <f t="shared" si="23"/>
        <v>29</v>
      </c>
      <c r="AZ45" s="169"/>
      <c r="BA45" s="169"/>
      <c r="BC45" s="168">
        <f t="shared" ca="1" si="24"/>
        <v>39</v>
      </c>
      <c r="BD45" s="209">
        <f t="shared" ca="1" si="6"/>
        <v>22</v>
      </c>
      <c r="BF45" s="173" t="str">
        <f t="shared" ca="1" si="25"/>
        <v>Exelon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EXC</v>
      </c>
    </row>
    <row r="46" spans="1:61" ht="13.8" x14ac:dyDescent="0.25">
      <c r="A46" s="223" t="s">
        <v>283</v>
      </c>
      <c r="B46" s="224" t="s">
        <v>141</v>
      </c>
      <c r="C46" s="224">
        <v>18</v>
      </c>
      <c r="D46" s="224" t="s">
        <v>284</v>
      </c>
      <c r="E46" s="225" t="str">
        <f t="shared" ca="1" si="8"/>
        <v>R</v>
      </c>
      <c r="F46" s="348"/>
      <c r="G46" s="349">
        <f t="shared" ca="1" si="1"/>
        <v>30</v>
      </c>
      <c r="H46" s="350"/>
      <c r="I46" s="191"/>
      <c r="K46" s="191"/>
      <c r="N46" s="351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46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305</v>
      </c>
      <c r="AR46" s="207" t="s">
        <v>142</v>
      </c>
      <c r="AS46" s="207">
        <v>17</v>
      </c>
      <c r="AT46" s="207" t="s">
        <v>306</v>
      </c>
      <c r="AV46" s="168">
        <f t="shared" si="21"/>
        <v>44</v>
      </c>
      <c r="AW46" s="168">
        <f>COUNTIF( AV$7:AV46, AV46 )</f>
        <v>5</v>
      </c>
      <c r="AX46" s="208">
        <f t="shared" si="22"/>
        <v>44.5</v>
      </c>
      <c r="AY46" s="168">
        <f t="shared" si="23"/>
        <v>48</v>
      </c>
      <c r="AZ46" s="169"/>
      <c r="BA46" s="169"/>
      <c r="BC46" s="168">
        <f t="shared" ca="1" si="24"/>
        <v>40</v>
      </c>
      <c r="BD46" s="209">
        <f t="shared" ca="1" si="6"/>
        <v>26</v>
      </c>
      <c r="BF46" s="173" t="str">
        <f t="shared" ca="1" si="25"/>
        <v>IDACORP, Inc.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IDA</v>
      </c>
    </row>
    <row r="47" spans="1:61" ht="13.8" x14ac:dyDescent="0.25">
      <c r="A47" s="223" t="s">
        <v>297</v>
      </c>
      <c r="B47" s="224" t="s">
        <v>141</v>
      </c>
      <c r="C47" s="224">
        <v>18</v>
      </c>
      <c r="D47" s="224" t="s">
        <v>298</v>
      </c>
      <c r="E47" s="225" t="str">
        <f t="shared" ca="1" si="8"/>
        <v>R</v>
      </c>
      <c r="F47" s="348"/>
      <c r="G47" s="349">
        <f t="shared" ca="1" si="1"/>
        <v>35</v>
      </c>
      <c r="H47" s="350"/>
      <c r="I47" s="350"/>
      <c r="J47" s="187" t="s">
        <v>307</v>
      </c>
      <c r="K47" s="191"/>
      <c r="M47" s="351"/>
      <c r="N47" s="351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47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347</v>
      </c>
      <c r="AR47" s="207" t="s">
        <v>140</v>
      </c>
      <c r="AS47" s="207">
        <v>19</v>
      </c>
      <c r="AT47" s="207" t="s">
        <v>348</v>
      </c>
      <c r="AV47" s="168">
        <f t="shared" si="21"/>
        <v>15</v>
      </c>
      <c r="AW47" s="168">
        <f>COUNTIF( AV$7:AV47, AV47 )</f>
        <v>16</v>
      </c>
      <c r="AX47" s="208">
        <f t="shared" si="22"/>
        <v>16.600000000000001</v>
      </c>
      <c r="AY47" s="168">
        <f t="shared" si="23"/>
        <v>30</v>
      </c>
      <c r="AZ47" s="169"/>
      <c r="BA47" s="169"/>
      <c r="BC47" s="168">
        <f t="shared" ca="1" si="24"/>
        <v>41</v>
      </c>
      <c r="BD47" s="209">
        <f t="shared" ca="1" si="6"/>
        <v>31</v>
      </c>
      <c r="BF47" s="173" t="str">
        <f t="shared" ca="1" si="25"/>
        <v>NorthWestern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NWE</v>
      </c>
    </row>
    <row r="48" spans="1:61" ht="13.8" x14ac:dyDescent="0.25">
      <c r="A48" s="223" t="s">
        <v>299</v>
      </c>
      <c r="B48" s="224" t="s">
        <v>141</v>
      </c>
      <c r="C48" s="224">
        <v>18</v>
      </c>
      <c r="D48" s="224" t="s">
        <v>300</v>
      </c>
      <c r="E48" s="225" t="str">
        <f t="shared" ca="1" si="8"/>
        <v>R</v>
      </c>
      <c r="F48" s="348"/>
      <c r="G48" s="349">
        <f t="shared" ca="1" si="1"/>
        <v>37</v>
      </c>
      <c r="H48" s="350"/>
      <c r="I48" s="350"/>
      <c r="K48" s="191"/>
      <c r="M48" s="351"/>
      <c r="N48" s="351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48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291</v>
      </c>
      <c r="AR48" s="207" t="s">
        <v>140</v>
      </c>
      <c r="AS48" s="207">
        <v>19</v>
      </c>
      <c r="AT48" s="207" t="s">
        <v>292</v>
      </c>
      <c r="AV48" s="168">
        <f t="shared" si="21"/>
        <v>15</v>
      </c>
      <c r="AW48" s="168">
        <f>COUNTIF( AV$7:AV48, AV48 )</f>
        <v>17</v>
      </c>
      <c r="AX48" s="208">
        <f t="shared" si="22"/>
        <v>16.7</v>
      </c>
      <c r="AY48" s="168">
        <f t="shared" si="23"/>
        <v>31</v>
      </c>
      <c r="AZ48" s="169"/>
      <c r="BA48" s="169"/>
      <c r="BC48" s="168">
        <f t="shared" ca="1" si="24"/>
        <v>42</v>
      </c>
      <c r="BD48" s="209">
        <f t="shared" ca="1" si="6"/>
        <v>33</v>
      </c>
      <c r="BF48" s="173" t="str">
        <f t="shared" ca="1" si="25"/>
        <v>Otter Tail Corporation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OTTR</v>
      </c>
    </row>
    <row r="49" spans="1:61" ht="13.8" x14ac:dyDescent="0.25">
      <c r="A49" s="223" t="s">
        <v>285</v>
      </c>
      <c r="B49" s="224" t="s">
        <v>141</v>
      </c>
      <c r="C49" s="224">
        <v>18</v>
      </c>
      <c r="D49" s="224" t="s">
        <v>286</v>
      </c>
      <c r="E49" s="225" t="str">
        <f t="shared" ca="1" si="8"/>
        <v>R</v>
      </c>
      <c r="F49" s="348"/>
      <c r="G49" s="349">
        <f t="shared" ca="1" si="1"/>
        <v>41</v>
      </c>
      <c r="H49" s="350"/>
      <c r="I49" s="350"/>
      <c r="J49" s="191"/>
      <c r="K49" s="191"/>
      <c r="M49" s="351"/>
      <c r="N49" s="351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4"/>
        <v/>
      </c>
      <c r="AQ49" s="207" t="s">
        <v>293</v>
      </c>
      <c r="AR49" s="207" t="s">
        <v>139</v>
      </c>
      <c r="AS49" s="207">
        <v>20</v>
      </c>
      <c r="AT49" s="207" t="s">
        <v>294</v>
      </c>
      <c r="AV49" s="168">
        <f t="shared" si="21"/>
        <v>3</v>
      </c>
      <c r="AW49" s="168">
        <f>COUNTIF( AV$7:AV49, AV49 )</f>
        <v>9</v>
      </c>
      <c r="AX49" s="208">
        <f t="shared" si="22"/>
        <v>3.9</v>
      </c>
      <c r="AY49" s="168">
        <f t="shared" si="23"/>
        <v>11</v>
      </c>
      <c r="AZ49" s="169"/>
      <c r="BA49" s="169"/>
      <c r="BC49" s="168">
        <f t="shared" ca="1" si="24"/>
        <v>43</v>
      </c>
      <c r="BD49" s="209">
        <f t="shared" ca="1" si="6"/>
        <v>37</v>
      </c>
      <c r="BF49" s="173" t="str">
        <f t="shared" ca="1" si="25"/>
        <v>Portland General Electric Company</v>
      </c>
      <c r="BG49" s="173" t="str">
        <f t="shared" ca="1" si="25"/>
        <v>BBB</v>
      </c>
      <c r="BH49" s="173">
        <f t="shared" ca="1" si="25"/>
        <v>18</v>
      </c>
      <c r="BI49" s="173" t="str">
        <f t="shared" ca="1" si="25"/>
        <v>POR</v>
      </c>
    </row>
    <row r="50" spans="1:61" ht="13.8" x14ac:dyDescent="0.25">
      <c r="A50" s="223" t="s">
        <v>254</v>
      </c>
      <c r="B50" s="224" t="s">
        <v>142</v>
      </c>
      <c r="C50" s="224">
        <v>17</v>
      </c>
      <c r="D50" s="224" t="s">
        <v>255</v>
      </c>
      <c r="E50" s="225" t="str">
        <f t="shared" ca="1" si="8"/>
        <v>R</v>
      </c>
      <c r="F50" s="348"/>
      <c r="G50" s="349">
        <f t="shared" ca="1" si="1"/>
        <v>15</v>
      </c>
      <c r="H50" s="350"/>
      <c r="I50" s="350"/>
      <c r="J50" s="191"/>
      <c r="K50" s="191"/>
      <c r="M50" s="351"/>
      <c r="N50" s="351"/>
      <c r="AF50" s="169">
        <f t="shared" si="2"/>
        <v>1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50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4"/>
        <v/>
      </c>
      <c r="AQ50" s="207" t="s">
        <v>369</v>
      </c>
      <c r="AR50" s="207" t="s">
        <v>140</v>
      </c>
      <c r="AS50" s="207">
        <v>19</v>
      </c>
      <c r="AT50" s="207" t="s">
        <v>370</v>
      </c>
      <c r="AV50" s="168">
        <f t="shared" si="21"/>
        <v>15</v>
      </c>
      <c r="AW50" s="168">
        <f>COUNTIF( AV$7:AV50, AV50 )</f>
        <v>18</v>
      </c>
      <c r="AX50" s="208">
        <f t="shared" si="22"/>
        <v>16.8</v>
      </c>
      <c r="AY50" s="168">
        <f t="shared" si="23"/>
        <v>32</v>
      </c>
      <c r="AZ50" s="169"/>
      <c r="BA50" s="169"/>
      <c r="BC50" s="168">
        <f t="shared" ca="1" si="24"/>
        <v>44</v>
      </c>
      <c r="BD50" s="209">
        <f t="shared" ca="1" si="6"/>
        <v>10</v>
      </c>
      <c r="BF50" s="173" t="str">
        <f t="shared" ca="1" si="25"/>
        <v>Cleco Corporation</v>
      </c>
      <c r="BG50" s="173" t="str">
        <f t="shared" ca="1" si="25"/>
        <v>BBB-</v>
      </c>
      <c r="BH50" s="173">
        <f t="shared" ca="1" si="25"/>
        <v>17</v>
      </c>
      <c r="BI50" s="173" t="str">
        <f t="shared" ca="1" si="25"/>
        <v>**CNL</v>
      </c>
    </row>
    <row r="51" spans="1:61" ht="13.8" x14ac:dyDescent="0.25">
      <c r="A51" s="223" t="s">
        <v>275</v>
      </c>
      <c r="B51" s="224" t="s">
        <v>142</v>
      </c>
      <c r="C51" s="224">
        <v>17</v>
      </c>
      <c r="D51" s="224" t="s">
        <v>276</v>
      </c>
      <c r="E51" s="225" t="str">
        <f t="shared" ca="1" si="8"/>
        <v>MR</v>
      </c>
      <c r="F51" s="348"/>
      <c r="G51" s="349">
        <f t="shared" ca="1" si="1"/>
        <v>27</v>
      </c>
      <c r="H51" s="350"/>
      <c r="I51" s="350"/>
      <c r="J51" s="191"/>
      <c r="K51" s="191"/>
      <c r="M51" s="351"/>
      <c r="N51" s="351"/>
      <c r="AF51" s="169">
        <f t="shared" si="2"/>
        <v>1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51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4"/>
        <v/>
      </c>
      <c r="AQ51" s="207" t="s">
        <v>295</v>
      </c>
      <c r="AR51" s="207" t="s">
        <v>140</v>
      </c>
      <c r="AS51" s="207">
        <v>19</v>
      </c>
      <c r="AT51" s="207" t="s">
        <v>296</v>
      </c>
      <c r="AV51" s="168">
        <f t="shared" si="21"/>
        <v>15</v>
      </c>
      <c r="AW51" s="168">
        <f>COUNTIF( AV$7:AV51, AV51 )</f>
        <v>19</v>
      </c>
      <c r="AX51" s="208">
        <f t="shared" si="22"/>
        <v>16.899999999999999</v>
      </c>
      <c r="AY51" s="168">
        <f t="shared" si="23"/>
        <v>33</v>
      </c>
      <c r="AZ51" s="169"/>
      <c r="BA51" s="169"/>
      <c r="BC51" s="168">
        <f t="shared" ca="1" si="24"/>
        <v>45</v>
      </c>
      <c r="BD51" s="209">
        <f t="shared" ca="1" si="6"/>
        <v>23</v>
      </c>
      <c r="BF51" s="173" t="str">
        <f t="shared" ca="1" si="25"/>
        <v>FirstEnergy Corp.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FE</v>
      </c>
    </row>
    <row r="52" spans="1:61" ht="13.8" x14ac:dyDescent="0.25">
      <c r="A52" s="223" t="s">
        <v>279</v>
      </c>
      <c r="B52" s="224" t="s">
        <v>142</v>
      </c>
      <c r="C52" s="224">
        <v>17</v>
      </c>
      <c r="D52" s="224" t="s">
        <v>280</v>
      </c>
      <c r="E52" s="225" t="str">
        <f t="shared" ca="1" si="8"/>
        <v>D</v>
      </c>
      <c r="F52" s="348"/>
      <c r="G52" s="349">
        <f t="shared" ca="1" si="1"/>
        <v>29</v>
      </c>
      <c r="H52" s="350"/>
      <c r="I52" s="350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52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345</v>
      </c>
      <c r="AR52" s="207" t="s">
        <v>139</v>
      </c>
      <c r="AS52" s="207">
        <v>20</v>
      </c>
      <c r="AT52" s="207" t="s">
        <v>346</v>
      </c>
      <c r="AV52" s="168">
        <f t="shared" si="21"/>
        <v>3</v>
      </c>
      <c r="AW52" s="168">
        <f>COUNTIF( AV$7:AV52, AV52 )</f>
        <v>10</v>
      </c>
      <c r="AX52" s="208">
        <f t="shared" si="22"/>
        <v>4</v>
      </c>
      <c r="AY52" s="168">
        <f t="shared" si="23"/>
        <v>12</v>
      </c>
      <c r="AZ52" s="169"/>
      <c r="BA52" s="169"/>
      <c r="BC52" s="168">
        <f t="shared" ca="1" si="24"/>
        <v>46</v>
      </c>
      <c r="BD52" s="209">
        <f t="shared" ca="1" si="6"/>
        <v>25</v>
      </c>
      <c r="BF52" s="173" t="str">
        <f t="shared" ca="1" si="25"/>
        <v>Hawaiian Electric Industries, Inc.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HE</v>
      </c>
    </row>
    <row r="53" spans="1:61" ht="13.8" x14ac:dyDescent="0.25">
      <c r="A53" s="223" t="s">
        <v>287</v>
      </c>
      <c r="B53" s="224" t="s">
        <v>142</v>
      </c>
      <c r="C53" s="224">
        <v>17</v>
      </c>
      <c r="D53" s="224" t="s">
        <v>288</v>
      </c>
      <c r="E53" s="225" t="str">
        <f t="shared" ca="1" si="8"/>
        <v>R</v>
      </c>
      <c r="F53" s="348"/>
      <c r="G53" s="349">
        <f t="shared" ca="1" si="1"/>
        <v>59</v>
      </c>
      <c r="H53" s="350"/>
      <c r="I53" s="350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354</v>
      </c>
      <c r="AR53" s="207" t="s">
        <v>140</v>
      </c>
      <c r="AS53" s="207">
        <v>19</v>
      </c>
      <c r="AT53" s="207" t="s">
        <v>355</v>
      </c>
      <c r="AV53" s="168">
        <f t="shared" si="21"/>
        <v>15</v>
      </c>
      <c r="AW53" s="168">
        <f>COUNTIF( AV$7:AV53, AV53 )</f>
        <v>20</v>
      </c>
      <c r="AX53" s="208">
        <f t="shared" si="22"/>
        <v>17</v>
      </c>
      <c r="AY53" s="168">
        <f t="shared" si="23"/>
        <v>34</v>
      </c>
      <c r="AZ53" s="169"/>
      <c r="BA53" s="169"/>
      <c r="BC53" s="168">
        <f t="shared" ca="1" si="24"/>
        <v>47</v>
      </c>
      <c r="BD53" s="209">
        <f t="shared" ca="1" si="6"/>
        <v>27</v>
      </c>
      <c r="BF53" s="173" t="str">
        <f t="shared" ca="1" si="25"/>
        <v>IPALCO Enterprises,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**IPALCO</v>
      </c>
    </row>
    <row r="54" spans="1:61" ht="13.8" x14ac:dyDescent="0.25">
      <c r="A54" s="223" t="s">
        <v>305</v>
      </c>
      <c r="B54" s="224" t="s">
        <v>142</v>
      </c>
      <c r="C54" s="224">
        <v>17</v>
      </c>
      <c r="D54" s="224" t="s">
        <v>306</v>
      </c>
      <c r="E54" s="225" t="str">
        <f t="shared" ca="1" si="8"/>
        <v>R</v>
      </c>
      <c r="F54" s="348"/>
      <c r="G54" s="349">
        <f t="shared" ca="1" si="1"/>
        <v>61</v>
      </c>
      <c r="H54" s="350"/>
      <c r="I54" s="350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8"/>
        <v/>
      </c>
      <c r="AJ54" s="169">
        <f t="shared" ca="1" si="19"/>
        <v>54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4"/>
        <v/>
      </c>
      <c r="AQ54" s="207" t="s">
        <v>247</v>
      </c>
      <c r="AR54" s="207" t="s">
        <v>139</v>
      </c>
      <c r="AS54" s="207">
        <v>20</v>
      </c>
      <c r="AT54" s="207" t="s">
        <v>248</v>
      </c>
      <c r="AV54" s="168">
        <f t="shared" si="21"/>
        <v>3</v>
      </c>
      <c r="AW54" s="168">
        <f>COUNTIF( AV$7:AV54, AV54 )</f>
        <v>11</v>
      </c>
      <c r="AX54" s="208">
        <f t="shared" si="22"/>
        <v>4.0999999999999996</v>
      </c>
      <c r="AY54" s="168">
        <f t="shared" si="23"/>
        <v>13</v>
      </c>
      <c r="AZ54" s="169"/>
      <c r="BA54" s="169"/>
      <c r="BC54" s="168">
        <f t="shared" ca="1" si="24"/>
        <v>48</v>
      </c>
      <c r="BD54" s="209">
        <f t="shared" ca="1" si="6"/>
        <v>40</v>
      </c>
      <c r="BF54" s="173" t="str">
        <f t="shared" ca="1" si="25"/>
        <v>Puget Energy, Inc.</v>
      </c>
      <c r="BG54" s="173" t="str">
        <f t="shared" ca="1" si="25"/>
        <v>BBB-</v>
      </c>
      <c r="BH54" s="173">
        <f t="shared" ca="1" si="25"/>
        <v>17</v>
      </c>
      <c r="BI54" s="173" t="str">
        <f t="shared" ca="1" si="25"/>
        <v>**PSD</v>
      </c>
    </row>
    <row r="55" spans="1:61" ht="13.8" x14ac:dyDescent="0.25">
      <c r="A55" s="223" t="s">
        <v>259</v>
      </c>
      <c r="B55" s="224" t="s">
        <v>175</v>
      </c>
      <c r="C55" s="224">
        <v>15</v>
      </c>
      <c r="D55" s="224" t="s">
        <v>260</v>
      </c>
      <c r="E55" s="225" t="str">
        <f t="shared" ca="1" si="8"/>
        <v>MR</v>
      </c>
      <c r="F55" s="348"/>
      <c r="G55" s="349">
        <f t="shared" ca="1" si="1"/>
        <v>57</v>
      </c>
      <c r="H55" s="350"/>
      <c r="I55" s="350"/>
      <c r="J55" s="191"/>
      <c r="K55" s="191"/>
      <c r="AF55" s="169">
        <f t="shared" si="2"/>
        <v>0</v>
      </c>
      <c r="AG55" s="169" t="str">
        <f t="shared" ca="1" si="3"/>
        <v/>
      </c>
      <c r="AH55" s="169" t="str">
        <f t="shared" ca="1" si="18"/>
        <v/>
      </c>
      <c r="AJ55" s="169">
        <f t="shared" ca="1" si="19"/>
        <v>55</v>
      </c>
      <c r="AK55" s="169" t="str">
        <f t="shared" ca="1" si="20"/>
        <v>BB</v>
      </c>
      <c r="AL55" s="169">
        <f t="shared" ca="1" si="20"/>
        <v>15</v>
      </c>
      <c r="AM55" s="169" t="str">
        <f t="shared" ca="1" si="4"/>
        <v/>
      </c>
      <c r="AQ55" s="207" t="s">
        <v>251</v>
      </c>
      <c r="AR55" s="207" t="s">
        <v>139</v>
      </c>
      <c r="AS55" s="207">
        <v>20</v>
      </c>
      <c r="AT55" s="207" t="s">
        <v>252</v>
      </c>
      <c r="AV55" s="168">
        <f t="shared" si="21"/>
        <v>3</v>
      </c>
      <c r="AW55" s="168">
        <f>COUNTIF( AV$7:AV55, AV55 )</f>
        <v>12</v>
      </c>
      <c r="AX55" s="208">
        <f t="shared" si="22"/>
        <v>4.2</v>
      </c>
      <c r="AY55" s="168">
        <f t="shared" si="23"/>
        <v>14</v>
      </c>
      <c r="AZ55" s="169"/>
      <c r="BA55" s="169"/>
      <c r="BC55" s="168">
        <f t="shared" ca="1" si="24"/>
        <v>49</v>
      </c>
      <c r="BD55" s="209">
        <f t="shared" ca="1" si="6"/>
        <v>14</v>
      </c>
      <c r="BF55" s="173" t="str">
        <f t="shared" ca="1" si="25"/>
        <v>DPL Inc.</v>
      </c>
      <c r="BG55" s="173" t="str">
        <f t="shared" ca="1" si="25"/>
        <v>BB</v>
      </c>
      <c r="BH55" s="173">
        <f t="shared" ca="1" si="25"/>
        <v>15</v>
      </c>
      <c r="BI55" s="173" t="str">
        <f t="shared" ca="1" si="25"/>
        <v>**DPL</v>
      </c>
    </row>
    <row r="56" spans="1:61" ht="13.8" x14ac:dyDescent="0.25">
      <c r="A56" s="223"/>
      <c r="B56" s="224"/>
      <c r="C56" s="224"/>
      <c r="D56" s="224"/>
      <c r="E56" s="225"/>
      <c r="F56" s="348"/>
      <c r="G56" s="349" t="str">
        <f t="shared" ca="1" si="1"/>
        <v/>
      </c>
      <c r="H56" s="350"/>
      <c r="I56" s="350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1</v>
      </c>
      <c r="AX56" s="208">
        <f t="shared" si="22"/>
        <v>99.1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8" x14ac:dyDescent="0.25">
      <c r="A57" s="223"/>
      <c r="B57" s="224"/>
      <c r="C57" s="224"/>
      <c r="D57" s="224"/>
      <c r="E57" s="225"/>
      <c r="F57" s="348"/>
      <c r="G57" s="349" t="str">
        <f t="shared" ca="1" si="1"/>
        <v/>
      </c>
      <c r="H57" s="350"/>
      <c r="I57" s="350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2</v>
      </c>
      <c r="AX57" s="208">
        <f t="shared" si="22"/>
        <v>99.2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8" x14ac:dyDescent="0.25">
      <c r="A58" s="223"/>
      <c r="B58" s="224"/>
      <c r="C58" s="224"/>
      <c r="D58" s="224"/>
      <c r="E58" s="225"/>
      <c r="F58" s="348"/>
      <c r="G58" s="349" t="str">
        <f t="shared" ca="1" si="1"/>
        <v/>
      </c>
      <c r="H58" s="350"/>
      <c r="I58" s="350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3</v>
      </c>
      <c r="AX58" s="208">
        <f t="shared" si="22"/>
        <v>99.3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8" x14ac:dyDescent="0.25">
      <c r="A59" s="223"/>
      <c r="B59" s="224"/>
      <c r="C59" s="224"/>
      <c r="D59" s="224"/>
      <c r="E59" s="225" t="str">
        <f t="shared" ca="1" si="8"/>
        <v/>
      </c>
      <c r="F59" s="348"/>
      <c r="G59" s="349" t="str">
        <f t="shared" ca="1" si="1"/>
        <v/>
      </c>
      <c r="H59" s="350"/>
      <c r="I59" s="350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4</v>
      </c>
      <c r="AX59" s="208">
        <f t="shared" si="22"/>
        <v>99.4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" thickBot="1" x14ac:dyDescent="0.3">
      <c r="A60" s="192"/>
      <c r="B60" s="193"/>
      <c r="C60" s="193"/>
      <c r="D60" s="193"/>
      <c r="E60" s="194" t="str">
        <f t="shared" ca="1" si="8"/>
        <v/>
      </c>
      <c r="F60" s="350"/>
      <c r="G60" s="353" t="str">
        <f t="shared" ca="1" si="1"/>
        <v/>
      </c>
      <c r="H60" s="350"/>
      <c r="I60" s="350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5</v>
      </c>
      <c r="AX60" s="208">
        <f t="shared" si="22"/>
        <v>99.5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8" x14ac:dyDescent="0.25">
      <c r="A61" s="226" t="s">
        <v>308</v>
      </c>
      <c r="B61" s="227" t="s">
        <v>162</v>
      </c>
      <c r="C61" s="227">
        <v>23</v>
      </c>
      <c r="D61" s="227" t="s">
        <v>309</v>
      </c>
      <c r="E61" s="228" t="str">
        <f t="shared" ca="1" si="8"/>
        <v>MR</v>
      </c>
      <c r="F61" s="354"/>
      <c r="G61" s="355">
        <f t="shared" ca="1" si="1"/>
        <v>32</v>
      </c>
      <c r="H61" s="350"/>
      <c r="I61" s="350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6</v>
      </c>
      <c r="AX61" s="208">
        <f t="shared" si="22"/>
        <v>99.6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8" x14ac:dyDescent="0.25">
      <c r="A62" s="223" t="s">
        <v>371</v>
      </c>
      <c r="B62" s="224"/>
      <c r="C62" s="224"/>
      <c r="D62" s="224" t="s">
        <v>359</v>
      </c>
      <c r="E62" s="225" t="str">
        <f t="shared" ca="1" si="8"/>
        <v>R</v>
      </c>
      <c r="F62" s="348"/>
      <c r="G62" s="349">
        <f t="shared" ca="1" si="1"/>
        <v>58</v>
      </c>
      <c r="H62" s="350"/>
      <c r="I62" s="350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>
        <f t="shared" ca="1" si="19"/>
        <v>62</v>
      </c>
      <c r="AK62" s="169">
        <f t="shared" ca="1" si="20"/>
        <v>0</v>
      </c>
      <c r="AL62" s="169">
        <f t="shared" ca="1" si="20"/>
        <v>0</v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7</v>
      </c>
      <c r="AX62" s="208">
        <f t="shared" si="22"/>
        <v>99.7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/>
      <c r="B63" s="229"/>
      <c r="C63" s="224"/>
      <c r="D63" s="224"/>
      <c r="E63" s="225"/>
      <c r="F63" s="348"/>
      <c r="G63" s="349"/>
      <c r="H63" s="350"/>
      <c r="I63" s="350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8</v>
      </c>
      <c r="AX63" s="208">
        <f t="shared" si="22"/>
        <v>99.8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/>
      <c r="B64" s="229"/>
      <c r="C64" s="224"/>
      <c r="D64" s="224"/>
      <c r="E64" s="225"/>
      <c r="F64" s="348"/>
      <c r="G64" s="349"/>
      <c r="H64" s="350"/>
      <c r="I64" s="350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308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58" ht="13.8" x14ac:dyDescent="0.25">
      <c r="A65" s="223"/>
      <c r="B65" s="229"/>
      <c r="C65" s="224"/>
      <c r="D65" s="224"/>
      <c r="E65" s="225"/>
      <c r="F65" s="348"/>
      <c r="G65" s="349"/>
      <c r="H65" s="350"/>
      <c r="I65" s="350"/>
      <c r="N65" s="168" t="s">
        <v>310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 t="s">
        <v>371</v>
      </c>
      <c r="AR65" s="207"/>
      <c r="AS65" s="207"/>
      <c r="AT65" s="207" t="s">
        <v>359</v>
      </c>
      <c r="AU65" s="207"/>
      <c r="AZ65" s="169"/>
      <c r="BA65" s="169"/>
      <c r="BF65" s="169"/>
    </row>
    <row r="66" spans="1:58" ht="13.8" x14ac:dyDescent="0.25">
      <c r="A66" s="195"/>
      <c r="B66" s="196"/>
      <c r="C66" s="185"/>
      <c r="D66" s="185"/>
      <c r="E66" s="182"/>
      <c r="F66" s="350"/>
      <c r="H66" s="350"/>
      <c r="I66" s="350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50"/>
      <c r="H67" s="350"/>
      <c r="I67" s="350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8" x14ac:dyDescent="0.25">
      <c r="A68" s="200" t="s">
        <v>311</v>
      </c>
      <c r="B68" s="189" t="str">
        <f ca="1">OFFSET( Scale!$H$5, ROUND( C68, 0 ) - 1, 1 )</f>
        <v>BBB+</v>
      </c>
      <c r="C68" s="201">
        <f>AVERAGE(C7:C65)</f>
        <v>18.940000000000001</v>
      </c>
      <c r="D68" s="201"/>
      <c r="E68" s="201"/>
      <c r="F68" s="350"/>
      <c r="H68" s="350"/>
      <c r="I68" s="350"/>
      <c r="J68" s="351"/>
      <c r="K68" s="351"/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50"/>
      <c r="H69" s="350"/>
      <c r="I69" s="350"/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1"/>
      <c r="K70" s="351"/>
    </row>
    <row r="71" spans="1:58" x14ac:dyDescent="0.25">
      <c r="A71" s="203" t="s">
        <v>312</v>
      </c>
      <c r="F71" s="173"/>
      <c r="H71" s="173"/>
      <c r="I71" s="173"/>
    </row>
    <row r="72" spans="1:58" x14ac:dyDescent="0.25">
      <c r="A72" s="203" t="s">
        <v>313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314</v>
      </c>
      <c r="B73" s="173"/>
      <c r="D73" s="173"/>
      <c r="E73" s="173"/>
      <c r="F73" s="204"/>
      <c r="H73" s="204"/>
      <c r="I73" s="204"/>
    </row>
    <row r="74" spans="1:58" x14ac:dyDescent="0.25">
      <c r="A74" s="203" t="s">
        <v>315</v>
      </c>
      <c r="D74" s="204"/>
      <c r="F74" s="206"/>
      <c r="H74" s="206"/>
      <c r="I74" s="206"/>
      <c r="AQ74" s="207"/>
      <c r="AR74" s="207"/>
      <c r="AS74" s="207"/>
    </row>
    <row r="75" spans="1:58" x14ac:dyDescent="0.25">
      <c r="A75" s="203" t="s">
        <v>316</v>
      </c>
      <c r="D75" s="204"/>
      <c r="F75" s="206"/>
      <c r="H75" s="206"/>
      <c r="I75" s="206"/>
      <c r="AQ75" s="207"/>
      <c r="AR75" s="207"/>
      <c r="AS75" s="207"/>
    </row>
    <row r="76" spans="1:58" x14ac:dyDescent="0.25">
      <c r="A76" s="203"/>
      <c r="AQ76" s="207"/>
      <c r="AR76" s="207"/>
      <c r="AS76" s="207"/>
    </row>
    <row r="77" spans="1:58" x14ac:dyDescent="0.25">
      <c r="C77" s="190">
        <f>SUMPRODUCT( L8:L13, Y8:Y13 ) / L14</f>
        <v>18.920000000000002</v>
      </c>
      <c r="E77" s="191"/>
      <c r="G77" s="353"/>
      <c r="J77" s="173"/>
      <c r="K77" s="173"/>
      <c r="AQ77" s="207"/>
      <c r="AR77" s="207"/>
      <c r="AS77" s="207"/>
    </row>
    <row r="78" spans="1:58" s="173" customFormat="1" ht="13.8" x14ac:dyDescent="0.2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ref="AQ7:AT55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806" priority="28" stopIfTrue="1">
      <formula>IF( $AH7 = 1, TRUE, FALSE )</formula>
    </cfRule>
    <cfRule type="expression" dxfId="805" priority="29" stopIfTrue="1">
      <formula>IF( $AG7 = 1, TRUE, FALSE )</formula>
    </cfRule>
    <cfRule type="expression" dxfId="804" priority="30" stopIfTrue="1">
      <formula>IF( $AF7 = 1, TRUE, FALSE )</formula>
    </cfRule>
  </conditionalFormatting>
  <conditionalFormatting sqref="A67:E67">
    <cfRule type="expression" dxfId="803" priority="31" stopIfTrue="1">
      <formula>IF( $AH67 = 1, TRUE, FALSE )</formula>
    </cfRule>
    <cfRule type="expression" dxfId="802" priority="32" stopIfTrue="1">
      <formula>IF( $AG67 = 1, TRUE, FALSE )</formula>
    </cfRule>
    <cfRule type="expression" dxfId="801" priority="33" stopIfTrue="1">
      <formula>IF( $AF67 = 1, TRUE, FALSE )</formula>
    </cfRule>
  </conditionalFormatting>
  <conditionalFormatting sqref="A66:E66">
    <cfRule type="expression" dxfId="800" priority="25" stopIfTrue="1">
      <formula>IF( $AH66 = 1, TRUE, FALSE )</formula>
    </cfRule>
    <cfRule type="expression" dxfId="799" priority="26" stopIfTrue="1">
      <formula>IF( $AG66 = 1, TRUE, FALSE )</formula>
    </cfRule>
    <cfRule type="expression" dxfId="798" priority="27" stopIfTrue="1">
      <formula>IF( $AF66 = 1, TRUE, FALSE )</formula>
    </cfRule>
  </conditionalFormatting>
  <conditionalFormatting sqref="A8:D58 B7:D7">
    <cfRule type="expression" dxfId="797" priority="22" stopIfTrue="1">
      <formula>IF( $AH7 = 1, TRUE, FALSE )</formula>
    </cfRule>
    <cfRule type="expression" dxfId="796" priority="23" stopIfTrue="1">
      <formula>IF( $AG7 = 1, TRUE, FALSE )</formula>
    </cfRule>
    <cfRule type="expression" dxfId="795" priority="24" stopIfTrue="1">
      <formula>IF( $AF7 = 1, TRUE, FALSE )</formula>
    </cfRule>
  </conditionalFormatting>
  <conditionalFormatting sqref="A59:D59">
    <cfRule type="expression" dxfId="794" priority="19" stopIfTrue="1">
      <formula>IF( $AH59 = 1, TRUE, FALSE )</formula>
    </cfRule>
    <cfRule type="expression" dxfId="793" priority="20" stopIfTrue="1">
      <formula>IF( $AG59 = 1, TRUE, FALSE )</formula>
    </cfRule>
    <cfRule type="expression" dxfId="792" priority="21" stopIfTrue="1">
      <formula>IF( $AF59 = 1, TRUE, FALSE )</formula>
    </cfRule>
  </conditionalFormatting>
  <conditionalFormatting sqref="A61:D65">
    <cfRule type="expression" dxfId="791" priority="16" stopIfTrue="1">
      <formula>IF( $AH61 = 1, TRUE, FALSE )</formula>
    </cfRule>
    <cfRule type="expression" dxfId="790" priority="17" stopIfTrue="1">
      <formula>IF( $AG61 = 1, TRUE, FALSE )</formula>
    </cfRule>
    <cfRule type="expression" dxfId="789" priority="18" stopIfTrue="1">
      <formula>IF( $AF61 = 1, TRUE, FALSE )</formula>
    </cfRule>
  </conditionalFormatting>
  <conditionalFormatting sqref="U8:U12">
    <cfRule type="cellIs" dxfId="788" priority="15" operator="equal">
      <formula>0</formula>
    </cfRule>
  </conditionalFormatting>
  <conditionalFormatting sqref="O8:O12 Q8:Q12">
    <cfRule type="cellIs" dxfId="787" priority="14" operator="equal">
      <formula>0</formula>
    </cfRule>
  </conditionalFormatting>
  <conditionalFormatting sqref="V8:V12">
    <cfRule type="cellIs" dxfId="786" priority="13" operator="equal">
      <formula>0</formula>
    </cfRule>
  </conditionalFormatting>
  <conditionalFormatting sqref="S8:S12">
    <cfRule type="cellIs" dxfId="785" priority="11" operator="equal">
      <formula>0</formula>
    </cfRule>
  </conditionalFormatting>
  <conditionalFormatting sqref="R8:R12">
    <cfRule type="cellIs" dxfId="784" priority="12" operator="equal">
      <formula>0</formula>
    </cfRule>
  </conditionalFormatting>
  <conditionalFormatting sqref="P8:P12">
    <cfRule type="cellIs" dxfId="783" priority="10" operator="equal">
      <formula>0</formula>
    </cfRule>
  </conditionalFormatting>
  <conditionalFormatting sqref="M8:M12">
    <cfRule type="cellIs" dxfId="782" priority="9" operator="equal">
      <formula>0</formula>
    </cfRule>
  </conditionalFormatting>
  <conditionalFormatting sqref="T8:T12">
    <cfRule type="cellIs" dxfId="781" priority="8" operator="equal">
      <formula>0</formula>
    </cfRule>
  </conditionalFormatting>
  <conditionalFormatting sqref="N8:N12">
    <cfRule type="cellIs" dxfId="780" priority="7" operator="equal">
      <formula>0</formula>
    </cfRule>
  </conditionalFormatting>
  <conditionalFormatting sqref="K8:K12">
    <cfRule type="cellIs" dxfId="779" priority="6" operator="equal">
      <formula>0</formula>
    </cfRule>
  </conditionalFormatting>
  <conditionalFormatting sqref="I8:I12">
    <cfRule type="cellIs" dxfId="778" priority="5" operator="equal">
      <formula>0</formula>
    </cfRule>
  </conditionalFormatting>
  <conditionalFormatting sqref="W8:W12">
    <cfRule type="cellIs" dxfId="777" priority="4" operator="equal">
      <formula>0</formula>
    </cfRule>
  </conditionalFormatting>
  <conditionalFormatting sqref="A7">
    <cfRule type="expression" dxfId="776" priority="1" stopIfTrue="1">
      <formula>IF( $AH7 = 1, TRUE, FALSE )</formula>
    </cfRule>
    <cfRule type="expression" dxfId="775" priority="2" stopIfTrue="1">
      <formula>IF( $AG7 = 1, TRUE, FALSE )</formula>
    </cfRule>
    <cfRule type="expression" dxfId="774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customWidth="1"/>
    <col min="23" max="23" width="2" style="168" customWidth="1"/>
    <col min="24" max="24" width="4.109375" style="168" customWidth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15.88671875" style="169" hidden="1" customWidth="1" outlineLevel="1" collapsed="1"/>
    <col min="37" max="38" width="15.88671875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-- 2016 Q3</v>
      </c>
      <c r="G1" s="175" t="s">
        <v>195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 x14ac:dyDescent="0.25">
      <c r="A2" s="167"/>
      <c r="E2" s="171" t="str">
        <f>G2</f>
        <v>Reg_Percent_2015</v>
      </c>
      <c r="G2" s="172" t="s">
        <v>365</v>
      </c>
      <c r="AJ2" s="173" t="str">
        <f>AJ4 &amp; AJ3</f>
        <v>'Credit_2016Q2'!d:d</v>
      </c>
      <c r="AK2" s="173" t="str">
        <f>AK4 &amp; AK3</f>
        <v>'Credit_2016Q2'!b1</v>
      </c>
      <c r="AL2" s="173" t="str">
        <f>AL4 &amp; AL3</f>
        <v>'Credit_2016Q2'!c1</v>
      </c>
      <c r="AQ2" s="169"/>
    </row>
    <row r="3" spans="1:61" ht="18" hidden="1" outlineLevel="1" x14ac:dyDescent="0.25">
      <c r="A3" s="167"/>
      <c r="E3" s="174" t="str">
        <f>"'" &amp; E2 &amp; "'!"</f>
        <v>'Reg_Percent_2015'!</v>
      </c>
      <c r="G3" s="168" t="str">
        <f>"'" &amp; G2 &amp; "'!"</f>
        <v>'Reg_Percent_2015'!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205</v>
      </c>
      <c r="AK3" s="149" t="s">
        <v>206</v>
      </c>
      <c r="AL3" s="149" t="s">
        <v>207</v>
      </c>
      <c r="AQ3" s="169"/>
    </row>
    <row r="4" spans="1:61" ht="18" hidden="1" outlineLevel="1" x14ac:dyDescent="0.25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>$AQ$5</f>
        <v>'Credit_2016Q2'!</v>
      </c>
      <c r="AK4" s="169" t="str">
        <f t="shared" ref="AK4:AL4" si="0">$AQ$5</f>
        <v>'Credit_2016Q2'!</v>
      </c>
      <c r="AL4" s="169" t="str">
        <f t="shared" si="0"/>
        <v>'Credit_2016Q2'!</v>
      </c>
      <c r="AQ4" s="169"/>
    </row>
    <row r="5" spans="1:61" ht="13.8" collapsed="1" x14ac:dyDescent="0.25">
      <c r="E5" s="176" t="s">
        <v>209</v>
      </c>
      <c r="G5" s="170" t="s">
        <v>199</v>
      </c>
      <c r="I5" s="230"/>
      <c r="J5" s="389" t="s">
        <v>210</v>
      </c>
      <c r="K5" s="230"/>
      <c r="L5" s="391" t="str">
        <f>"All Companies" &amp; CHAR( 10 ) &amp; "("&amp; L14 &amp; ")"</f>
        <v>All Companies
(50)</v>
      </c>
      <c r="M5" s="391"/>
      <c r="N5" s="230"/>
      <c r="O5" s="389" t="str">
        <f ca="1">"Regulated" &amp; CHAR( 10 ) &amp; "(" &amp; O14 &amp; ")"</f>
        <v>Regulated
(36)</v>
      </c>
      <c r="P5" s="393"/>
      <c r="Q5" s="230"/>
      <c r="R5" s="389" t="str">
        <f ca="1">"Mostly Regulated" &amp; CHAR( 10 ) &amp; "(" &amp; R14 &amp; ")"</f>
        <v>Mostly Regulated
(12)</v>
      </c>
      <c r="S5" s="393"/>
      <c r="T5" s="230"/>
      <c r="U5" s="389" t="str">
        <f ca="1">"Diversified" &amp; CHAR( 10 ) &amp; "(" &amp; U14 &amp; ")"</f>
        <v>Diversified
(2)</v>
      </c>
      <c r="V5" s="393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372</v>
      </c>
    </row>
    <row r="6" spans="1:61" ht="28.5" customHeight="1" x14ac:dyDescent="0.25">
      <c r="A6" s="219" t="s">
        <v>212</v>
      </c>
      <c r="B6" s="220" t="s">
        <v>66</v>
      </c>
      <c r="C6" s="249" t="s">
        <v>214</v>
      </c>
      <c r="D6" s="221"/>
      <c r="E6" s="222">
        <f ca="1">INDIRECT( E3 &amp; G1 )</f>
        <v>42369</v>
      </c>
      <c r="I6" s="231"/>
      <c r="J6" s="390"/>
      <c r="K6" s="231"/>
      <c r="L6" s="392"/>
      <c r="M6" s="392"/>
      <c r="N6" s="231"/>
      <c r="O6" s="390"/>
      <c r="P6" s="390"/>
      <c r="Q6" s="231"/>
      <c r="R6" s="390" t="s">
        <v>136</v>
      </c>
      <c r="S6" s="390"/>
      <c r="T6" s="231"/>
      <c r="U6" s="390"/>
      <c r="V6" s="390"/>
      <c r="W6" s="231"/>
      <c r="AE6" s="178"/>
      <c r="AJ6" s="179"/>
    </row>
    <row r="7" spans="1:61" ht="13.8" x14ac:dyDescent="0.25">
      <c r="A7" s="223" t="s">
        <v>215</v>
      </c>
      <c r="B7" s="224" t="s">
        <v>166</v>
      </c>
      <c r="C7" s="224">
        <v>21</v>
      </c>
      <c r="D7" s="224" t="s">
        <v>216</v>
      </c>
      <c r="E7" s="225" t="str">
        <f ca="1">IF( LEN( $G7 ) = 0, "", OFFSET( INDIRECT( E$3 &amp; E$4 ), $G7 - 1, 0 ) )</f>
        <v>R</v>
      </c>
      <c r="F7" s="348"/>
      <c r="G7" s="349">
        <f t="shared" ref="G7:G62" ca="1" si="1">IF( LEN( $D7 ) = 0, "", MATCH( $D7, INDIRECT( G$3 &amp; G$4 ), 0 ) )</f>
        <v>60</v>
      </c>
      <c r="H7" s="350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217</v>
      </c>
      <c r="AR7" s="207" t="s">
        <v>140</v>
      </c>
      <c r="AS7" s="207">
        <v>19</v>
      </c>
      <c r="AT7" s="207" t="s">
        <v>218</v>
      </c>
      <c r="AV7" s="168">
        <f>IF( LEN( AS7 ) = 0, 99, RANK( AS7, $AS$7:$AS$63 ) )</f>
        <v>15</v>
      </c>
      <c r="AW7" s="168">
        <f>COUNTIF( AV7:AV$7, AV7 )</f>
        <v>1</v>
      </c>
      <c r="AX7" s="208">
        <f>AV7 + AW7 / 10</f>
        <v>15.1</v>
      </c>
      <c r="AY7" s="168">
        <f>RANK( AX7, $AX$7:$AX$63, 1 )</f>
        <v>15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7</v>
      </c>
      <c r="BF7" s="173" t="str">
        <f t="shared" ref="BF7:BI38" ca="1" si="7">OFFSET( AQ$6, $BD7, 0 )</f>
        <v>Berkshire Energy Holdings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**BRK</v>
      </c>
    </row>
    <row r="8" spans="1:61" ht="13.8" x14ac:dyDescent="0.25">
      <c r="A8" s="223" t="s">
        <v>235</v>
      </c>
      <c r="B8" s="224" t="s">
        <v>166</v>
      </c>
      <c r="C8" s="224">
        <v>21</v>
      </c>
      <c r="D8" s="224" t="s">
        <v>236</v>
      </c>
      <c r="E8" s="225" t="str">
        <f t="shared" ref="E8:E62" ca="1" si="8">IF( LEN( $G8 ) = 0, "", OFFSET( INDIRECT( E$3 &amp; E$4 ), $G8 - 1, 0 ) )</f>
        <v>R</v>
      </c>
      <c r="F8" s="348"/>
      <c r="G8" s="349">
        <f t="shared" ca="1" si="1"/>
        <v>25</v>
      </c>
      <c r="H8" s="350"/>
      <c r="I8" s="233"/>
      <c r="J8" s="213" t="s">
        <v>137</v>
      </c>
      <c r="K8" s="233"/>
      <c r="L8" s="213">
        <f t="shared" ref="L8:L13" si="9">COUNTIF($C$7:$C$67,$X8)</f>
        <v>3</v>
      </c>
      <c r="M8" s="214">
        <f t="shared" ref="M8:M13" si="10">IF( L8 = 0, "", L8/L$14 )</f>
        <v>0.06</v>
      </c>
      <c r="N8" s="233"/>
      <c r="O8" s="213">
        <f t="shared" ref="O8:O13" ca="1" si="11">COUNTIFS( $E$7:$E$66, O$3, $C$7:$C$66, $X8 )</f>
        <v>2</v>
      </c>
      <c r="P8" s="214">
        <f t="shared" ref="P8:P13" ca="1" si="12">IF( O8 = 0, "", O8/O$14 )</f>
        <v>5.5555555555555552E-2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8.3333333333333329E-2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7">SUM(O8, R8, U8)</f>
        <v>3</v>
      </c>
      <c r="AC8" s="351"/>
      <c r="AE8" s="184"/>
      <c r="AF8" s="169">
        <f t="shared" si="2"/>
        <v>1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21</v>
      </c>
      <c r="BF8" s="173" t="str">
        <f t="shared" ca="1" si="7"/>
        <v>Eversource Energy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ES</v>
      </c>
    </row>
    <row r="9" spans="1:61" ht="13.8" x14ac:dyDescent="0.25">
      <c r="A9" s="223" t="s">
        <v>219</v>
      </c>
      <c r="B9" s="224" t="s">
        <v>139</v>
      </c>
      <c r="C9" s="224">
        <v>20</v>
      </c>
      <c r="D9" s="224" t="s">
        <v>220</v>
      </c>
      <c r="E9" s="225" t="str">
        <f t="shared" ca="1" si="8"/>
        <v>R</v>
      </c>
      <c r="F9" s="348"/>
      <c r="G9" s="349">
        <f t="shared" ca="1" si="1"/>
        <v>8</v>
      </c>
      <c r="H9" s="350"/>
      <c r="I9" s="234"/>
      <c r="J9" s="215" t="s">
        <v>139</v>
      </c>
      <c r="K9" s="234"/>
      <c r="L9" s="215">
        <f t="shared" si="9"/>
        <v>12</v>
      </c>
      <c r="M9" s="216">
        <f t="shared" si="10"/>
        <v>0.24</v>
      </c>
      <c r="N9" s="234"/>
      <c r="O9" s="215">
        <f t="shared" ca="1" si="11"/>
        <v>10</v>
      </c>
      <c r="P9" s="216">
        <f t="shared" ca="1" si="12"/>
        <v>0.27777777777777779</v>
      </c>
      <c r="Q9" s="234"/>
      <c r="R9" s="215">
        <f t="shared" ca="1" si="13"/>
        <v>2</v>
      </c>
      <c r="S9" s="216">
        <f t="shared" ca="1" si="14"/>
        <v>0.16666666666666666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7"/>
        <v>12</v>
      </c>
      <c r="AC9" s="351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si="21"/>
        <v>15</v>
      </c>
      <c r="AW9" s="168">
        <f>COUNTIF( AV$7:AV9, AV9 )</f>
        <v>2</v>
      </c>
      <c r="AX9" s="208">
        <f t="shared" si="22"/>
        <v>15.2</v>
      </c>
      <c r="AY9" s="168">
        <f t="shared" si="23"/>
        <v>16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ht="13.8" x14ac:dyDescent="0.25">
      <c r="A10" s="223" t="s">
        <v>249</v>
      </c>
      <c r="B10" s="224" t="s">
        <v>139</v>
      </c>
      <c r="C10" s="224">
        <v>20</v>
      </c>
      <c r="D10" s="224" t="s">
        <v>250</v>
      </c>
      <c r="E10" s="225" t="str">
        <f t="shared" ca="1" si="8"/>
        <v>MR</v>
      </c>
      <c r="F10" s="348"/>
      <c r="G10" s="349">
        <f t="shared" ca="1" si="1"/>
        <v>14</v>
      </c>
      <c r="H10" s="350"/>
      <c r="I10" s="234"/>
      <c r="J10" s="215" t="s">
        <v>140</v>
      </c>
      <c r="K10" s="234"/>
      <c r="L10" s="215">
        <f t="shared" si="9"/>
        <v>20</v>
      </c>
      <c r="M10" s="216">
        <f t="shared" si="10"/>
        <v>0.4</v>
      </c>
      <c r="N10" s="234"/>
      <c r="O10" s="215">
        <f t="shared" ca="1" si="11"/>
        <v>13</v>
      </c>
      <c r="P10" s="216">
        <f t="shared" ca="1" si="12"/>
        <v>0.3611111111111111</v>
      </c>
      <c r="Q10" s="234"/>
      <c r="R10" s="215">
        <f t="shared" ca="1" si="13"/>
        <v>7</v>
      </c>
      <c r="S10" s="216">
        <f t="shared" ca="1" si="14"/>
        <v>0.58333333333333337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229</v>
      </c>
      <c r="Y10" s="186">
        <v>19</v>
      </c>
      <c r="Z10" s="186">
        <v>1</v>
      </c>
      <c r="AA10" s="185">
        <f t="shared" ca="1" si="17"/>
        <v>20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222</v>
      </c>
      <c r="AR10" s="207" t="s">
        <v>140</v>
      </c>
      <c r="AS10" s="207">
        <v>19</v>
      </c>
      <c r="AT10" s="207" t="s">
        <v>223</v>
      </c>
      <c r="AV10" s="168">
        <f t="shared" si="21"/>
        <v>15</v>
      </c>
      <c r="AW10" s="168">
        <f>COUNTIF( AV$7:AV10, AV10 )</f>
        <v>3</v>
      </c>
      <c r="AX10" s="208">
        <f t="shared" si="22"/>
        <v>15.3</v>
      </c>
      <c r="AY10" s="168">
        <f t="shared" si="23"/>
        <v>17</v>
      </c>
      <c r="AZ10" s="169"/>
      <c r="BA10" s="169"/>
      <c r="BC10" s="168">
        <f t="shared" ca="1" si="24"/>
        <v>4</v>
      </c>
      <c r="BD10" s="209">
        <f t="shared" ca="1" si="6"/>
        <v>9</v>
      </c>
      <c r="BF10" s="173" t="str">
        <f t="shared" ca="1" si="7"/>
        <v>CenterPoint Energy,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CNP</v>
      </c>
    </row>
    <row r="11" spans="1:61" ht="13.8" x14ac:dyDescent="0.25">
      <c r="A11" s="223" t="s">
        <v>227</v>
      </c>
      <c r="B11" s="224" t="s">
        <v>139</v>
      </c>
      <c r="C11" s="224">
        <v>20</v>
      </c>
      <c r="D11" s="224" t="s">
        <v>228</v>
      </c>
      <c r="E11" s="225" t="str">
        <f t="shared" ca="1" si="8"/>
        <v>R</v>
      </c>
      <c r="F11" s="348"/>
      <c r="G11" s="349">
        <f t="shared" ca="1" si="1"/>
        <v>17</v>
      </c>
      <c r="H11" s="350"/>
      <c r="I11" s="234"/>
      <c r="J11" s="215" t="s">
        <v>141</v>
      </c>
      <c r="K11" s="234"/>
      <c r="L11" s="215">
        <f t="shared" si="9"/>
        <v>9</v>
      </c>
      <c r="M11" s="216">
        <f t="shared" si="10"/>
        <v>0.18</v>
      </c>
      <c r="N11" s="234"/>
      <c r="O11" s="215">
        <f t="shared" ca="1" si="11"/>
        <v>8</v>
      </c>
      <c r="P11" s="216">
        <f t="shared" ca="1" si="12"/>
        <v>0.22222222222222221</v>
      </c>
      <c r="Q11" s="234"/>
      <c r="R11" s="215">
        <f t="shared" ca="1" si="13"/>
        <v>0</v>
      </c>
      <c r="S11" s="216" t="str">
        <f t="shared" ca="1" si="14"/>
        <v/>
      </c>
      <c r="T11" s="234"/>
      <c r="U11" s="215">
        <f t="shared" ca="1" si="15"/>
        <v>1</v>
      </c>
      <c r="V11" s="216">
        <f t="shared" ca="1" si="16"/>
        <v>0.5</v>
      </c>
      <c r="W11" s="234"/>
      <c r="X11" s="186" t="s">
        <v>232</v>
      </c>
      <c r="Y11" s="186">
        <v>18</v>
      </c>
      <c r="Z11" s="186">
        <v>1</v>
      </c>
      <c r="AA11" s="185">
        <f t="shared" ca="1" si="17"/>
        <v>9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233</v>
      </c>
      <c r="AR11" s="207" t="s">
        <v>140</v>
      </c>
      <c r="AS11" s="207">
        <v>19</v>
      </c>
      <c r="AT11" s="207" t="s">
        <v>234</v>
      </c>
      <c r="AV11" s="168">
        <f t="shared" si="21"/>
        <v>15</v>
      </c>
      <c r="AW11" s="168">
        <f>COUNTIF( AV$7:AV11, AV11 )</f>
        <v>4</v>
      </c>
      <c r="AX11" s="208">
        <f t="shared" si="22"/>
        <v>15.4</v>
      </c>
      <c r="AY11" s="168">
        <f t="shared" si="23"/>
        <v>18</v>
      </c>
      <c r="AZ11" s="169"/>
      <c r="BA11" s="169"/>
      <c r="BC11" s="168">
        <f t="shared" ca="1" si="24"/>
        <v>5</v>
      </c>
      <c r="BD11" s="209">
        <f t="shared" ca="1" si="6"/>
        <v>12</v>
      </c>
      <c r="BF11" s="173" t="str">
        <f t="shared" ca="1" si="7"/>
        <v>Consolidated Edison,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ED</v>
      </c>
    </row>
    <row r="12" spans="1:61" ht="13.8" x14ac:dyDescent="0.25">
      <c r="A12" s="223" t="s">
        <v>263</v>
      </c>
      <c r="B12" s="224" t="s">
        <v>139</v>
      </c>
      <c r="C12" s="224">
        <v>20</v>
      </c>
      <c r="D12" s="224" t="s">
        <v>264</v>
      </c>
      <c r="E12" s="225" t="str">
        <f t="shared" ca="1" si="8"/>
        <v>R</v>
      </c>
      <c r="F12" s="348"/>
      <c r="G12" s="349">
        <f t="shared" ca="1" si="1"/>
        <v>20</v>
      </c>
      <c r="H12" s="350"/>
      <c r="I12" s="234"/>
      <c r="J12" s="215" t="s">
        <v>142</v>
      </c>
      <c r="K12" s="234"/>
      <c r="L12" s="215">
        <f t="shared" si="9"/>
        <v>5</v>
      </c>
      <c r="M12" s="216">
        <f t="shared" si="10"/>
        <v>0.1</v>
      </c>
      <c r="N12" s="234"/>
      <c r="O12" s="215">
        <f t="shared" ca="1" si="11"/>
        <v>3</v>
      </c>
      <c r="P12" s="216">
        <f t="shared" ca="1" si="12"/>
        <v>8.3333333333333329E-2</v>
      </c>
      <c r="Q12" s="234"/>
      <c r="R12" s="215">
        <f t="shared" ca="1" si="13"/>
        <v>1</v>
      </c>
      <c r="S12" s="216">
        <f t="shared" ca="1" si="14"/>
        <v>8.3333333333333329E-2</v>
      </c>
      <c r="T12" s="234"/>
      <c r="U12" s="215">
        <f t="shared" ca="1" si="15"/>
        <v>1</v>
      </c>
      <c r="V12" s="216">
        <f t="shared" ca="1" si="16"/>
        <v>0.5</v>
      </c>
      <c r="W12" s="234"/>
      <c r="X12" s="186" t="s">
        <v>237</v>
      </c>
      <c r="Y12" s="186">
        <v>17</v>
      </c>
      <c r="Z12" s="186">
        <v>1</v>
      </c>
      <c r="AA12" s="185">
        <f t="shared" ca="1" si="17"/>
        <v>5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238</v>
      </c>
      <c r="AR12" s="207" t="s">
        <v>141</v>
      </c>
      <c r="AS12" s="207">
        <v>18</v>
      </c>
      <c r="AT12" s="207" t="s">
        <v>239</v>
      </c>
      <c r="AV12" s="168">
        <f t="shared" si="21"/>
        <v>35</v>
      </c>
      <c r="AW12" s="168">
        <f>COUNTIF( AV$7:AV12, AV12 )</f>
        <v>1</v>
      </c>
      <c r="AX12" s="208">
        <f t="shared" si="22"/>
        <v>35.1</v>
      </c>
      <c r="AY12" s="168">
        <f t="shared" si="23"/>
        <v>35</v>
      </c>
      <c r="AZ12" s="169"/>
      <c r="BA12" s="169"/>
      <c r="BC12" s="168">
        <f t="shared" ca="1" si="24"/>
        <v>6</v>
      </c>
      <c r="BD12" s="209">
        <f t="shared" ca="1" si="6"/>
        <v>16</v>
      </c>
      <c r="BF12" s="173" t="str">
        <f t="shared" ca="1" si="7"/>
        <v>Duke Energy Corporation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DUK</v>
      </c>
    </row>
    <row r="13" spans="1:61" ht="13.8" x14ac:dyDescent="0.25">
      <c r="A13" s="223" t="s">
        <v>240</v>
      </c>
      <c r="B13" s="224" t="s">
        <v>139</v>
      </c>
      <c r="C13" s="224">
        <v>20</v>
      </c>
      <c r="D13" s="224" t="s">
        <v>241</v>
      </c>
      <c r="E13" s="225" t="str">
        <f t="shared" ca="1" si="8"/>
        <v>MR</v>
      </c>
      <c r="F13" s="348"/>
      <c r="G13" s="349">
        <f t="shared" ca="1" si="1"/>
        <v>33</v>
      </c>
      <c r="H13" s="350"/>
      <c r="I13" s="235"/>
      <c r="J13" s="217" t="s">
        <v>143</v>
      </c>
      <c r="K13" s="235"/>
      <c r="L13" s="217">
        <f t="shared" si="9"/>
        <v>1</v>
      </c>
      <c r="M13" s="218">
        <f t="shared" si="10"/>
        <v>0.02</v>
      </c>
      <c r="N13" s="235"/>
      <c r="O13" s="217">
        <f t="shared" ca="1" si="11"/>
        <v>0</v>
      </c>
      <c r="P13" s="218" t="str">
        <f t="shared" ca="1" si="12"/>
        <v/>
      </c>
      <c r="Q13" s="235"/>
      <c r="R13" s="217">
        <f t="shared" ca="1" si="13"/>
        <v>1</v>
      </c>
      <c r="S13" s="218">
        <f t="shared" ca="1" si="14"/>
        <v>8.3333333333333329E-2</v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242</v>
      </c>
      <c r="Y13" s="186">
        <v>16</v>
      </c>
      <c r="Z13" s="186">
        <v>1</v>
      </c>
      <c r="AA13" s="188">
        <f t="shared" ca="1" si="17"/>
        <v>1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215</v>
      </c>
      <c r="AR13" s="207" t="s">
        <v>166</v>
      </c>
      <c r="AS13" s="207">
        <v>21</v>
      </c>
      <c r="AT13" s="207" t="s">
        <v>216</v>
      </c>
      <c r="AV13" s="168">
        <f t="shared" si="21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23"/>
        <v>1</v>
      </c>
      <c r="AZ13" s="169"/>
      <c r="BA13" s="169"/>
      <c r="BC13" s="168">
        <f t="shared" ca="1" si="24"/>
        <v>7</v>
      </c>
      <c r="BD13" s="209">
        <f t="shared" ca="1" si="6"/>
        <v>29</v>
      </c>
      <c r="BF13" s="173" t="str">
        <f t="shared" ca="1" si="7"/>
        <v>NextEra Energy, Inc.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NEE</v>
      </c>
    </row>
    <row r="14" spans="1:61" ht="13.8" x14ac:dyDescent="0.25">
      <c r="A14" s="223" t="s">
        <v>277</v>
      </c>
      <c r="B14" s="224" t="s">
        <v>139</v>
      </c>
      <c r="C14" s="224">
        <v>20</v>
      </c>
      <c r="D14" s="224" t="s">
        <v>278</v>
      </c>
      <c r="E14" s="225" t="str">
        <f t="shared" ca="1" si="8"/>
        <v>R</v>
      </c>
      <c r="F14" s="348"/>
      <c r="G14" s="349">
        <f t="shared" ca="1" si="1"/>
        <v>36</v>
      </c>
      <c r="H14" s="350"/>
      <c r="I14" s="236"/>
      <c r="J14" s="211" t="s">
        <v>144</v>
      </c>
      <c r="K14" s="236"/>
      <c r="L14" s="211">
        <f>SUM(L8:L13)</f>
        <v>50</v>
      </c>
      <c r="M14" s="212">
        <f>L14/L$14</f>
        <v>1</v>
      </c>
      <c r="N14" s="236"/>
      <c r="O14" s="211">
        <f ca="1">SUM(O8:O13)</f>
        <v>36</v>
      </c>
      <c r="P14" s="212">
        <f ca="1">O14/O$14</f>
        <v>1</v>
      </c>
      <c r="Q14" s="236"/>
      <c r="R14" s="211">
        <f ca="1">SUM(R8:R13)</f>
        <v>12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18.920000000000002</v>
      </c>
      <c r="Z14" s="190"/>
      <c r="AA14" s="189">
        <f ca="1">SUM(AA8:AA13)</f>
        <v>50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245</v>
      </c>
      <c r="AR14" s="207" t="s">
        <v>141</v>
      </c>
      <c r="AS14" s="207">
        <v>18</v>
      </c>
      <c r="AT14" s="207" t="s">
        <v>246</v>
      </c>
      <c r="AV14" s="168">
        <f>IF( LEN( AS14 ) = 0, 99, RANK( AS14, $AS$7:$AS$63 ) )</f>
        <v>35</v>
      </c>
      <c r="AW14" s="168">
        <f>COUNTIF( AV$7:AV14, AV14 )</f>
        <v>2</v>
      </c>
      <c r="AX14" s="208">
        <f t="shared" si="22"/>
        <v>35.200000000000003</v>
      </c>
      <c r="AY14" s="168">
        <f t="shared" si="23"/>
        <v>36</v>
      </c>
      <c r="AZ14" s="169"/>
      <c r="BA14" s="169"/>
      <c r="BC14" s="168">
        <f t="shared" ca="1" si="24"/>
        <v>8</v>
      </c>
      <c r="BD14" s="209">
        <f t="shared" ca="1" si="6"/>
        <v>32</v>
      </c>
      <c r="BF14" s="173" t="str">
        <f t="shared" ca="1" si="7"/>
        <v>OGE Energy Corp.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OGE</v>
      </c>
    </row>
    <row r="15" spans="1:61" ht="13.8" x14ac:dyDescent="0.25">
      <c r="A15" s="223" t="s">
        <v>281</v>
      </c>
      <c r="B15" s="224" t="s">
        <v>139</v>
      </c>
      <c r="C15" s="224">
        <v>20</v>
      </c>
      <c r="D15" s="224" t="s">
        <v>282</v>
      </c>
      <c r="E15" s="225" t="str">
        <f t="shared" ca="1" si="8"/>
        <v>R</v>
      </c>
      <c r="F15" s="348"/>
      <c r="G15" s="349">
        <f t="shared" ca="1" si="1"/>
        <v>39</v>
      </c>
      <c r="H15" s="350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249</v>
      </c>
      <c r="AR15" s="207" t="s">
        <v>139</v>
      </c>
      <c r="AS15" s="207">
        <v>20</v>
      </c>
      <c r="AT15" s="207" t="s">
        <v>250</v>
      </c>
      <c r="AV15" s="168">
        <f t="shared" si="21"/>
        <v>3</v>
      </c>
      <c r="AW15" s="168">
        <f>COUNTIF( AV$7:AV15, AV15 )</f>
        <v>2</v>
      </c>
      <c r="AX15" s="208">
        <f t="shared" si="22"/>
        <v>3.2</v>
      </c>
      <c r="AY15" s="168">
        <f t="shared" si="23"/>
        <v>4</v>
      </c>
      <c r="AZ15" s="169"/>
      <c r="BA15" s="169"/>
      <c r="BC15" s="168">
        <f t="shared" ca="1" si="24"/>
        <v>9</v>
      </c>
      <c r="BD15" s="209">
        <f t="shared" ca="1" si="6"/>
        <v>35</v>
      </c>
      <c r="BF15" s="173" t="str">
        <f t="shared" ca="1" si="7"/>
        <v>Pinnacle West Capital Corporation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PNW</v>
      </c>
    </row>
    <row r="16" spans="1:61" ht="13.8" x14ac:dyDescent="0.25">
      <c r="A16" s="223" t="s">
        <v>243</v>
      </c>
      <c r="B16" s="224" t="s">
        <v>139</v>
      </c>
      <c r="C16" s="224">
        <v>20</v>
      </c>
      <c r="D16" s="224" t="s">
        <v>244</v>
      </c>
      <c r="E16" s="225" t="str">
        <f t="shared" ca="1" si="8"/>
        <v>R</v>
      </c>
      <c r="F16" s="348"/>
      <c r="G16" s="349">
        <f t="shared" ca="1" si="1"/>
        <v>42</v>
      </c>
      <c r="H16" s="350"/>
      <c r="I16" s="232"/>
      <c r="J16" s="210" t="s">
        <v>253</v>
      </c>
      <c r="K16" s="232"/>
      <c r="L16" s="386">
        <f t="array" ref="L16">SUM( IF( LEN( $C$7:$C$65 ) = 0, 0, $C$7:$C$65 ) ) / SUM( IF( LEN( $C$7:$C$65 ) = 0, 0, 1  ) )</f>
        <v>18.940000000000001</v>
      </c>
      <c r="M16" s="387"/>
      <c r="N16" s="232"/>
      <c r="O16" s="386">
        <f t="array" aca="1" ref="O16" ca="1">SUM( IF( LEN( $C$7:$C$65 ) = 0, 0, IF( $E$7:$E$65 = O3, $C$7:$C$65, 0 ) ) ) / SUM( IF( LEN( $C$7:$C$65 ) = 0, 0, IF( $E$7:$E$65 = O3, 1, 0 ) ) )</f>
        <v>19</v>
      </c>
      <c r="P16" s="387"/>
      <c r="Q16" s="232"/>
      <c r="R16" s="386">
        <f t="array" aca="1" ref="R16" ca="1">SUM( IF( LEN( $C$7:$C$65 ) = 0, 0, IF( $E$7:$E$65 = R3, $C$7:$C$65, 0 ) ) ) / SUM( IF( LEN( $C$7:$C$65 ) = 0, 0, IF( $E$7:$E$65 = R3, 1, 0 ) ) )</f>
        <v>19</v>
      </c>
      <c r="S16" s="387"/>
      <c r="T16" s="232"/>
      <c r="U16" s="386">
        <f t="array" aca="1" ref="U16" ca="1">SUM( IF( LEN( $C$7:$C$65 ) = 0, 0, IF( $E$7:$E$65 = U3, $C$7:$C$65, 0 ) ) ) / SUM( IF( LEN( $C$7:$C$65 ) = 0, 0, IF( $E$7:$E$65 = U3, 1, 0 ) ) )</f>
        <v>17.5</v>
      </c>
      <c r="V16" s="388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254</v>
      </c>
      <c r="AR16" s="207" t="s">
        <v>142</v>
      </c>
      <c r="AS16" s="207">
        <v>17</v>
      </c>
      <c r="AT16" s="207" t="s">
        <v>255</v>
      </c>
      <c r="AV16" s="168">
        <f t="shared" si="21"/>
        <v>44</v>
      </c>
      <c r="AW16" s="168">
        <f>COUNTIF( AV$7:AV16, AV16 )</f>
        <v>1</v>
      </c>
      <c r="AX16" s="208">
        <f t="shared" si="22"/>
        <v>44.1</v>
      </c>
      <c r="AY16" s="168">
        <f t="shared" si="23"/>
        <v>44</v>
      </c>
      <c r="AZ16" s="169"/>
      <c r="BA16" s="169"/>
      <c r="BC16" s="168">
        <f t="shared" ca="1" si="24"/>
        <v>10</v>
      </c>
      <c r="BD16" s="209">
        <f t="shared" ca="1" si="6"/>
        <v>38</v>
      </c>
      <c r="BF16" s="173" t="str">
        <f t="shared" ca="1" si="7"/>
        <v>PPL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PPL</v>
      </c>
    </row>
    <row r="17" spans="1:61" ht="13.8" x14ac:dyDescent="0.25">
      <c r="A17" s="223" t="s">
        <v>293</v>
      </c>
      <c r="B17" s="224" t="s">
        <v>139</v>
      </c>
      <c r="C17" s="224">
        <v>20</v>
      </c>
      <c r="D17" s="224" t="s">
        <v>294</v>
      </c>
      <c r="E17" s="225" t="str">
        <f t="shared" ca="1" si="8"/>
        <v>R</v>
      </c>
      <c r="F17" s="348"/>
      <c r="G17" s="349">
        <f t="shared" ca="1" si="1"/>
        <v>46</v>
      </c>
      <c r="H17" s="350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256</v>
      </c>
      <c r="AR17" s="207" t="s">
        <v>140</v>
      </c>
      <c r="AS17" s="207">
        <v>19</v>
      </c>
      <c r="AT17" s="207" t="s">
        <v>257</v>
      </c>
      <c r="AV17" s="168">
        <f t="shared" si="21"/>
        <v>15</v>
      </c>
      <c r="AW17" s="168">
        <f>COUNTIF( AV$7:AV17, AV17 )</f>
        <v>5</v>
      </c>
      <c r="AX17" s="208">
        <f t="shared" si="22"/>
        <v>15.5</v>
      </c>
      <c r="AY17" s="168">
        <f t="shared" si="23"/>
        <v>19</v>
      </c>
      <c r="AZ17" s="169"/>
      <c r="BA17" s="169"/>
      <c r="BC17" s="168">
        <f t="shared" ca="1" si="24"/>
        <v>11</v>
      </c>
      <c r="BD17" s="209">
        <f t="shared" ca="1" si="6"/>
        <v>43</v>
      </c>
      <c r="BF17" s="173" t="str">
        <f t="shared" ca="1" si="7"/>
        <v>Southern Company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SO</v>
      </c>
    </row>
    <row r="18" spans="1:61" ht="13.8" x14ac:dyDescent="0.25">
      <c r="A18" s="223" t="s">
        <v>345</v>
      </c>
      <c r="B18" s="224" t="s">
        <v>139</v>
      </c>
      <c r="C18" s="224">
        <v>20</v>
      </c>
      <c r="D18" s="224" t="s">
        <v>346</v>
      </c>
      <c r="E18" s="225" t="str">
        <f t="shared" ca="1" si="8"/>
        <v>R</v>
      </c>
      <c r="F18" s="348"/>
      <c r="G18" s="349">
        <f t="shared" ca="1" si="1"/>
        <v>49</v>
      </c>
      <c r="H18" s="350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227</v>
      </c>
      <c r="AR18" s="207" t="s">
        <v>139</v>
      </c>
      <c r="AS18" s="207">
        <v>20</v>
      </c>
      <c r="AT18" s="207" t="s">
        <v>228</v>
      </c>
      <c r="AV18" s="168">
        <f t="shared" si="21"/>
        <v>3</v>
      </c>
      <c r="AW18" s="168">
        <f>COUNTIF( AV$7:AV18, AV18 )</f>
        <v>3</v>
      </c>
      <c r="AX18" s="208">
        <f t="shared" si="22"/>
        <v>3.3</v>
      </c>
      <c r="AY18" s="168">
        <f t="shared" si="23"/>
        <v>5</v>
      </c>
      <c r="AZ18" s="169"/>
      <c r="BA18" s="169"/>
      <c r="BC18" s="168">
        <f t="shared" ca="1" si="24"/>
        <v>12</v>
      </c>
      <c r="BD18" s="209">
        <f t="shared" ca="1" si="6"/>
        <v>46</v>
      </c>
      <c r="BF18" s="173" t="str">
        <f t="shared" ca="1" si="7"/>
        <v>Vectren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VVC</v>
      </c>
    </row>
    <row r="19" spans="1:61" ht="13.8" x14ac:dyDescent="0.25">
      <c r="A19" s="223" t="s">
        <v>247</v>
      </c>
      <c r="B19" s="224" t="s">
        <v>139</v>
      </c>
      <c r="C19" s="224">
        <v>20</v>
      </c>
      <c r="D19" s="224" t="s">
        <v>248</v>
      </c>
      <c r="E19" s="225" t="str">
        <f t="shared" ca="1" si="8"/>
        <v>R</v>
      </c>
      <c r="F19" s="348"/>
      <c r="G19" s="349">
        <f t="shared" ca="1" si="1"/>
        <v>50</v>
      </c>
      <c r="H19" s="350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361</v>
      </c>
      <c r="AR19" s="207" t="s">
        <v>140</v>
      </c>
      <c r="AS19" s="207">
        <v>19</v>
      </c>
      <c r="AT19" s="207" t="s">
        <v>194</v>
      </c>
      <c r="AV19" s="168">
        <f t="shared" si="21"/>
        <v>15</v>
      </c>
      <c r="AW19" s="168">
        <f>COUNTIF( AV$7:AV19, AV19 )</f>
        <v>6</v>
      </c>
      <c r="AX19" s="208">
        <f t="shared" si="22"/>
        <v>15.6</v>
      </c>
      <c r="AY19" s="168">
        <f t="shared" si="23"/>
        <v>20</v>
      </c>
      <c r="AZ19" s="169"/>
      <c r="BA19" s="169"/>
      <c r="BC19" s="168">
        <f t="shared" ca="1" si="24"/>
        <v>13</v>
      </c>
      <c r="BD19" s="209">
        <f t="shared" ca="1" si="6"/>
        <v>48</v>
      </c>
      <c r="BF19" s="173" t="str">
        <f t="shared" ca="1" si="7"/>
        <v>Wisconsin Energy Corporation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WEC</v>
      </c>
    </row>
    <row r="20" spans="1:61" ht="13.8" x14ac:dyDescent="0.25">
      <c r="A20" s="223" t="s">
        <v>251</v>
      </c>
      <c r="B20" s="224" t="s">
        <v>139</v>
      </c>
      <c r="C20" s="224">
        <v>20</v>
      </c>
      <c r="D20" s="224" t="s">
        <v>252</v>
      </c>
      <c r="E20" s="225" t="str">
        <f t="shared" ca="1" si="8"/>
        <v>R</v>
      </c>
      <c r="F20" s="348"/>
      <c r="G20" s="349">
        <f t="shared" ca="1" si="1"/>
        <v>52</v>
      </c>
      <c r="H20" s="350"/>
      <c r="I20" s="352"/>
      <c r="K20" s="352"/>
      <c r="N20" s="352"/>
      <c r="O20" s="173"/>
      <c r="Q20" s="352"/>
      <c r="T20" s="352"/>
      <c r="W20" s="352"/>
      <c r="AE20" s="184"/>
      <c r="AF20" s="169">
        <f t="shared" si="2"/>
        <v>0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259</v>
      </c>
      <c r="AR20" s="207" t="s">
        <v>175</v>
      </c>
      <c r="AS20" s="207">
        <v>15</v>
      </c>
      <c r="AT20" s="207" t="s">
        <v>260</v>
      </c>
      <c r="AV20" s="168">
        <f t="shared" si="21"/>
        <v>49</v>
      </c>
      <c r="AW20" s="168">
        <f>COUNTIF( AV$7:AV20, AV20 )</f>
        <v>1</v>
      </c>
      <c r="AX20" s="208">
        <f t="shared" si="22"/>
        <v>49.1</v>
      </c>
      <c r="AY20" s="168">
        <f t="shared" si="23"/>
        <v>49</v>
      </c>
      <c r="AZ20" s="169"/>
      <c r="BA20" s="169"/>
      <c r="BC20" s="168">
        <f t="shared" ca="1" si="24"/>
        <v>14</v>
      </c>
      <c r="BD20" s="209">
        <f t="shared" ca="1" si="6"/>
        <v>49</v>
      </c>
      <c r="BF20" s="173" t="str">
        <f t="shared" ca="1" si="7"/>
        <v>Xcel Energy Inc.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XEL</v>
      </c>
    </row>
    <row r="21" spans="1:61" ht="13.8" x14ac:dyDescent="0.25">
      <c r="A21" s="223" t="s">
        <v>217</v>
      </c>
      <c r="B21" s="224" t="s">
        <v>140</v>
      </c>
      <c r="C21" s="224">
        <v>19</v>
      </c>
      <c r="D21" s="224" t="s">
        <v>218</v>
      </c>
      <c r="E21" s="225" t="str">
        <f t="shared" ca="1" si="8"/>
        <v>MR</v>
      </c>
      <c r="F21" s="348"/>
      <c r="G21" s="349">
        <f t="shared" ca="1" si="1"/>
        <v>7</v>
      </c>
      <c r="H21" s="350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261</v>
      </c>
      <c r="AR21" s="207" t="s">
        <v>140</v>
      </c>
      <c r="AS21" s="207">
        <v>19</v>
      </c>
      <c r="AT21" s="207" t="s">
        <v>262</v>
      </c>
      <c r="AV21" s="168">
        <f t="shared" si="21"/>
        <v>15</v>
      </c>
      <c r="AW21" s="168">
        <f>COUNTIF( AV$7:AV21, AV21 )</f>
        <v>7</v>
      </c>
      <c r="AX21" s="208">
        <f t="shared" si="22"/>
        <v>15.7</v>
      </c>
      <c r="AY21" s="168">
        <f t="shared" si="23"/>
        <v>21</v>
      </c>
      <c r="AZ21" s="169"/>
      <c r="BA21" s="169"/>
      <c r="BC21" s="168">
        <f t="shared" ca="1" si="24"/>
        <v>15</v>
      </c>
      <c r="BD21" s="209">
        <f t="shared" ca="1" si="6"/>
        <v>1</v>
      </c>
      <c r="BF21" s="173" t="str">
        <f t="shared" ca="1" si="7"/>
        <v>ALLETE, Inc.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ALE</v>
      </c>
    </row>
    <row r="22" spans="1:61" ht="13.8" x14ac:dyDescent="0.25">
      <c r="A22" s="223" t="s">
        <v>225</v>
      </c>
      <c r="B22" s="224" t="s">
        <v>140</v>
      </c>
      <c r="C22" s="224">
        <v>19</v>
      </c>
      <c r="D22" s="224" t="s">
        <v>226</v>
      </c>
      <c r="E22" s="225" t="str">
        <f t="shared" ca="1" si="8"/>
        <v>R</v>
      </c>
      <c r="F22" s="348"/>
      <c r="G22" s="349">
        <f t="shared" ca="1" si="1"/>
        <v>9</v>
      </c>
      <c r="H22" s="350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263</v>
      </c>
      <c r="AR22" s="207" t="s">
        <v>139</v>
      </c>
      <c r="AS22" s="207">
        <v>20</v>
      </c>
      <c r="AT22" s="207" t="s">
        <v>264</v>
      </c>
      <c r="AV22" s="168">
        <f t="shared" si="21"/>
        <v>3</v>
      </c>
      <c r="AW22" s="168">
        <f>COUNTIF( AV$7:AV22, AV22 )</f>
        <v>4</v>
      </c>
      <c r="AX22" s="208">
        <f t="shared" si="22"/>
        <v>3.4</v>
      </c>
      <c r="AY22" s="168">
        <f t="shared" si="23"/>
        <v>6</v>
      </c>
      <c r="AZ22" s="169"/>
      <c r="BA22" s="169"/>
      <c r="BC22" s="168">
        <f t="shared" ca="1" si="24"/>
        <v>16</v>
      </c>
      <c r="BD22" s="209">
        <f t="shared" ca="1" si="6"/>
        <v>3</v>
      </c>
      <c r="BF22" s="173" t="str">
        <f t="shared" ca="1" si="7"/>
        <v>Ameren Corporation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AEE</v>
      </c>
    </row>
    <row r="23" spans="1:61" ht="13.8" x14ac:dyDescent="0.25">
      <c r="A23" s="223" t="s">
        <v>222</v>
      </c>
      <c r="B23" s="224" t="s">
        <v>140</v>
      </c>
      <c r="C23" s="224">
        <v>19</v>
      </c>
      <c r="D23" s="224" t="s">
        <v>223</v>
      </c>
      <c r="E23" s="225" t="str">
        <f t="shared" ca="1" si="8"/>
        <v>R</v>
      </c>
      <c r="F23" s="348"/>
      <c r="G23" s="349">
        <f t="shared" ca="1" si="1"/>
        <v>10</v>
      </c>
      <c r="H23" s="350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>
        <f t="shared" ca="1" si="3"/>
        <v>1</v>
      </c>
      <c r="AH23" s="169" t="str">
        <f t="shared" ca="1" si="18"/>
        <v/>
      </c>
      <c r="AJ23" s="169">
        <f t="shared" ca="1" si="19"/>
        <v>38</v>
      </c>
      <c r="AK23" s="169" t="str">
        <f t="shared" ca="1" si="20"/>
        <v>BBB</v>
      </c>
      <c r="AL23" s="169">
        <f t="shared" ca="1" si="20"/>
        <v>18</v>
      </c>
      <c r="AM23" s="169" t="str">
        <f t="shared" ca="1" si="4"/>
        <v>Change</v>
      </c>
      <c r="AQ23" s="207" t="s">
        <v>265</v>
      </c>
      <c r="AR23" s="207" t="s">
        <v>140</v>
      </c>
      <c r="AS23" s="207">
        <v>19</v>
      </c>
      <c r="AT23" s="207" t="s">
        <v>266</v>
      </c>
      <c r="AV23" s="168">
        <f t="shared" si="21"/>
        <v>15</v>
      </c>
      <c r="AW23" s="168">
        <f>COUNTIF( AV$7:AV23, AV23 )</f>
        <v>8</v>
      </c>
      <c r="AX23" s="208">
        <f t="shared" si="22"/>
        <v>15.8</v>
      </c>
      <c r="AY23" s="168">
        <f t="shared" si="23"/>
        <v>22</v>
      </c>
      <c r="AZ23" s="169"/>
      <c r="BA23" s="169"/>
      <c r="BC23" s="168">
        <f t="shared" ca="1" si="24"/>
        <v>17</v>
      </c>
      <c r="BD23" s="209">
        <f t="shared" ca="1" si="6"/>
        <v>4</v>
      </c>
      <c r="BF23" s="173" t="str">
        <f t="shared" ca="1" si="7"/>
        <v>American Electric Power Company, Inc.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AEP</v>
      </c>
    </row>
    <row r="24" spans="1:61" ht="13.8" x14ac:dyDescent="0.25">
      <c r="A24" s="223" t="s">
        <v>233</v>
      </c>
      <c r="B24" s="224" t="s">
        <v>140</v>
      </c>
      <c r="C24" s="224">
        <v>19</v>
      </c>
      <c r="D24" s="224" t="s">
        <v>234</v>
      </c>
      <c r="E24" s="225" t="str">
        <f t="shared" ca="1" si="8"/>
        <v>MR</v>
      </c>
      <c r="F24" s="348"/>
      <c r="G24" s="349">
        <f t="shared" ca="1" si="1"/>
        <v>11</v>
      </c>
      <c r="H24" s="350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23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328</v>
      </c>
      <c r="AR24" s="207" t="s">
        <v>141</v>
      </c>
      <c r="AS24" s="207">
        <v>18</v>
      </c>
      <c r="AT24" s="207" t="s">
        <v>331</v>
      </c>
      <c r="AV24" s="168">
        <f t="shared" si="21"/>
        <v>35</v>
      </c>
      <c r="AW24" s="168">
        <f>COUNTIF( AV$7:AV24, AV24 )</f>
        <v>3</v>
      </c>
      <c r="AX24" s="208">
        <f t="shared" si="22"/>
        <v>35.299999999999997</v>
      </c>
      <c r="AY24" s="168">
        <f t="shared" si="23"/>
        <v>37</v>
      </c>
      <c r="AZ24" s="169"/>
      <c r="BA24" s="169"/>
      <c r="BC24" s="168">
        <f t="shared" ca="1" si="24"/>
        <v>18</v>
      </c>
      <c r="BD24" s="209">
        <f t="shared" ca="1" si="6"/>
        <v>5</v>
      </c>
      <c r="BF24" s="173" t="str">
        <f t="shared" ca="1" si="7"/>
        <v>AVANGRID, Inc.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AGR</v>
      </c>
    </row>
    <row r="25" spans="1:61" ht="13.8" x14ac:dyDescent="0.25">
      <c r="A25" s="223" t="s">
        <v>256</v>
      </c>
      <c r="B25" s="224" t="s">
        <v>140</v>
      </c>
      <c r="C25" s="224">
        <v>19</v>
      </c>
      <c r="D25" s="224" t="s">
        <v>257</v>
      </c>
      <c r="E25" s="225" t="str">
        <f t="shared" ca="1" si="8"/>
        <v>R</v>
      </c>
      <c r="F25" s="348"/>
      <c r="G25" s="349">
        <f t="shared" ca="1" si="1"/>
        <v>16</v>
      </c>
      <c r="H25" s="350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24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367</v>
      </c>
      <c r="AR25" s="207" t="s">
        <v>141</v>
      </c>
      <c r="AS25" s="207">
        <v>18</v>
      </c>
      <c r="AT25" s="207" t="s">
        <v>368</v>
      </c>
      <c r="AV25" s="168">
        <f t="shared" si="21"/>
        <v>35</v>
      </c>
      <c r="AW25" s="168">
        <f>COUNTIF( AV$7:AV25, AV25 )</f>
        <v>4</v>
      </c>
      <c r="AX25" s="208">
        <f t="shared" si="22"/>
        <v>35.4</v>
      </c>
      <c r="AY25" s="168">
        <f t="shared" si="23"/>
        <v>38</v>
      </c>
      <c r="AZ25" s="169"/>
      <c r="BA25" s="169"/>
      <c r="BC25" s="168">
        <f t="shared" ca="1" si="24"/>
        <v>19</v>
      </c>
      <c r="BD25" s="209">
        <f t="shared" ca="1" si="6"/>
        <v>11</v>
      </c>
      <c r="BF25" s="173" t="str">
        <f t="shared" ca="1" si="7"/>
        <v>CMS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CMS</v>
      </c>
    </row>
    <row r="26" spans="1:61" ht="13.8" x14ac:dyDescent="0.25">
      <c r="A26" s="223" t="s">
        <v>361</v>
      </c>
      <c r="B26" s="224" t="s">
        <v>140</v>
      </c>
      <c r="C26" s="224">
        <v>19</v>
      </c>
      <c r="D26" s="224" t="s">
        <v>194</v>
      </c>
      <c r="E26" s="225" t="str">
        <f t="shared" ca="1" si="8"/>
        <v>MR</v>
      </c>
      <c r="F26" s="348"/>
      <c r="G26" s="349">
        <f t="shared" ca="1" si="1"/>
        <v>18</v>
      </c>
      <c r="H26" s="350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25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267</v>
      </c>
      <c r="AR26" s="207" t="s">
        <v>140</v>
      </c>
      <c r="AS26" s="207">
        <v>19</v>
      </c>
      <c r="AT26" s="207" t="s">
        <v>268</v>
      </c>
      <c r="AV26" s="168">
        <f t="shared" si="21"/>
        <v>15</v>
      </c>
      <c r="AW26" s="168">
        <f>COUNTIF( AV$7:AV26, AV26 )</f>
        <v>9</v>
      </c>
      <c r="AX26" s="208">
        <f t="shared" si="22"/>
        <v>15.9</v>
      </c>
      <c r="AY26" s="168">
        <f t="shared" si="23"/>
        <v>23</v>
      </c>
      <c r="AZ26" s="169"/>
      <c r="BA26" s="169"/>
      <c r="BC26" s="168">
        <f t="shared" ca="1" si="24"/>
        <v>20</v>
      </c>
      <c r="BD26" s="209">
        <f t="shared" ca="1" si="6"/>
        <v>13</v>
      </c>
      <c r="BF26" s="173" t="str">
        <f t="shared" ca="1" si="7"/>
        <v>Dominion Resources, Inc.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</v>
      </c>
    </row>
    <row r="27" spans="1:61" ht="13.8" x14ac:dyDescent="0.25">
      <c r="A27" s="223" t="s">
        <v>261</v>
      </c>
      <c r="B27" s="224" t="s">
        <v>140</v>
      </c>
      <c r="C27" s="224">
        <v>19</v>
      </c>
      <c r="D27" s="224" t="s">
        <v>262</v>
      </c>
      <c r="E27" s="225" t="str">
        <f t="shared" ca="1" si="8"/>
        <v>R</v>
      </c>
      <c r="F27" s="348"/>
      <c r="G27" s="349">
        <f t="shared" ca="1" si="1"/>
        <v>19</v>
      </c>
      <c r="H27" s="350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26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235</v>
      </c>
      <c r="AR27" s="207" t="s">
        <v>166</v>
      </c>
      <c r="AS27" s="207">
        <v>21</v>
      </c>
      <c r="AT27" s="207" t="s">
        <v>236</v>
      </c>
      <c r="AV27" s="168">
        <f t="shared" si="21"/>
        <v>1</v>
      </c>
      <c r="AW27" s="168">
        <f>COUNTIF( AV$7:AV27, AV27 )</f>
        <v>2</v>
      </c>
      <c r="AX27" s="208">
        <f t="shared" si="22"/>
        <v>1.2</v>
      </c>
      <c r="AY27" s="168">
        <f t="shared" si="23"/>
        <v>2</v>
      </c>
      <c r="AZ27" s="169"/>
      <c r="BA27" s="169"/>
      <c r="BC27" s="168">
        <f t="shared" ca="1" si="24"/>
        <v>21</v>
      </c>
      <c r="BD27" s="209">
        <f t="shared" ca="1" si="6"/>
        <v>15</v>
      </c>
      <c r="BF27" s="173" t="str">
        <f t="shared" ca="1" si="7"/>
        <v>DTE Energy Company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DTE</v>
      </c>
    </row>
    <row r="28" spans="1:61" ht="13.8" x14ac:dyDescent="0.25">
      <c r="A28" s="223" t="s">
        <v>265</v>
      </c>
      <c r="B28" s="224" t="s">
        <v>140</v>
      </c>
      <c r="C28" s="224">
        <v>19</v>
      </c>
      <c r="D28" s="224" t="s">
        <v>266</v>
      </c>
      <c r="E28" s="225" t="str">
        <f t="shared" ca="1" si="8"/>
        <v>R</v>
      </c>
      <c r="F28" s="348"/>
      <c r="G28" s="349">
        <f t="shared" ca="1" si="1"/>
        <v>21</v>
      </c>
      <c r="H28" s="350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27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269</v>
      </c>
      <c r="AR28" s="207" t="s">
        <v>141</v>
      </c>
      <c r="AS28" s="207">
        <v>18</v>
      </c>
      <c r="AT28" s="207" t="s">
        <v>270</v>
      </c>
      <c r="AV28" s="168">
        <f t="shared" si="21"/>
        <v>35</v>
      </c>
      <c r="AW28" s="168">
        <f>COUNTIF( AV$7:AV28, AV28 )</f>
        <v>5</v>
      </c>
      <c r="AX28" s="208">
        <f t="shared" si="22"/>
        <v>35.5</v>
      </c>
      <c r="AY28" s="168">
        <f t="shared" si="23"/>
        <v>39</v>
      </c>
      <c r="AZ28" s="169"/>
      <c r="BA28" s="169"/>
      <c r="BC28" s="168">
        <f t="shared" ca="1" si="24"/>
        <v>22</v>
      </c>
      <c r="BD28" s="209">
        <f t="shared" ca="1" si="6"/>
        <v>17</v>
      </c>
      <c r="BF28" s="173" t="str">
        <f t="shared" ca="1" si="7"/>
        <v>Edison International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EIX</v>
      </c>
    </row>
    <row r="29" spans="1:61" ht="13.8" x14ac:dyDescent="0.25">
      <c r="A29" s="223" t="s">
        <v>267</v>
      </c>
      <c r="B29" s="224" t="s">
        <v>140</v>
      </c>
      <c r="C29" s="224">
        <v>19</v>
      </c>
      <c r="D29" s="224" t="s">
        <v>268</v>
      </c>
      <c r="E29" s="225" t="str">
        <f t="shared" ca="1" si="8"/>
        <v>R</v>
      </c>
      <c r="F29" s="348"/>
      <c r="G29" s="349">
        <f t="shared" ca="1" si="1"/>
        <v>24</v>
      </c>
      <c r="H29" s="350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>
        <f t="shared" ca="1" si="3"/>
        <v>1</v>
      </c>
      <c r="AH29" s="169" t="str">
        <f t="shared" ca="1" si="18"/>
        <v/>
      </c>
      <c r="AJ29" s="169">
        <f t="shared" ca="1" si="19"/>
        <v>43</v>
      </c>
      <c r="AK29" s="169" t="str">
        <f t="shared" ca="1" si="20"/>
        <v>BBB</v>
      </c>
      <c r="AL29" s="169">
        <f t="shared" ca="1" si="20"/>
        <v>18</v>
      </c>
      <c r="AM29" s="169" t="str">
        <f t="shared" ca="1" si="4"/>
        <v>Change</v>
      </c>
      <c r="AQ29" s="207" t="s">
        <v>275</v>
      </c>
      <c r="AR29" s="207" t="s">
        <v>142</v>
      </c>
      <c r="AS29" s="207">
        <v>17</v>
      </c>
      <c r="AT29" s="207" t="s">
        <v>276</v>
      </c>
      <c r="AV29" s="168">
        <f t="shared" si="21"/>
        <v>44</v>
      </c>
      <c r="AW29" s="168">
        <f>COUNTIF( AV$7:AV29, AV29 )</f>
        <v>2</v>
      </c>
      <c r="AX29" s="208">
        <f t="shared" si="22"/>
        <v>44.2</v>
      </c>
      <c r="AY29" s="168">
        <f t="shared" si="23"/>
        <v>45</v>
      </c>
      <c r="AZ29" s="169"/>
      <c r="BA29" s="169"/>
      <c r="BC29" s="168">
        <f t="shared" ca="1" si="24"/>
        <v>23</v>
      </c>
      <c r="BD29" s="209">
        <f t="shared" ca="1" si="6"/>
        <v>20</v>
      </c>
      <c r="BF29" s="173" t="str">
        <f t="shared" ca="1" si="7"/>
        <v>Entergy Corporation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ETR</v>
      </c>
    </row>
    <row r="30" spans="1:61" ht="13.8" x14ac:dyDescent="0.25">
      <c r="A30" s="223" t="s">
        <v>352</v>
      </c>
      <c r="B30" s="224" t="s">
        <v>140</v>
      </c>
      <c r="C30" s="224">
        <v>19</v>
      </c>
      <c r="D30" s="224" t="s">
        <v>353</v>
      </c>
      <c r="E30" s="225" t="str">
        <f t="shared" ca="1" si="8"/>
        <v>R</v>
      </c>
      <c r="F30" s="348"/>
      <c r="G30" s="349">
        <f t="shared" ca="1" si="1"/>
        <v>28</v>
      </c>
      <c r="H30" s="350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28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352</v>
      </c>
      <c r="AR30" s="207" t="s">
        <v>140</v>
      </c>
      <c r="AS30" s="207">
        <v>19</v>
      </c>
      <c r="AT30" s="207" t="s">
        <v>353</v>
      </c>
      <c r="AV30" s="168">
        <f t="shared" si="21"/>
        <v>15</v>
      </c>
      <c r="AW30" s="168">
        <f>COUNTIF( AV$7:AV30, AV30 )</f>
        <v>10</v>
      </c>
      <c r="AX30" s="208">
        <f t="shared" si="22"/>
        <v>16</v>
      </c>
      <c r="AY30" s="168">
        <f t="shared" si="23"/>
        <v>24</v>
      </c>
      <c r="AZ30" s="169"/>
      <c r="BA30" s="169"/>
      <c r="BC30" s="168">
        <f t="shared" ca="1" si="24"/>
        <v>24</v>
      </c>
      <c r="BD30" s="209">
        <f t="shared" ca="1" si="6"/>
        <v>24</v>
      </c>
      <c r="BF30" s="173" t="str">
        <f t="shared" ca="1" si="7"/>
        <v>Great Plains Energy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GXP</v>
      </c>
    </row>
    <row r="31" spans="1:61" ht="13.8" x14ac:dyDescent="0.25">
      <c r="A31" s="223" t="s">
        <v>271</v>
      </c>
      <c r="B31" s="224" t="s">
        <v>140</v>
      </c>
      <c r="C31" s="224">
        <v>19</v>
      </c>
      <c r="D31" s="224" t="s">
        <v>272</v>
      </c>
      <c r="E31" s="225" t="str">
        <f t="shared" ca="1" si="8"/>
        <v>MR</v>
      </c>
      <c r="F31" s="348"/>
      <c r="G31" s="349">
        <f t="shared" ca="1" si="1"/>
        <v>31</v>
      </c>
      <c r="H31" s="350"/>
      <c r="I31" s="237"/>
      <c r="J31" s="191"/>
      <c r="K31" s="237"/>
      <c r="N31" s="237"/>
      <c r="O31" s="351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29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279</v>
      </c>
      <c r="AR31" s="207" t="s">
        <v>142</v>
      </c>
      <c r="AS31" s="207">
        <v>17</v>
      </c>
      <c r="AT31" s="207" t="s">
        <v>280</v>
      </c>
      <c r="AV31" s="168">
        <f t="shared" si="21"/>
        <v>44</v>
      </c>
      <c r="AW31" s="168">
        <f>COUNTIF( AV$7:AV31, AV31 )</f>
        <v>3</v>
      </c>
      <c r="AX31" s="208">
        <f t="shared" si="22"/>
        <v>44.3</v>
      </c>
      <c r="AY31" s="168">
        <f t="shared" si="23"/>
        <v>46</v>
      </c>
      <c r="AZ31" s="169"/>
      <c r="BA31" s="169"/>
      <c r="BC31" s="168">
        <f t="shared" ca="1" si="24"/>
        <v>25</v>
      </c>
      <c r="BD31" s="209">
        <f t="shared" ca="1" si="6"/>
        <v>28</v>
      </c>
      <c r="BF31" s="173" t="str">
        <f t="shared" ca="1" si="7"/>
        <v>MDU Resources Group,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MDU</v>
      </c>
    </row>
    <row r="32" spans="1:61" ht="13.8" x14ac:dyDescent="0.25">
      <c r="A32" s="223" t="s">
        <v>273</v>
      </c>
      <c r="B32" s="224" t="s">
        <v>140</v>
      </c>
      <c r="C32" s="224">
        <v>19</v>
      </c>
      <c r="D32" s="224" t="s">
        <v>274</v>
      </c>
      <c r="E32" s="225" t="str">
        <f t="shared" ca="1" si="8"/>
        <v>R</v>
      </c>
      <c r="F32" s="348"/>
      <c r="G32" s="349">
        <f t="shared" ca="1" si="1"/>
        <v>34</v>
      </c>
      <c r="H32" s="350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30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283</v>
      </c>
      <c r="AR32" s="207" t="s">
        <v>141</v>
      </c>
      <c r="AS32" s="207">
        <v>18</v>
      </c>
      <c r="AT32" s="207" t="s">
        <v>284</v>
      </c>
      <c r="AV32" s="168">
        <f t="shared" si="21"/>
        <v>35</v>
      </c>
      <c r="AW32" s="168">
        <f>COUNTIF( AV$7:AV32, AV32 )</f>
        <v>6</v>
      </c>
      <c r="AX32" s="208">
        <f t="shared" si="22"/>
        <v>35.6</v>
      </c>
      <c r="AY32" s="168">
        <f t="shared" si="23"/>
        <v>40</v>
      </c>
      <c r="AZ32" s="169"/>
      <c r="BA32" s="169"/>
      <c r="BC32" s="168">
        <f t="shared" ca="1" si="24"/>
        <v>26</v>
      </c>
      <c r="BD32" s="209">
        <f t="shared" ca="1" si="6"/>
        <v>30</v>
      </c>
      <c r="BF32" s="173" t="str">
        <f t="shared" ca="1" si="7"/>
        <v>NiSource Inc.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NI</v>
      </c>
    </row>
    <row r="33" spans="1:61" ht="13.8" x14ac:dyDescent="0.25">
      <c r="A33" s="223" t="s">
        <v>301</v>
      </c>
      <c r="B33" s="224" t="s">
        <v>140</v>
      </c>
      <c r="C33" s="224">
        <v>19</v>
      </c>
      <c r="D33" s="224" t="s">
        <v>302</v>
      </c>
      <c r="E33" s="225" t="str">
        <f t="shared" ca="1" si="8"/>
        <v>R</v>
      </c>
      <c r="F33" s="348"/>
      <c r="G33" s="349">
        <f t="shared" ca="1" si="1"/>
        <v>38</v>
      </c>
      <c r="H33" s="350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>
        <f t="shared" ca="1" si="3"/>
        <v>1</v>
      </c>
      <c r="AH33" s="169" t="str">
        <f t="shared" ca="1" si="18"/>
        <v/>
      </c>
      <c r="AJ33" s="169">
        <f t="shared" ca="1" si="19"/>
        <v>48</v>
      </c>
      <c r="AK33" s="169" t="str">
        <f t="shared" ca="1" si="20"/>
        <v>BBB</v>
      </c>
      <c r="AL33" s="169">
        <f t="shared" ca="1" si="20"/>
        <v>18</v>
      </c>
      <c r="AM33" s="169" t="str">
        <f t="shared" ca="1" si="4"/>
        <v>Change</v>
      </c>
      <c r="AQ33" s="207" t="s">
        <v>287</v>
      </c>
      <c r="AR33" s="207" t="s">
        <v>142</v>
      </c>
      <c r="AS33" s="207">
        <v>17</v>
      </c>
      <c r="AT33" s="207" t="s">
        <v>288</v>
      </c>
      <c r="AV33" s="168">
        <f t="shared" si="21"/>
        <v>44</v>
      </c>
      <c r="AW33" s="168">
        <f>COUNTIF( AV$7:AV33, AV33 )</f>
        <v>4</v>
      </c>
      <c r="AX33" s="208">
        <f t="shared" si="22"/>
        <v>44.4</v>
      </c>
      <c r="AY33" s="168">
        <f t="shared" si="23"/>
        <v>47</v>
      </c>
      <c r="AZ33" s="169"/>
      <c r="BA33" s="169"/>
      <c r="BC33" s="168">
        <f t="shared" ca="1" si="24"/>
        <v>27</v>
      </c>
      <c r="BD33" s="209">
        <f t="shared" ca="1" si="6"/>
        <v>34</v>
      </c>
      <c r="BF33" s="173" t="str">
        <f t="shared" ca="1" si="7"/>
        <v>PG&amp;E Corporation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PCG</v>
      </c>
    </row>
    <row r="34" spans="1:61" ht="13.8" x14ac:dyDescent="0.25">
      <c r="A34" s="223" t="s">
        <v>303</v>
      </c>
      <c r="B34" s="224" t="s">
        <v>140</v>
      </c>
      <c r="C34" s="224">
        <v>19</v>
      </c>
      <c r="D34" s="224" t="s">
        <v>304</v>
      </c>
      <c r="E34" s="225" t="str">
        <f t="shared" ca="1" si="8"/>
        <v>R</v>
      </c>
      <c r="F34" s="348"/>
      <c r="G34" s="349">
        <f t="shared" ca="1" si="1"/>
        <v>40</v>
      </c>
      <c r="H34" s="350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31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271</v>
      </c>
      <c r="AR34" s="207" t="s">
        <v>140</v>
      </c>
      <c r="AS34" s="207">
        <v>19</v>
      </c>
      <c r="AT34" s="207" t="s">
        <v>272</v>
      </c>
      <c r="AV34" s="168">
        <f t="shared" si="21"/>
        <v>15</v>
      </c>
      <c r="AW34" s="168">
        <f>COUNTIF( AV$7:AV34, AV34 )</f>
        <v>11</v>
      </c>
      <c r="AX34" s="208">
        <f t="shared" si="22"/>
        <v>16.100000000000001</v>
      </c>
      <c r="AY34" s="168">
        <f t="shared" si="23"/>
        <v>25</v>
      </c>
      <c r="AZ34" s="169"/>
      <c r="BA34" s="169"/>
      <c r="BC34" s="168">
        <f t="shared" ca="1" si="24"/>
        <v>28</v>
      </c>
      <c r="BD34" s="209">
        <f t="shared" ca="1" si="6"/>
        <v>36</v>
      </c>
      <c r="BF34" s="173" t="str">
        <f t="shared" ca="1" si="7"/>
        <v>PNM Resources, Inc.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PNM</v>
      </c>
    </row>
    <row r="35" spans="1:61" ht="13.8" x14ac:dyDescent="0.25">
      <c r="A35" s="223" t="s">
        <v>289</v>
      </c>
      <c r="B35" s="224" t="s">
        <v>140</v>
      </c>
      <c r="C35" s="224">
        <v>19</v>
      </c>
      <c r="D35" s="224" t="s">
        <v>290</v>
      </c>
      <c r="E35" s="225" t="str">
        <f t="shared" ca="1" si="8"/>
        <v>MR</v>
      </c>
      <c r="F35" s="348"/>
      <c r="G35" s="349">
        <f t="shared" ca="1" si="1"/>
        <v>43</v>
      </c>
      <c r="H35" s="350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32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240</v>
      </c>
      <c r="AR35" s="207" t="s">
        <v>139</v>
      </c>
      <c r="AS35" s="207">
        <v>20</v>
      </c>
      <c r="AT35" s="207" t="s">
        <v>241</v>
      </c>
      <c r="AV35" s="168">
        <f t="shared" si="21"/>
        <v>3</v>
      </c>
      <c r="AW35" s="168">
        <f>COUNTIF( AV$7:AV35, AV35 )</f>
        <v>5</v>
      </c>
      <c r="AX35" s="208">
        <f t="shared" si="22"/>
        <v>3.5</v>
      </c>
      <c r="AY35" s="168">
        <f t="shared" si="23"/>
        <v>7</v>
      </c>
      <c r="AZ35" s="169"/>
      <c r="BA35" s="169"/>
      <c r="BC35" s="168">
        <f t="shared" ca="1" si="24"/>
        <v>29</v>
      </c>
      <c r="BD35" s="209">
        <f t="shared" ca="1" si="6"/>
        <v>39</v>
      </c>
      <c r="BF35" s="173" t="str">
        <f t="shared" ca="1" si="7"/>
        <v>Public Service Enterprise Group Incorporated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PEG</v>
      </c>
    </row>
    <row r="36" spans="1:61" ht="13.8" x14ac:dyDescent="0.25">
      <c r="A36" s="223" t="s">
        <v>347</v>
      </c>
      <c r="B36" s="224" t="s">
        <v>140</v>
      </c>
      <c r="C36" s="224">
        <v>19</v>
      </c>
      <c r="D36" s="224" t="s">
        <v>348</v>
      </c>
      <c r="E36" s="225" t="str">
        <f t="shared" ca="1" si="8"/>
        <v>MR</v>
      </c>
      <c r="F36" s="348"/>
      <c r="G36" s="349">
        <f t="shared" ca="1" si="1"/>
        <v>44</v>
      </c>
      <c r="H36" s="350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33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273</v>
      </c>
      <c r="AR36" s="207" t="s">
        <v>140</v>
      </c>
      <c r="AS36" s="207">
        <v>19</v>
      </c>
      <c r="AT36" s="207" t="s">
        <v>274</v>
      </c>
      <c r="AV36" s="168">
        <f t="shared" si="21"/>
        <v>15</v>
      </c>
      <c r="AW36" s="168">
        <f>COUNTIF( AV$7:AV36, AV36 )</f>
        <v>12</v>
      </c>
      <c r="AX36" s="208">
        <f t="shared" si="22"/>
        <v>16.2</v>
      </c>
      <c r="AY36" s="168">
        <f t="shared" si="23"/>
        <v>26</v>
      </c>
      <c r="AZ36" s="169"/>
      <c r="BA36" s="169"/>
      <c r="BC36" s="168">
        <f t="shared" ca="1" si="24"/>
        <v>30</v>
      </c>
      <c r="BD36" s="209">
        <f t="shared" ca="1" si="6"/>
        <v>41</v>
      </c>
      <c r="BF36" s="173" t="str">
        <f t="shared" ca="1" si="7"/>
        <v>SCANA Corporation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SCG</v>
      </c>
    </row>
    <row r="37" spans="1:61" ht="13.8" x14ac:dyDescent="0.25">
      <c r="A37" s="223" t="s">
        <v>291</v>
      </c>
      <c r="B37" s="224" t="s">
        <v>140</v>
      </c>
      <c r="C37" s="224">
        <v>19</v>
      </c>
      <c r="D37" s="224" t="s">
        <v>292</v>
      </c>
      <c r="E37" s="225" t="str">
        <f t="shared" ca="1" si="8"/>
        <v>MR</v>
      </c>
      <c r="F37" s="348"/>
      <c r="G37" s="349">
        <f t="shared" ca="1" si="1"/>
        <v>45</v>
      </c>
      <c r="H37" s="350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34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297</v>
      </c>
      <c r="AR37" s="207" t="s">
        <v>141</v>
      </c>
      <c r="AS37" s="207">
        <v>18</v>
      </c>
      <c r="AT37" s="207" t="s">
        <v>298</v>
      </c>
      <c r="AV37" s="168">
        <f t="shared" si="21"/>
        <v>35</v>
      </c>
      <c r="AW37" s="168">
        <f>COUNTIF( AV$7:AV37, AV37 )</f>
        <v>7</v>
      </c>
      <c r="AX37" s="208">
        <f t="shared" si="22"/>
        <v>35.700000000000003</v>
      </c>
      <c r="AY37" s="168">
        <f t="shared" si="23"/>
        <v>41</v>
      </c>
      <c r="AZ37" s="169"/>
      <c r="BA37" s="169"/>
      <c r="BC37" s="168">
        <f t="shared" ca="1" si="24"/>
        <v>31</v>
      </c>
      <c r="BD37" s="209">
        <f t="shared" ca="1" si="6"/>
        <v>42</v>
      </c>
      <c r="BF37" s="173" t="str">
        <f t="shared" ca="1" si="7"/>
        <v>Sempra Energy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SRE</v>
      </c>
    </row>
    <row r="38" spans="1:61" ht="13.8" x14ac:dyDescent="0.25">
      <c r="A38" s="223" t="s">
        <v>369</v>
      </c>
      <c r="B38" s="224" t="s">
        <v>140</v>
      </c>
      <c r="C38" s="224">
        <v>19</v>
      </c>
      <c r="D38" s="224" t="s">
        <v>370</v>
      </c>
      <c r="E38" s="225" t="str">
        <f t="shared" ca="1" si="8"/>
        <v>R</v>
      </c>
      <c r="F38" s="348"/>
      <c r="G38" s="349">
        <f t="shared" ca="1" si="1"/>
        <v>19</v>
      </c>
      <c r="H38" s="350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1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26</v>
      </c>
      <c r="AK38" s="169" t="str">
        <f t="shared" ca="1" si="20"/>
        <v>BBB+</v>
      </c>
      <c r="AL38" s="169">
        <f t="shared" ca="1" si="20"/>
        <v>19</v>
      </c>
      <c r="AM38" s="169" t="str">
        <f t="shared" ca="1" si="4"/>
        <v/>
      </c>
      <c r="AQ38" s="207" t="s">
        <v>277</v>
      </c>
      <c r="AR38" s="207" t="s">
        <v>139</v>
      </c>
      <c r="AS38" s="207">
        <v>20</v>
      </c>
      <c r="AT38" s="207" t="s">
        <v>278</v>
      </c>
      <c r="AV38" s="168">
        <f t="shared" si="21"/>
        <v>3</v>
      </c>
      <c r="AW38" s="168">
        <f>COUNTIF( AV$7:AV38, AV38 )</f>
        <v>6</v>
      </c>
      <c r="AX38" s="208">
        <f t="shared" si="22"/>
        <v>3.6</v>
      </c>
      <c r="AY38" s="168">
        <f t="shared" si="23"/>
        <v>8</v>
      </c>
      <c r="AZ38" s="169"/>
      <c r="BA38" s="169"/>
      <c r="BC38" s="168">
        <f t="shared" ca="1" si="24"/>
        <v>32</v>
      </c>
      <c r="BD38" s="209">
        <f t="shared" ca="1" si="6"/>
        <v>44</v>
      </c>
      <c r="BF38" s="173" t="str">
        <f t="shared" ca="1" si="7"/>
        <v>TECO Energy, Inc.</v>
      </c>
      <c r="BG38" s="173" t="str">
        <f t="shared" ca="1" si="7"/>
        <v>BBB+</v>
      </c>
      <c r="BH38" s="173">
        <f t="shared" ca="1" si="7"/>
        <v>19</v>
      </c>
      <c r="BI38" s="173" t="str">
        <f t="shared" ca="1" si="7"/>
        <v>**TE</v>
      </c>
    </row>
    <row r="39" spans="1:61" ht="13.8" x14ac:dyDescent="0.25">
      <c r="A39" s="223" t="s">
        <v>295</v>
      </c>
      <c r="B39" s="224" t="s">
        <v>140</v>
      </c>
      <c r="C39" s="224">
        <v>19</v>
      </c>
      <c r="D39" s="224" t="s">
        <v>296</v>
      </c>
      <c r="E39" s="225" t="str">
        <f t="shared" ca="1" si="8"/>
        <v>R</v>
      </c>
      <c r="F39" s="348"/>
      <c r="G39" s="349">
        <f t="shared" ca="1" si="1"/>
        <v>48</v>
      </c>
      <c r="H39" s="350"/>
      <c r="I39" s="237"/>
      <c r="K39" s="237"/>
      <c r="L39" s="173"/>
      <c r="N39" s="237"/>
      <c r="Q39" s="237"/>
      <c r="T39" s="237"/>
      <c r="W39" s="237"/>
      <c r="AF39" s="169">
        <f t="shared" si="2"/>
        <v>1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36</v>
      </c>
      <c r="AK39" s="169" t="str">
        <f t="shared" ca="1" si="20"/>
        <v>BBB+</v>
      </c>
      <c r="AL39" s="169">
        <f t="shared" ca="1" si="20"/>
        <v>19</v>
      </c>
      <c r="AM39" s="169" t="str">
        <f t="shared" ca="1" si="4"/>
        <v/>
      </c>
      <c r="AQ39" s="207" t="s">
        <v>299</v>
      </c>
      <c r="AR39" s="207" t="s">
        <v>141</v>
      </c>
      <c r="AS39" s="207">
        <v>18</v>
      </c>
      <c r="AT39" s="207" t="s">
        <v>300</v>
      </c>
      <c r="AV39" s="168">
        <f t="shared" si="21"/>
        <v>35</v>
      </c>
      <c r="AW39" s="168">
        <f>COUNTIF( AV$7:AV39, AV39 )</f>
        <v>8</v>
      </c>
      <c r="AX39" s="208">
        <f t="shared" si="22"/>
        <v>35.799999999999997</v>
      </c>
      <c r="AY39" s="168">
        <f t="shared" si="23"/>
        <v>42</v>
      </c>
      <c r="AZ39" s="169"/>
      <c r="BA39" s="169"/>
      <c r="BC39" s="168">
        <f t="shared" ca="1" si="24"/>
        <v>33</v>
      </c>
      <c r="BD39" s="209">
        <f t="shared" ca="1" si="6"/>
        <v>45</v>
      </c>
      <c r="BF39" s="173" t="str">
        <f t="shared" ref="BF39:BI63" ca="1" si="25">OFFSET( AQ$6, $BD39, 0 )</f>
        <v>Unitil Corporation</v>
      </c>
      <c r="BG39" s="173" t="str">
        <f t="shared" ca="1" si="25"/>
        <v>BBB+</v>
      </c>
      <c r="BH39" s="173">
        <f t="shared" ca="1" si="25"/>
        <v>19</v>
      </c>
      <c r="BI39" s="173" t="str">
        <f t="shared" ca="1" si="25"/>
        <v>UTL</v>
      </c>
    </row>
    <row r="40" spans="1:61" ht="13.8" x14ac:dyDescent="0.25">
      <c r="A40" s="223" t="s">
        <v>354</v>
      </c>
      <c r="B40" s="224" t="s">
        <v>140</v>
      </c>
      <c r="C40" s="224">
        <v>19</v>
      </c>
      <c r="D40" s="224" t="s">
        <v>355</v>
      </c>
      <c r="E40" s="225" t="str">
        <f t="shared" ca="1" si="8"/>
        <v>R</v>
      </c>
      <c r="F40" s="348"/>
      <c r="G40" s="349">
        <f t="shared" ca="1" si="1"/>
        <v>51</v>
      </c>
      <c r="H40" s="350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1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37</v>
      </c>
      <c r="AK40" s="169" t="str">
        <f t="shared" ca="1" si="20"/>
        <v>BBB+</v>
      </c>
      <c r="AL40" s="169">
        <f t="shared" ca="1" si="20"/>
        <v>19</v>
      </c>
      <c r="AM40" s="169" t="str">
        <f t="shared" ca="1" si="4"/>
        <v/>
      </c>
      <c r="AQ40" s="207" t="s">
        <v>301</v>
      </c>
      <c r="AR40" s="207" t="s">
        <v>140</v>
      </c>
      <c r="AS40" s="207">
        <v>19</v>
      </c>
      <c r="AT40" s="207" t="s">
        <v>302</v>
      </c>
      <c r="AV40" s="168">
        <f t="shared" si="21"/>
        <v>15</v>
      </c>
      <c r="AW40" s="168">
        <f>COUNTIF( AV$7:AV40, AV40 )</f>
        <v>13</v>
      </c>
      <c r="AX40" s="208">
        <f t="shared" si="22"/>
        <v>16.3</v>
      </c>
      <c r="AY40" s="168">
        <f t="shared" si="23"/>
        <v>27</v>
      </c>
      <c r="AZ40" s="169"/>
      <c r="BA40" s="169"/>
      <c r="BC40" s="168">
        <f t="shared" ca="1" si="24"/>
        <v>34</v>
      </c>
      <c r="BD40" s="209">
        <f t="shared" ca="1" si="6"/>
        <v>47</v>
      </c>
      <c r="BF40" s="173" t="str">
        <f t="shared" ca="1" si="25"/>
        <v>Westar Energy, Inc.</v>
      </c>
      <c r="BG40" s="173" t="str">
        <f t="shared" ca="1" si="25"/>
        <v>BBB+</v>
      </c>
      <c r="BH40" s="173">
        <f t="shared" ca="1" si="25"/>
        <v>19</v>
      </c>
      <c r="BI40" s="173" t="str">
        <f t="shared" ca="1" si="25"/>
        <v>WR</v>
      </c>
    </row>
    <row r="41" spans="1:61" ht="13.8" x14ac:dyDescent="0.25">
      <c r="A41" s="223" t="s">
        <v>238</v>
      </c>
      <c r="B41" s="224" t="s">
        <v>141</v>
      </c>
      <c r="C41" s="224">
        <v>18</v>
      </c>
      <c r="D41" s="224" t="s">
        <v>239</v>
      </c>
      <c r="E41" s="225" t="str">
        <f t="shared" ca="1" si="8"/>
        <v>R</v>
      </c>
      <c r="F41" s="348"/>
      <c r="G41" s="349">
        <f t="shared" ca="1" si="1"/>
        <v>12</v>
      </c>
      <c r="H41" s="350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39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281</v>
      </c>
      <c r="AR41" s="207" t="s">
        <v>139</v>
      </c>
      <c r="AS41" s="207">
        <v>20</v>
      </c>
      <c r="AT41" s="207" t="s">
        <v>282</v>
      </c>
      <c r="AV41" s="168">
        <f t="shared" si="21"/>
        <v>3</v>
      </c>
      <c r="AW41" s="168">
        <f>COUNTIF( AV$7:AV41, AV41 )</f>
        <v>7</v>
      </c>
      <c r="AX41" s="208">
        <f t="shared" si="22"/>
        <v>3.7</v>
      </c>
      <c r="AY41" s="168">
        <f t="shared" si="23"/>
        <v>9</v>
      </c>
      <c r="AZ41" s="169"/>
      <c r="BA41" s="169"/>
      <c r="BC41" s="168">
        <f t="shared" ca="1" si="24"/>
        <v>35</v>
      </c>
      <c r="BD41" s="209">
        <f t="shared" ca="1" si="6"/>
        <v>6</v>
      </c>
      <c r="BF41" s="173" t="str">
        <f t="shared" ca="1" si="25"/>
        <v>Avista Corporation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AVA</v>
      </c>
    </row>
    <row r="42" spans="1:61" ht="13.8" x14ac:dyDescent="0.25">
      <c r="A42" s="223" t="s">
        <v>245</v>
      </c>
      <c r="B42" s="224" t="s">
        <v>141</v>
      </c>
      <c r="C42" s="224">
        <v>18</v>
      </c>
      <c r="D42" s="224" t="s">
        <v>246</v>
      </c>
      <c r="E42" s="225" t="str">
        <f t="shared" ca="1" si="8"/>
        <v>R</v>
      </c>
      <c r="F42" s="348"/>
      <c r="G42" s="349">
        <f t="shared" ca="1" si="1"/>
        <v>13</v>
      </c>
      <c r="H42" s="350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40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303</v>
      </c>
      <c r="AR42" s="207" t="s">
        <v>140</v>
      </c>
      <c r="AS42" s="207">
        <v>19</v>
      </c>
      <c r="AT42" s="207" t="s">
        <v>304</v>
      </c>
      <c r="AV42" s="168">
        <f t="shared" si="21"/>
        <v>15</v>
      </c>
      <c r="AW42" s="168">
        <f>COUNTIF( AV$7:AV42, AV42 )</f>
        <v>14</v>
      </c>
      <c r="AX42" s="208">
        <f t="shared" si="22"/>
        <v>16.399999999999999</v>
      </c>
      <c r="AY42" s="168">
        <f t="shared" si="23"/>
        <v>28</v>
      </c>
      <c r="AZ42" s="169"/>
      <c r="BA42" s="169"/>
      <c r="BC42" s="168">
        <f t="shared" ca="1" si="24"/>
        <v>36</v>
      </c>
      <c r="BD42" s="209">
        <f t="shared" ca="1" si="6"/>
        <v>8</v>
      </c>
      <c r="BF42" s="173" t="str">
        <f t="shared" ca="1" si="25"/>
        <v>Black Hills Corporation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BKH</v>
      </c>
    </row>
    <row r="43" spans="1:61" ht="13.8" x14ac:dyDescent="0.25">
      <c r="A43" s="223" t="s">
        <v>328</v>
      </c>
      <c r="B43" s="224" t="s">
        <v>141</v>
      </c>
      <c r="C43" s="224">
        <v>18</v>
      </c>
      <c r="D43" s="224" t="s">
        <v>331</v>
      </c>
      <c r="E43" s="225" t="str">
        <f t="shared" ca="1" si="8"/>
        <v>R</v>
      </c>
      <c r="F43" s="348"/>
      <c r="G43" s="349">
        <f t="shared" ca="1" si="1"/>
        <v>22</v>
      </c>
      <c r="H43" s="350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41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285</v>
      </c>
      <c r="AR43" s="207" t="s">
        <v>141</v>
      </c>
      <c r="AS43" s="207">
        <v>18</v>
      </c>
      <c r="AT43" s="207" t="s">
        <v>286</v>
      </c>
      <c r="AV43" s="168">
        <f t="shared" si="21"/>
        <v>35</v>
      </c>
      <c r="AW43" s="168">
        <f>COUNTIF( AV$7:AV43, AV43 )</f>
        <v>9</v>
      </c>
      <c r="AX43" s="208">
        <f t="shared" si="22"/>
        <v>35.9</v>
      </c>
      <c r="AY43" s="168">
        <f t="shared" si="23"/>
        <v>43</v>
      </c>
      <c r="AZ43" s="169"/>
      <c r="BA43" s="169"/>
      <c r="BC43" s="168">
        <f t="shared" ca="1" si="24"/>
        <v>37</v>
      </c>
      <c r="BD43" s="209">
        <f t="shared" ca="1" si="6"/>
        <v>18</v>
      </c>
      <c r="BF43" s="173" t="str">
        <f t="shared" ca="1" si="25"/>
        <v>El Paso Electric Company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EE</v>
      </c>
    </row>
    <row r="44" spans="1:61" ht="13.8" x14ac:dyDescent="0.25">
      <c r="A44" s="223" t="s">
        <v>367</v>
      </c>
      <c r="B44" s="224" t="s">
        <v>141</v>
      </c>
      <c r="C44" s="224">
        <v>18</v>
      </c>
      <c r="D44" s="224" t="s">
        <v>368</v>
      </c>
      <c r="E44" s="225" t="str">
        <f t="shared" ca="1" si="8"/>
        <v>R</v>
      </c>
      <c r="F44" s="348"/>
      <c r="G44" s="349">
        <f t="shared" ca="1" si="1"/>
        <v>23</v>
      </c>
      <c r="H44" s="350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42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243</v>
      </c>
      <c r="AR44" s="207" t="s">
        <v>139</v>
      </c>
      <c r="AS44" s="207">
        <v>20</v>
      </c>
      <c r="AT44" s="207" t="s">
        <v>244</v>
      </c>
      <c r="AV44" s="168">
        <f t="shared" si="21"/>
        <v>3</v>
      </c>
      <c r="AW44" s="168">
        <f>COUNTIF( AV$7:AV44, AV44 )</f>
        <v>8</v>
      </c>
      <c r="AX44" s="208">
        <f t="shared" si="22"/>
        <v>3.8</v>
      </c>
      <c r="AY44" s="168">
        <f t="shared" si="23"/>
        <v>10</v>
      </c>
      <c r="AZ44" s="169"/>
      <c r="BA44" s="169"/>
      <c r="BC44" s="168">
        <f t="shared" ca="1" si="24"/>
        <v>38</v>
      </c>
      <c r="BD44" s="209">
        <f t="shared" ca="1" si="6"/>
        <v>19</v>
      </c>
      <c r="BF44" s="173" t="str">
        <f t="shared" ca="1" si="25"/>
        <v>Empire District Electric Company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EDE</v>
      </c>
    </row>
    <row r="45" spans="1:61" ht="13.8" x14ac:dyDescent="0.25">
      <c r="A45" s="223" t="s">
        <v>269</v>
      </c>
      <c r="B45" s="224" t="s">
        <v>141</v>
      </c>
      <c r="C45" s="224">
        <v>18</v>
      </c>
      <c r="D45" s="224" t="s">
        <v>270</v>
      </c>
      <c r="E45" s="225" t="str">
        <f t="shared" ca="1" si="8"/>
        <v>D</v>
      </c>
      <c r="F45" s="348"/>
      <c r="G45" s="349">
        <f t="shared" ca="1" si="1"/>
        <v>26</v>
      </c>
      <c r="H45" s="350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44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289</v>
      </c>
      <c r="AR45" s="207" t="s">
        <v>140</v>
      </c>
      <c r="AS45" s="207">
        <v>19</v>
      </c>
      <c r="AT45" s="207" t="s">
        <v>290</v>
      </c>
      <c r="AV45" s="168">
        <f t="shared" si="21"/>
        <v>15</v>
      </c>
      <c r="AW45" s="168">
        <f>COUNTIF( AV$7:AV45, AV45 )</f>
        <v>15</v>
      </c>
      <c r="AX45" s="208">
        <f t="shared" si="22"/>
        <v>16.5</v>
      </c>
      <c r="AY45" s="168">
        <f t="shared" si="23"/>
        <v>29</v>
      </c>
      <c r="AZ45" s="169"/>
      <c r="BA45" s="169"/>
      <c r="BC45" s="168">
        <f t="shared" ca="1" si="24"/>
        <v>39</v>
      </c>
      <c r="BD45" s="209">
        <f t="shared" ca="1" si="6"/>
        <v>22</v>
      </c>
      <c r="BF45" s="173" t="str">
        <f t="shared" ca="1" si="25"/>
        <v>Exelon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EXC</v>
      </c>
    </row>
    <row r="46" spans="1:61" ht="13.8" x14ac:dyDescent="0.25">
      <c r="A46" s="223" t="s">
        <v>283</v>
      </c>
      <c r="B46" s="224" t="s">
        <v>141</v>
      </c>
      <c r="C46" s="224">
        <v>18</v>
      </c>
      <c r="D46" s="224" t="s">
        <v>284</v>
      </c>
      <c r="E46" s="225" t="str">
        <f t="shared" ca="1" si="8"/>
        <v>R</v>
      </c>
      <c r="F46" s="348"/>
      <c r="G46" s="349">
        <f t="shared" ca="1" si="1"/>
        <v>30</v>
      </c>
      <c r="H46" s="350"/>
      <c r="I46" s="191"/>
      <c r="K46" s="191"/>
      <c r="N46" s="351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45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305</v>
      </c>
      <c r="AR46" s="207" t="s">
        <v>142</v>
      </c>
      <c r="AS46" s="207">
        <v>17</v>
      </c>
      <c r="AT46" s="207" t="s">
        <v>306</v>
      </c>
      <c r="AV46" s="168">
        <f t="shared" si="21"/>
        <v>44</v>
      </c>
      <c r="AW46" s="168">
        <f>COUNTIF( AV$7:AV46, AV46 )</f>
        <v>5</v>
      </c>
      <c r="AX46" s="208">
        <f t="shared" si="22"/>
        <v>44.5</v>
      </c>
      <c r="AY46" s="168">
        <f t="shared" si="23"/>
        <v>48</v>
      </c>
      <c r="AZ46" s="169"/>
      <c r="BA46" s="169"/>
      <c r="BC46" s="168">
        <f t="shared" ca="1" si="24"/>
        <v>40</v>
      </c>
      <c r="BD46" s="209">
        <f t="shared" ca="1" si="6"/>
        <v>26</v>
      </c>
      <c r="BF46" s="173" t="str">
        <f t="shared" ca="1" si="25"/>
        <v>IDACORP, Inc.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IDA</v>
      </c>
    </row>
    <row r="47" spans="1:61" ht="13.8" x14ac:dyDescent="0.25">
      <c r="A47" s="223" t="s">
        <v>297</v>
      </c>
      <c r="B47" s="224" t="s">
        <v>141</v>
      </c>
      <c r="C47" s="224">
        <v>18</v>
      </c>
      <c r="D47" s="224" t="s">
        <v>298</v>
      </c>
      <c r="E47" s="225" t="str">
        <f t="shared" ca="1" si="8"/>
        <v>R</v>
      </c>
      <c r="F47" s="348"/>
      <c r="G47" s="349">
        <f t="shared" ca="1" si="1"/>
        <v>35</v>
      </c>
      <c r="H47" s="350"/>
      <c r="I47" s="350"/>
      <c r="J47" s="187" t="s">
        <v>373</v>
      </c>
      <c r="K47" s="191"/>
      <c r="M47" s="351"/>
      <c r="N47" s="351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46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347</v>
      </c>
      <c r="AR47" s="207" t="s">
        <v>140</v>
      </c>
      <c r="AS47" s="207">
        <v>19</v>
      </c>
      <c r="AT47" s="207" t="s">
        <v>348</v>
      </c>
      <c r="AV47" s="168">
        <f t="shared" si="21"/>
        <v>15</v>
      </c>
      <c r="AW47" s="168">
        <f>COUNTIF( AV$7:AV47, AV47 )</f>
        <v>16</v>
      </c>
      <c r="AX47" s="208">
        <f t="shared" si="22"/>
        <v>16.600000000000001</v>
      </c>
      <c r="AY47" s="168">
        <f t="shared" si="23"/>
        <v>30</v>
      </c>
      <c r="AZ47" s="169"/>
      <c r="BA47" s="169"/>
      <c r="BC47" s="168">
        <f t="shared" ca="1" si="24"/>
        <v>41</v>
      </c>
      <c r="BD47" s="209">
        <f t="shared" ca="1" si="6"/>
        <v>31</v>
      </c>
      <c r="BF47" s="173" t="str">
        <f t="shared" ca="1" si="25"/>
        <v>NorthWestern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NWE</v>
      </c>
    </row>
    <row r="48" spans="1:61" ht="13.8" x14ac:dyDescent="0.25">
      <c r="A48" s="223" t="s">
        <v>299</v>
      </c>
      <c r="B48" s="224" t="s">
        <v>141</v>
      </c>
      <c r="C48" s="224">
        <v>18</v>
      </c>
      <c r="D48" s="224" t="s">
        <v>300</v>
      </c>
      <c r="E48" s="225" t="str">
        <f t="shared" ca="1" si="8"/>
        <v>R</v>
      </c>
      <c r="F48" s="348"/>
      <c r="G48" s="349">
        <f t="shared" ca="1" si="1"/>
        <v>37</v>
      </c>
      <c r="H48" s="350"/>
      <c r="I48" s="350"/>
      <c r="K48" s="191"/>
      <c r="M48" s="351"/>
      <c r="N48" s="351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47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291</v>
      </c>
      <c r="AR48" s="207" t="s">
        <v>140</v>
      </c>
      <c r="AS48" s="207">
        <v>19</v>
      </c>
      <c r="AT48" s="207" t="s">
        <v>292</v>
      </c>
      <c r="AV48" s="168">
        <f t="shared" si="21"/>
        <v>15</v>
      </c>
      <c r="AW48" s="168">
        <f>COUNTIF( AV$7:AV48, AV48 )</f>
        <v>17</v>
      </c>
      <c r="AX48" s="208">
        <f t="shared" si="22"/>
        <v>16.7</v>
      </c>
      <c r="AY48" s="168">
        <f t="shared" si="23"/>
        <v>31</v>
      </c>
      <c r="AZ48" s="169"/>
      <c r="BA48" s="169"/>
      <c r="BC48" s="168">
        <f t="shared" ca="1" si="24"/>
        <v>42</v>
      </c>
      <c r="BD48" s="209">
        <f t="shared" ca="1" si="6"/>
        <v>33</v>
      </c>
      <c r="BF48" s="173" t="str">
        <f t="shared" ca="1" si="25"/>
        <v>Otter Tail Corporation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OTTR</v>
      </c>
    </row>
    <row r="49" spans="1:61" ht="13.8" x14ac:dyDescent="0.25">
      <c r="A49" s="223" t="s">
        <v>285</v>
      </c>
      <c r="B49" s="224" t="s">
        <v>141</v>
      </c>
      <c r="C49" s="224">
        <v>18</v>
      </c>
      <c r="D49" s="224" t="s">
        <v>286</v>
      </c>
      <c r="E49" s="225" t="str">
        <f t="shared" ca="1" si="8"/>
        <v>R</v>
      </c>
      <c r="F49" s="348"/>
      <c r="G49" s="349">
        <f t="shared" ca="1" si="1"/>
        <v>41</v>
      </c>
      <c r="H49" s="350"/>
      <c r="I49" s="350"/>
      <c r="J49" s="191"/>
      <c r="K49" s="191"/>
      <c r="M49" s="351"/>
      <c r="N49" s="351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4"/>
        <v/>
      </c>
      <c r="AQ49" s="207" t="s">
        <v>293</v>
      </c>
      <c r="AR49" s="207" t="s">
        <v>139</v>
      </c>
      <c r="AS49" s="207">
        <v>20</v>
      </c>
      <c r="AT49" s="207" t="s">
        <v>294</v>
      </c>
      <c r="AV49" s="168">
        <f t="shared" si="21"/>
        <v>3</v>
      </c>
      <c r="AW49" s="168">
        <f>COUNTIF( AV$7:AV49, AV49 )</f>
        <v>9</v>
      </c>
      <c r="AX49" s="208">
        <f t="shared" si="22"/>
        <v>3.9</v>
      </c>
      <c r="AY49" s="168">
        <f t="shared" si="23"/>
        <v>11</v>
      </c>
      <c r="AZ49" s="169"/>
      <c r="BA49" s="169"/>
      <c r="BC49" s="168">
        <f t="shared" ca="1" si="24"/>
        <v>43</v>
      </c>
      <c r="BD49" s="209">
        <f t="shared" ca="1" si="6"/>
        <v>37</v>
      </c>
      <c r="BF49" s="173" t="str">
        <f t="shared" ca="1" si="25"/>
        <v>Portland General Electric Company</v>
      </c>
      <c r="BG49" s="173" t="str">
        <f t="shared" ca="1" si="25"/>
        <v>BBB</v>
      </c>
      <c r="BH49" s="173">
        <f t="shared" ca="1" si="25"/>
        <v>18</v>
      </c>
      <c r="BI49" s="173" t="str">
        <f t="shared" ca="1" si="25"/>
        <v>POR</v>
      </c>
    </row>
    <row r="50" spans="1:61" ht="13.8" x14ac:dyDescent="0.25">
      <c r="A50" s="223" t="s">
        <v>254</v>
      </c>
      <c r="B50" s="224" t="s">
        <v>142</v>
      </c>
      <c r="C50" s="224">
        <v>17</v>
      </c>
      <c r="D50" s="224" t="s">
        <v>255</v>
      </c>
      <c r="E50" s="225" t="str">
        <f t="shared" ca="1" si="8"/>
        <v>R</v>
      </c>
      <c r="F50" s="348"/>
      <c r="G50" s="349">
        <f t="shared" ca="1" si="1"/>
        <v>15</v>
      </c>
      <c r="H50" s="350"/>
      <c r="I50" s="350"/>
      <c r="J50" s="191"/>
      <c r="K50" s="191"/>
      <c r="M50" s="351"/>
      <c r="N50" s="351"/>
      <c r="AF50" s="169">
        <f t="shared" si="2"/>
        <v>1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50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4"/>
        <v/>
      </c>
      <c r="AQ50" s="207" t="s">
        <v>369</v>
      </c>
      <c r="AR50" s="207" t="s">
        <v>140</v>
      </c>
      <c r="AS50" s="207">
        <v>19</v>
      </c>
      <c r="AT50" s="207" t="s">
        <v>370</v>
      </c>
      <c r="AV50" s="168">
        <f t="shared" si="21"/>
        <v>15</v>
      </c>
      <c r="AW50" s="168">
        <f>COUNTIF( AV$7:AV50, AV50 )</f>
        <v>18</v>
      </c>
      <c r="AX50" s="208">
        <f t="shared" si="22"/>
        <v>16.8</v>
      </c>
      <c r="AY50" s="168">
        <f t="shared" si="23"/>
        <v>32</v>
      </c>
      <c r="AZ50" s="169"/>
      <c r="BA50" s="169"/>
      <c r="BC50" s="168">
        <f t="shared" ca="1" si="24"/>
        <v>44</v>
      </c>
      <c r="BD50" s="209">
        <f t="shared" ca="1" si="6"/>
        <v>10</v>
      </c>
      <c r="BF50" s="173" t="str">
        <f t="shared" ca="1" si="25"/>
        <v>Cleco Corporation</v>
      </c>
      <c r="BG50" s="173" t="str">
        <f t="shared" ca="1" si="25"/>
        <v>BBB-</v>
      </c>
      <c r="BH50" s="173">
        <f t="shared" ca="1" si="25"/>
        <v>17</v>
      </c>
      <c r="BI50" s="173" t="str">
        <f t="shared" ca="1" si="25"/>
        <v>**CNL</v>
      </c>
    </row>
    <row r="51" spans="1:61" ht="13.8" x14ac:dyDescent="0.25">
      <c r="A51" s="223" t="s">
        <v>275</v>
      </c>
      <c r="B51" s="224" t="s">
        <v>142</v>
      </c>
      <c r="C51" s="224">
        <v>17</v>
      </c>
      <c r="D51" s="224" t="s">
        <v>276</v>
      </c>
      <c r="E51" s="225" t="str">
        <f t="shared" ca="1" si="8"/>
        <v>MR</v>
      </c>
      <c r="F51" s="348"/>
      <c r="G51" s="349">
        <f t="shared" ca="1" si="1"/>
        <v>27</v>
      </c>
      <c r="H51" s="350"/>
      <c r="I51" s="350"/>
      <c r="J51" s="191"/>
      <c r="K51" s="191"/>
      <c r="M51" s="351"/>
      <c r="N51" s="351"/>
      <c r="AF51" s="169">
        <f t="shared" si="2"/>
        <v>1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51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4"/>
        <v/>
      </c>
      <c r="AQ51" s="207" t="s">
        <v>295</v>
      </c>
      <c r="AR51" s="207" t="s">
        <v>140</v>
      </c>
      <c r="AS51" s="207">
        <v>19</v>
      </c>
      <c r="AT51" s="207" t="s">
        <v>296</v>
      </c>
      <c r="AV51" s="168">
        <f t="shared" si="21"/>
        <v>15</v>
      </c>
      <c r="AW51" s="168">
        <f>COUNTIF( AV$7:AV51, AV51 )</f>
        <v>19</v>
      </c>
      <c r="AX51" s="208">
        <f t="shared" si="22"/>
        <v>16.899999999999999</v>
      </c>
      <c r="AY51" s="168">
        <f t="shared" si="23"/>
        <v>33</v>
      </c>
      <c r="AZ51" s="169"/>
      <c r="BA51" s="169"/>
      <c r="BC51" s="168">
        <f t="shared" ca="1" si="24"/>
        <v>45</v>
      </c>
      <c r="BD51" s="209">
        <f t="shared" ca="1" si="6"/>
        <v>23</v>
      </c>
      <c r="BF51" s="173" t="str">
        <f t="shared" ca="1" si="25"/>
        <v>FirstEnergy Corp.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FE</v>
      </c>
    </row>
    <row r="52" spans="1:61" ht="13.8" x14ac:dyDescent="0.25">
      <c r="A52" s="223" t="s">
        <v>279</v>
      </c>
      <c r="B52" s="224" t="s">
        <v>142</v>
      </c>
      <c r="C52" s="224">
        <v>17</v>
      </c>
      <c r="D52" s="224" t="s">
        <v>280</v>
      </c>
      <c r="E52" s="225" t="str">
        <f t="shared" ca="1" si="8"/>
        <v>D</v>
      </c>
      <c r="F52" s="348"/>
      <c r="G52" s="349">
        <f t="shared" ca="1" si="1"/>
        <v>29</v>
      </c>
      <c r="H52" s="350"/>
      <c r="I52" s="350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52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345</v>
      </c>
      <c r="AR52" s="207" t="s">
        <v>139</v>
      </c>
      <c r="AS52" s="207">
        <v>20</v>
      </c>
      <c r="AT52" s="207" t="s">
        <v>346</v>
      </c>
      <c r="AV52" s="168">
        <f t="shared" si="21"/>
        <v>3</v>
      </c>
      <c r="AW52" s="168">
        <f>COUNTIF( AV$7:AV52, AV52 )</f>
        <v>10</v>
      </c>
      <c r="AX52" s="208">
        <f t="shared" si="22"/>
        <v>4</v>
      </c>
      <c r="AY52" s="168">
        <f t="shared" si="23"/>
        <v>12</v>
      </c>
      <c r="AZ52" s="169"/>
      <c r="BA52" s="169"/>
      <c r="BC52" s="168">
        <f t="shared" ca="1" si="24"/>
        <v>46</v>
      </c>
      <c r="BD52" s="209">
        <f t="shared" ca="1" si="6"/>
        <v>25</v>
      </c>
      <c r="BF52" s="173" t="str">
        <f t="shared" ca="1" si="25"/>
        <v>Hawaiian Electric Industries, Inc.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HE</v>
      </c>
    </row>
    <row r="53" spans="1:61" ht="13.8" x14ac:dyDescent="0.25">
      <c r="A53" s="223" t="s">
        <v>287</v>
      </c>
      <c r="B53" s="224" t="s">
        <v>142</v>
      </c>
      <c r="C53" s="224">
        <v>17</v>
      </c>
      <c r="D53" s="224" t="s">
        <v>288</v>
      </c>
      <c r="E53" s="225" t="str">
        <f t="shared" ca="1" si="8"/>
        <v>R</v>
      </c>
      <c r="F53" s="348"/>
      <c r="G53" s="349">
        <f t="shared" ca="1" si="1"/>
        <v>59</v>
      </c>
      <c r="H53" s="350"/>
      <c r="I53" s="350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354</v>
      </c>
      <c r="AR53" s="207" t="s">
        <v>140</v>
      </c>
      <c r="AS53" s="207">
        <v>19</v>
      </c>
      <c r="AT53" s="207" t="s">
        <v>355</v>
      </c>
      <c r="AV53" s="168">
        <f t="shared" si="21"/>
        <v>15</v>
      </c>
      <c r="AW53" s="168">
        <f>COUNTIF( AV$7:AV53, AV53 )</f>
        <v>20</v>
      </c>
      <c r="AX53" s="208">
        <f t="shared" si="22"/>
        <v>17</v>
      </c>
      <c r="AY53" s="168">
        <f t="shared" si="23"/>
        <v>34</v>
      </c>
      <c r="AZ53" s="169"/>
      <c r="BA53" s="169"/>
      <c r="BC53" s="168">
        <f t="shared" ca="1" si="24"/>
        <v>47</v>
      </c>
      <c r="BD53" s="209">
        <f t="shared" ca="1" si="6"/>
        <v>27</v>
      </c>
      <c r="BF53" s="173" t="str">
        <f t="shared" ca="1" si="25"/>
        <v>IPALCO Enterprises,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**IPALCO</v>
      </c>
    </row>
    <row r="54" spans="1:61" ht="13.8" x14ac:dyDescent="0.25">
      <c r="A54" s="223" t="s">
        <v>305</v>
      </c>
      <c r="B54" s="224" t="s">
        <v>142</v>
      </c>
      <c r="C54" s="224">
        <v>17</v>
      </c>
      <c r="D54" s="224" t="s">
        <v>306</v>
      </c>
      <c r="E54" s="225" t="str">
        <f t="shared" ca="1" si="8"/>
        <v>R</v>
      </c>
      <c r="F54" s="348"/>
      <c r="G54" s="349">
        <f t="shared" ca="1" si="1"/>
        <v>61</v>
      </c>
      <c r="H54" s="350"/>
      <c r="I54" s="350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8"/>
        <v/>
      </c>
      <c r="AJ54" s="169">
        <f t="shared" ca="1" si="19"/>
        <v>54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4"/>
        <v/>
      </c>
      <c r="AQ54" s="207" t="s">
        <v>247</v>
      </c>
      <c r="AR54" s="207" t="s">
        <v>139</v>
      </c>
      <c r="AS54" s="207">
        <v>20</v>
      </c>
      <c r="AT54" s="207" t="s">
        <v>248</v>
      </c>
      <c r="AV54" s="168">
        <f t="shared" si="21"/>
        <v>3</v>
      </c>
      <c r="AW54" s="168">
        <f>COUNTIF( AV$7:AV54, AV54 )</f>
        <v>11</v>
      </c>
      <c r="AX54" s="208">
        <f t="shared" si="22"/>
        <v>4.0999999999999996</v>
      </c>
      <c r="AY54" s="168">
        <f t="shared" si="23"/>
        <v>13</v>
      </c>
      <c r="AZ54" s="169"/>
      <c r="BA54" s="169"/>
      <c r="BC54" s="168">
        <f t="shared" ca="1" si="24"/>
        <v>48</v>
      </c>
      <c r="BD54" s="209">
        <f t="shared" ca="1" si="6"/>
        <v>40</v>
      </c>
      <c r="BF54" s="173" t="str">
        <f t="shared" ca="1" si="25"/>
        <v>Puget Energy, Inc.</v>
      </c>
      <c r="BG54" s="173" t="str">
        <f t="shared" ca="1" si="25"/>
        <v>BBB-</v>
      </c>
      <c r="BH54" s="173">
        <f t="shared" ca="1" si="25"/>
        <v>17</v>
      </c>
      <c r="BI54" s="173" t="str">
        <f t="shared" ca="1" si="25"/>
        <v>**PSD</v>
      </c>
    </row>
    <row r="55" spans="1:61" ht="13.8" x14ac:dyDescent="0.25">
      <c r="A55" s="223" t="s">
        <v>259</v>
      </c>
      <c r="B55" s="224" t="s">
        <v>175</v>
      </c>
      <c r="C55" s="224">
        <v>15</v>
      </c>
      <c r="D55" s="224" t="s">
        <v>260</v>
      </c>
      <c r="E55" s="225" t="str">
        <f t="shared" ca="1" si="8"/>
        <v>MR</v>
      </c>
      <c r="F55" s="348"/>
      <c r="G55" s="349">
        <f t="shared" ca="1" si="1"/>
        <v>57</v>
      </c>
      <c r="H55" s="350"/>
      <c r="I55" s="350"/>
      <c r="J55" s="191"/>
      <c r="K55" s="191"/>
      <c r="AF55" s="169">
        <f t="shared" si="2"/>
        <v>0</v>
      </c>
      <c r="AG55" s="169" t="str">
        <f t="shared" ca="1" si="3"/>
        <v/>
      </c>
      <c r="AH55" s="169" t="str">
        <f t="shared" ca="1" si="18"/>
        <v/>
      </c>
      <c r="AJ55" s="169">
        <f t="shared" ca="1" si="19"/>
        <v>55</v>
      </c>
      <c r="AK55" s="169" t="str">
        <f t="shared" ca="1" si="20"/>
        <v>BB</v>
      </c>
      <c r="AL55" s="169">
        <f t="shared" ca="1" si="20"/>
        <v>15</v>
      </c>
      <c r="AM55" s="169" t="str">
        <f t="shared" ca="1" si="4"/>
        <v/>
      </c>
      <c r="AQ55" s="207" t="s">
        <v>251</v>
      </c>
      <c r="AR55" s="207" t="s">
        <v>139</v>
      </c>
      <c r="AS55" s="207">
        <v>20</v>
      </c>
      <c r="AT55" s="207" t="s">
        <v>252</v>
      </c>
      <c r="AV55" s="168">
        <f t="shared" si="21"/>
        <v>3</v>
      </c>
      <c r="AW55" s="168">
        <f>COUNTIF( AV$7:AV55, AV55 )</f>
        <v>12</v>
      </c>
      <c r="AX55" s="208">
        <f t="shared" si="22"/>
        <v>4.2</v>
      </c>
      <c r="AY55" s="168">
        <f t="shared" si="23"/>
        <v>14</v>
      </c>
      <c r="AZ55" s="169"/>
      <c r="BA55" s="169"/>
      <c r="BC55" s="168">
        <f t="shared" ca="1" si="24"/>
        <v>49</v>
      </c>
      <c r="BD55" s="209">
        <f t="shared" ca="1" si="6"/>
        <v>14</v>
      </c>
      <c r="BF55" s="173" t="str">
        <f t="shared" ca="1" si="25"/>
        <v>DPL Inc.</v>
      </c>
      <c r="BG55" s="173" t="str">
        <f t="shared" ca="1" si="25"/>
        <v>BB</v>
      </c>
      <c r="BH55" s="173">
        <f t="shared" ca="1" si="25"/>
        <v>15</v>
      </c>
      <c r="BI55" s="173" t="str">
        <f t="shared" ca="1" si="25"/>
        <v>**DPL</v>
      </c>
    </row>
    <row r="56" spans="1:61" ht="13.8" x14ac:dyDescent="0.25">
      <c r="A56" s="223"/>
      <c r="B56" s="224"/>
      <c r="C56" s="224"/>
      <c r="D56" s="224"/>
      <c r="E56" s="225"/>
      <c r="F56" s="348"/>
      <c r="G56" s="349" t="str">
        <f t="shared" ca="1" si="1"/>
        <v/>
      </c>
      <c r="H56" s="350"/>
      <c r="I56" s="350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1</v>
      </c>
      <c r="AX56" s="208">
        <f t="shared" si="22"/>
        <v>99.1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8" x14ac:dyDescent="0.25">
      <c r="A57" s="223"/>
      <c r="B57" s="224"/>
      <c r="C57" s="224"/>
      <c r="D57" s="224"/>
      <c r="E57" s="225"/>
      <c r="F57" s="348"/>
      <c r="G57" s="349" t="str">
        <f t="shared" ca="1" si="1"/>
        <v/>
      </c>
      <c r="H57" s="350"/>
      <c r="I57" s="350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2</v>
      </c>
      <c r="AX57" s="208">
        <f t="shared" si="22"/>
        <v>99.2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8" x14ac:dyDescent="0.25">
      <c r="A58" s="223"/>
      <c r="B58" s="224"/>
      <c r="C58" s="224"/>
      <c r="D58" s="224"/>
      <c r="E58" s="225"/>
      <c r="F58" s="348"/>
      <c r="G58" s="349" t="str">
        <f t="shared" ca="1" si="1"/>
        <v/>
      </c>
      <c r="H58" s="350"/>
      <c r="I58" s="350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3</v>
      </c>
      <c r="AX58" s="208">
        <f t="shared" si="22"/>
        <v>99.3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8" x14ac:dyDescent="0.25">
      <c r="A59" s="223"/>
      <c r="B59" s="224"/>
      <c r="C59" s="224"/>
      <c r="D59" s="224"/>
      <c r="E59" s="225" t="str">
        <f t="shared" ca="1" si="8"/>
        <v/>
      </c>
      <c r="F59" s="348"/>
      <c r="G59" s="349" t="str">
        <f t="shared" ca="1" si="1"/>
        <v/>
      </c>
      <c r="H59" s="350"/>
      <c r="I59" s="350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4</v>
      </c>
      <c r="AX59" s="208">
        <f t="shared" si="22"/>
        <v>99.4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" thickBot="1" x14ac:dyDescent="0.3">
      <c r="A60" s="192"/>
      <c r="B60" s="193"/>
      <c r="C60" s="193"/>
      <c r="D60" s="193"/>
      <c r="E60" s="194" t="str">
        <f t="shared" ca="1" si="8"/>
        <v/>
      </c>
      <c r="F60" s="350"/>
      <c r="G60" s="353" t="str">
        <f t="shared" ca="1" si="1"/>
        <v/>
      </c>
      <c r="H60" s="350"/>
      <c r="I60" s="350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5</v>
      </c>
      <c r="AX60" s="208">
        <f t="shared" si="22"/>
        <v>99.5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8" x14ac:dyDescent="0.25">
      <c r="A61" s="226" t="s">
        <v>308</v>
      </c>
      <c r="B61" s="227" t="s">
        <v>162</v>
      </c>
      <c r="C61" s="227">
        <v>23</v>
      </c>
      <c r="D61" s="227" t="s">
        <v>309</v>
      </c>
      <c r="E61" s="228" t="str">
        <f t="shared" ca="1" si="8"/>
        <v>MR</v>
      </c>
      <c r="F61" s="354"/>
      <c r="G61" s="355">
        <f t="shared" ca="1" si="1"/>
        <v>32</v>
      </c>
      <c r="H61" s="350"/>
      <c r="I61" s="350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6</v>
      </c>
      <c r="AX61" s="208">
        <f t="shared" si="22"/>
        <v>99.6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8" x14ac:dyDescent="0.25">
      <c r="A62" s="223" t="s">
        <v>371</v>
      </c>
      <c r="B62" s="224"/>
      <c r="C62" s="224"/>
      <c r="D62" s="224" t="s">
        <v>359</v>
      </c>
      <c r="E62" s="225" t="str">
        <f t="shared" ca="1" si="8"/>
        <v>R</v>
      </c>
      <c r="F62" s="348"/>
      <c r="G62" s="349">
        <f t="shared" ca="1" si="1"/>
        <v>58</v>
      </c>
      <c r="H62" s="350"/>
      <c r="I62" s="350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>
        <f t="shared" ca="1" si="19"/>
        <v>62</v>
      </c>
      <c r="AK62" s="169">
        <f t="shared" ca="1" si="20"/>
        <v>0</v>
      </c>
      <c r="AL62" s="169">
        <f t="shared" ca="1" si="20"/>
        <v>0</v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7</v>
      </c>
      <c r="AX62" s="208">
        <f t="shared" si="22"/>
        <v>99.7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/>
      <c r="B63" s="229"/>
      <c r="C63" s="224"/>
      <c r="D63" s="224"/>
      <c r="E63" s="225"/>
      <c r="F63" s="348"/>
      <c r="G63" s="349"/>
      <c r="H63" s="350"/>
      <c r="I63" s="350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8</v>
      </c>
      <c r="AX63" s="208">
        <f t="shared" si="22"/>
        <v>99.8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/>
      <c r="B64" s="229"/>
      <c r="C64" s="224"/>
      <c r="D64" s="224"/>
      <c r="E64" s="225"/>
      <c r="F64" s="348"/>
      <c r="G64" s="349"/>
      <c r="H64" s="350"/>
      <c r="I64" s="350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308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58" ht="13.8" x14ac:dyDescent="0.25">
      <c r="A65" s="223"/>
      <c r="B65" s="229"/>
      <c r="C65" s="224"/>
      <c r="D65" s="224"/>
      <c r="E65" s="225"/>
      <c r="F65" s="348"/>
      <c r="G65" s="349"/>
      <c r="H65" s="350"/>
      <c r="I65" s="350"/>
      <c r="N65" s="168" t="s">
        <v>310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 t="s">
        <v>371</v>
      </c>
      <c r="AR65" s="207"/>
      <c r="AS65" s="207"/>
      <c r="AT65" s="207" t="s">
        <v>359</v>
      </c>
      <c r="AU65" s="207"/>
      <c r="AZ65" s="169"/>
      <c r="BA65" s="169"/>
      <c r="BF65" s="169"/>
    </row>
    <row r="66" spans="1:58" ht="13.8" x14ac:dyDescent="0.25">
      <c r="A66" s="195"/>
      <c r="B66" s="196"/>
      <c r="C66" s="185"/>
      <c r="D66" s="185"/>
      <c r="E66" s="182"/>
      <c r="F66" s="350"/>
      <c r="H66" s="350"/>
      <c r="I66" s="350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50"/>
      <c r="H67" s="350"/>
      <c r="I67" s="350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8" x14ac:dyDescent="0.25">
      <c r="A68" s="200" t="s">
        <v>311</v>
      </c>
      <c r="B68" s="189" t="str">
        <f ca="1">OFFSET( Scale!$H$5, ROUND( C68, 0 ) - 1, 1 )</f>
        <v>BBB+</v>
      </c>
      <c r="C68" s="201">
        <f>AVERAGE(C7:C65)</f>
        <v>18.940000000000001</v>
      </c>
      <c r="D68" s="201"/>
      <c r="E68" s="201"/>
      <c r="F68" s="350"/>
      <c r="H68" s="350"/>
      <c r="I68" s="350"/>
      <c r="J68" s="351"/>
      <c r="K68" s="351"/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50"/>
      <c r="H69" s="350"/>
      <c r="I69" s="350"/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1"/>
      <c r="K70" s="351"/>
    </row>
    <row r="71" spans="1:58" x14ac:dyDescent="0.25">
      <c r="A71" s="203" t="s">
        <v>312</v>
      </c>
      <c r="F71" s="173"/>
      <c r="H71" s="173"/>
      <c r="I71" s="173"/>
    </row>
    <row r="72" spans="1:58" x14ac:dyDescent="0.25">
      <c r="A72" s="203" t="s">
        <v>313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314</v>
      </c>
      <c r="B73" s="173"/>
      <c r="D73" s="173"/>
      <c r="E73" s="173"/>
      <c r="F73" s="204"/>
      <c r="H73" s="204"/>
      <c r="I73" s="204"/>
    </row>
    <row r="74" spans="1:58" x14ac:dyDescent="0.25">
      <c r="A74" s="203" t="s">
        <v>315</v>
      </c>
      <c r="D74" s="204"/>
      <c r="F74" s="206"/>
      <c r="H74" s="206"/>
      <c r="I74" s="206"/>
      <c r="AQ74" s="207"/>
      <c r="AR74" s="207"/>
      <c r="AS74" s="207"/>
    </row>
    <row r="75" spans="1:58" x14ac:dyDescent="0.25">
      <c r="A75" s="203" t="s">
        <v>316</v>
      </c>
      <c r="D75" s="204"/>
      <c r="F75" s="206"/>
      <c r="H75" s="206"/>
      <c r="I75" s="206"/>
      <c r="AQ75" s="207"/>
      <c r="AR75" s="207"/>
      <c r="AS75" s="207"/>
    </row>
    <row r="76" spans="1:58" x14ac:dyDescent="0.25">
      <c r="A76" s="203"/>
      <c r="AQ76" s="207"/>
      <c r="AR76" s="207"/>
      <c r="AS76" s="207"/>
    </row>
    <row r="77" spans="1:58" x14ac:dyDescent="0.25">
      <c r="C77" s="190">
        <f>SUMPRODUCT( L8:L13, Y8:Y13 ) / L14</f>
        <v>18.920000000000002</v>
      </c>
      <c r="E77" s="191"/>
      <c r="G77" s="353"/>
      <c r="J77" s="173"/>
      <c r="K77" s="173"/>
      <c r="AQ77" s="207"/>
      <c r="AR77" s="207"/>
      <c r="AS77" s="207"/>
    </row>
    <row r="78" spans="1:58" s="173" customFormat="1" ht="13.8" x14ac:dyDescent="0.2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ref="AQ7:AT58">
    <sortCondition ref="AQ7:AQ58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773" priority="28" stopIfTrue="1">
      <formula>IF( $AH7 = 1, TRUE, FALSE )</formula>
    </cfRule>
    <cfRule type="expression" dxfId="772" priority="29" stopIfTrue="1">
      <formula>IF( $AG7 = 1, TRUE, FALSE )</formula>
    </cfRule>
    <cfRule type="expression" dxfId="771" priority="30" stopIfTrue="1">
      <formula>IF( $AF7 = 1, TRUE, FALSE )</formula>
    </cfRule>
  </conditionalFormatting>
  <conditionalFormatting sqref="A67:E67">
    <cfRule type="expression" dxfId="770" priority="31" stopIfTrue="1">
      <formula>IF( $AH67 = 1, TRUE, FALSE )</formula>
    </cfRule>
    <cfRule type="expression" dxfId="769" priority="32" stopIfTrue="1">
      <formula>IF( $AG67 = 1, TRUE, FALSE )</formula>
    </cfRule>
    <cfRule type="expression" dxfId="768" priority="33" stopIfTrue="1">
      <formula>IF( $AF67 = 1, TRUE, FALSE )</formula>
    </cfRule>
  </conditionalFormatting>
  <conditionalFormatting sqref="A66:E66">
    <cfRule type="expression" dxfId="767" priority="25" stopIfTrue="1">
      <formula>IF( $AH66 = 1, TRUE, FALSE )</formula>
    </cfRule>
    <cfRule type="expression" dxfId="766" priority="26" stopIfTrue="1">
      <formula>IF( $AG66 = 1, TRUE, FALSE )</formula>
    </cfRule>
    <cfRule type="expression" dxfId="765" priority="27" stopIfTrue="1">
      <formula>IF( $AF66 = 1, TRUE, FALSE )</formula>
    </cfRule>
  </conditionalFormatting>
  <conditionalFormatting sqref="A8:D58 B7:D7">
    <cfRule type="expression" dxfId="764" priority="22" stopIfTrue="1">
      <formula>IF( $AH7 = 1, TRUE, FALSE )</formula>
    </cfRule>
    <cfRule type="expression" dxfId="763" priority="23" stopIfTrue="1">
      <formula>IF( $AG7 = 1, TRUE, FALSE )</formula>
    </cfRule>
    <cfRule type="expression" dxfId="762" priority="24" stopIfTrue="1">
      <formula>IF( $AF7 = 1, TRUE, FALSE )</formula>
    </cfRule>
  </conditionalFormatting>
  <conditionalFormatting sqref="A59:D59">
    <cfRule type="expression" dxfId="761" priority="19" stopIfTrue="1">
      <formula>IF( $AH59 = 1, TRUE, FALSE )</formula>
    </cfRule>
    <cfRule type="expression" dxfId="760" priority="20" stopIfTrue="1">
      <formula>IF( $AG59 = 1, TRUE, FALSE )</formula>
    </cfRule>
    <cfRule type="expression" dxfId="759" priority="21" stopIfTrue="1">
      <formula>IF( $AF59 = 1, TRUE, FALSE )</formula>
    </cfRule>
  </conditionalFormatting>
  <conditionalFormatting sqref="A61:D65">
    <cfRule type="expression" dxfId="758" priority="16" stopIfTrue="1">
      <formula>IF( $AH61 = 1, TRUE, FALSE )</formula>
    </cfRule>
    <cfRule type="expression" dxfId="757" priority="17" stopIfTrue="1">
      <formula>IF( $AG61 = 1, TRUE, FALSE )</formula>
    </cfRule>
    <cfRule type="expression" dxfId="756" priority="18" stopIfTrue="1">
      <formula>IF( $AF61 = 1, TRUE, FALSE )</formula>
    </cfRule>
  </conditionalFormatting>
  <conditionalFormatting sqref="U8:U12">
    <cfRule type="cellIs" dxfId="755" priority="15" operator="equal">
      <formula>0</formula>
    </cfRule>
  </conditionalFormatting>
  <conditionalFormatting sqref="O8:O12 Q8:Q12">
    <cfRule type="cellIs" dxfId="754" priority="14" operator="equal">
      <formula>0</formula>
    </cfRule>
  </conditionalFormatting>
  <conditionalFormatting sqref="V8:V12">
    <cfRule type="cellIs" dxfId="753" priority="13" operator="equal">
      <formula>0</formula>
    </cfRule>
  </conditionalFormatting>
  <conditionalFormatting sqref="S8:S12">
    <cfRule type="cellIs" dxfId="752" priority="11" operator="equal">
      <formula>0</formula>
    </cfRule>
  </conditionalFormatting>
  <conditionalFormatting sqref="R8:R12">
    <cfRule type="cellIs" dxfId="751" priority="12" operator="equal">
      <formula>0</formula>
    </cfRule>
  </conditionalFormatting>
  <conditionalFormatting sqref="P8:P12">
    <cfRule type="cellIs" dxfId="750" priority="10" operator="equal">
      <formula>0</formula>
    </cfRule>
  </conditionalFormatting>
  <conditionalFormatting sqref="M8:M12">
    <cfRule type="cellIs" dxfId="749" priority="9" operator="equal">
      <formula>0</formula>
    </cfRule>
  </conditionalFormatting>
  <conditionalFormatting sqref="T8:T12">
    <cfRule type="cellIs" dxfId="748" priority="8" operator="equal">
      <formula>0</formula>
    </cfRule>
  </conditionalFormatting>
  <conditionalFormatting sqref="N8:N12">
    <cfRule type="cellIs" dxfId="747" priority="7" operator="equal">
      <formula>0</formula>
    </cfRule>
  </conditionalFormatting>
  <conditionalFormatting sqref="K8:K12">
    <cfRule type="cellIs" dxfId="746" priority="6" operator="equal">
      <formula>0</formula>
    </cfRule>
  </conditionalFormatting>
  <conditionalFormatting sqref="I8:I12">
    <cfRule type="cellIs" dxfId="745" priority="5" operator="equal">
      <formula>0</formula>
    </cfRule>
  </conditionalFormatting>
  <conditionalFormatting sqref="W8:W12">
    <cfRule type="cellIs" dxfId="744" priority="4" operator="equal">
      <formula>0</formula>
    </cfRule>
  </conditionalFormatting>
  <conditionalFormatting sqref="A7">
    <cfRule type="expression" dxfId="743" priority="1" stopIfTrue="1">
      <formula>IF( $AH7 = 1, TRUE, FALSE )</formula>
    </cfRule>
    <cfRule type="expression" dxfId="742" priority="2" stopIfTrue="1">
      <formula>IF( $AG7 = 1, TRUE, FALSE )</formula>
    </cfRule>
    <cfRule type="expression" dxfId="741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customWidth="1"/>
    <col min="23" max="23" width="2" style="168" customWidth="1"/>
    <col min="24" max="24" width="4.109375" style="168" customWidth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15.88671875" style="169" hidden="1" customWidth="1" outlineLevel="1" collapsed="1"/>
    <col min="37" max="38" width="15.88671875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-- 2016 Q2</v>
      </c>
      <c r="G1" s="175" t="s">
        <v>195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 x14ac:dyDescent="0.25">
      <c r="A2" s="167"/>
      <c r="E2" s="171" t="str">
        <f>G2</f>
        <v>Reg_Percent_2015</v>
      </c>
      <c r="G2" s="172" t="s">
        <v>365</v>
      </c>
      <c r="AJ2" s="173" t="str">
        <f>AJ4 &amp; AJ3</f>
        <v>'Credit_2016Q1'!d:d</v>
      </c>
      <c r="AK2" s="173" t="str">
        <f>AK4 &amp; AK3</f>
        <v>'Credit_2016Q1'!b1</v>
      </c>
      <c r="AL2" s="173" t="str">
        <f>AL4 &amp; AL3</f>
        <v>'Credit_2016Q1'!c1</v>
      </c>
      <c r="AQ2" s="169"/>
    </row>
    <row r="3" spans="1:61" ht="18" hidden="1" outlineLevel="1" x14ac:dyDescent="0.25">
      <c r="A3" s="167"/>
      <c r="E3" s="174" t="str">
        <f>"'" &amp; E2 &amp; "'!"</f>
        <v>'Reg_Percent_2015'!</v>
      </c>
      <c r="G3" s="168" t="str">
        <f>"'" &amp; G2 &amp; "'!"</f>
        <v>'Reg_Percent_2015'!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205</v>
      </c>
      <c r="AK3" s="149" t="s">
        <v>206</v>
      </c>
      <c r="AL3" s="149" t="s">
        <v>207</v>
      </c>
      <c r="AQ3" s="169"/>
    </row>
    <row r="4" spans="1:61" ht="18" hidden="1" outlineLevel="1" x14ac:dyDescent="0.25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>$AQ$5</f>
        <v>'Credit_2016Q1'!</v>
      </c>
      <c r="AK4" s="169" t="str">
        <f t="shared" ref="AK4:AL4" si="0">$AQ$5</f>
        <v>'Credit_2016Q1'!</v>
      </c>
      <c r="AL4" s="169" t="str">
        <f t="shared" si="0"/>
        <v>'Credit_2016Q1'!</v>
      </c>
      <c r="AQ4" s="169"/>
    </row>
    <row r="5" spans="1:61" ht="13.8" collapsed="1" x14ac:dyDescent="0.25">
      <c r="E5" s="176" t="s">
        <v>209</v>
      </c>
      <c r="G5" s="170" t="s">
        <v>199</v>
      </c>
      <c r="I5" s="230"/>
      <c r="J5" s="389" t="s">
        <v>210</v>
      </c>
      <c r="K5" s="230"/>
      <c r="L5" s="391" t="str">
        <f>"All Companies" &amp; CHAR( 10 ) &amp; "("&amp; L14 &amp; ")"</f>
        <v>All Companies
(50)</v>
      </c>
      <c r="M5" s="391"/>
      <c r="N5" s="230"/>
      <c r="O5" s="389" t="str">
        <f ca="1">"Regulated" &amp; CHAR( 10 ) &amp; "(" &amp; O14 &amp; ")"</f>
        <v>Regulated
(36)</v>
      </c>
      <c r="P5" s="393"/>
      <c r="Q5" s="230"/>
      <c r="R5" s="389" t="str">
        <f ca="1">"Mostly Regulated" &amp; CHAR( 10 ) &amp; "(" &amp; R14 &amp; ")"</f>
        <v>Mostly Regulated
(12)</v>
      </c>
      <c r="S5" s="393"/>
      <c r="T5" s="230"/>
      <c r="U5" s="389" t="str">
        <f ca="1">"Diversified" &amp; CHAR( 10 ) &amp; "(" &amp; U14 &amp; ")"</f>
        <v>Diversified
(2)</v>
      </c>
      <c r="V5" s="393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374</v>
      </c>
    </row>
    <row r="6" spans="1:61" ht="28.5" customHeight="1" x14ac:dyDescent="0.25">
      <c r="A6" s="219" t="s">
        <v>212</v>
      </c>
      <c r="B6" s="220" t="s">
        <v>65</v>
      </c>
      <c r="C6" s="249" t="s">
        <v>214</v>
      </c>
      <c r="D6" s="221"/>
      <c r="E6" s="222">
        <f ca="1">INDIRECT( E3 &amp; G1 )</f>
        <v>42369</v>
      </c>
      <c r="I6" s="231"/>
      <c r="J6" s="390"/>
      <c r="K6" s="231"/>
      <c r="L6" s="392"/>
      <c r="M6" s="392"/>
      <c r="N6" s="231"/>
      <c r="O6" s="390"/>
      <c r="P6" s="390"/>
      <c r="Q6" s="231"/>
      <c r="R6" s="390" t="s">
        <v>136</v>
      </c>
      <c r="S6" s="390"/>
      <c r="T6" s="231"/>
      <c r="U6" s="390"/>
      <c r="V6" s="390"/>
      <c r="W6" s="231"/>
      <c r="AE6" s="178"/>
      <c r="AJ6" s="179"/>
    </row>
    <row r="7" spans="1:61" ht="13.8" x14ac:dyDescent="0.25">
      <c r="A7" s="223" t="s">
        <v>215</v>
      </c>
      <c r="B7" s="224" t="s">
        <v>166</v>
      </c>
      <c r="C7" s="224">
        <v>21</v>
      </c>
      <c r="D7" s="224" t="s">
        <v>216</v>
      </c>
      <c r="E7" s="225" t="str">
        <f ca="1">IF( LEN( $G7 ) = 0, "", OFFSET( INDIRECT( E$3 &amp; E$4 ), $G7 - 1, 0 ) )</f>
        <v>R</v>
      </c>
      <c r="F7" s="348"/>
      <c r="G7" s="349">
        <f t="shared" ref="G7:G62" ca="1" si="1">IF( LEN( $D7 ) = 0, "", MATCH( $D7, INDIRECT( G$3 &amp; G$4 ), 0 ) )</f>
        <v>60</v>
      </c>
      <c r="H7" s="350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217</v>
      </c>
      <c r="AR7" s="207" t="s">
        <v>140</v>
      </c>
      <c r="AS7" s="207">
        <v>19</v>
      </c>
      <c r="AT7" s="207" t="s">
        <v>218</v>
      </c>
      <c r="AV7" s="168">
        <f>IF( LEN( AS7 ) = 0, 99, RANK( AS7, $AS$7:$AS$63 ) )</f>
        <v>15</v>
      </c>
      <c r="AW7" s="168">
        <f>COUNTIF( AV7:AV$7, AV7 )</f>
        <v>1</v>
      </c>
      <c r="AX7" s="208">
        <f>AV7 + AW7 / 10</f>
        <v>15.1</v>
      </c>
      <c r="AY7" s="168">
        <f>RANK( AX7, $AX$7:$AX$63, 1 )</f>
        <v>15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7</v>
      </c>
      <c r="BF7" s="173" t="str">
        <f t="shared" ref="BF7:BI38" ca="1" si="7">OFFSET( AQ$6, $BD7, 0 )</f>
        <v>Berkshire Energy Holdings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**BRK</v>
      </c>
    </row>
    <row r="8" spans="1:61" ht="13.8" x14ac:dyDescent="0.25">
      <c r="A8" s="223" t="s">
        <v>235</v>
      </c>
      <c r="B8" s="224" t="s">
        <v>166</v>
      </c>
      <c r="C8" s="224">
        <v>21</v>
      </c>
      <c r="D8" s="224" t="s">
        <v>236</v>
      </c>
      <c r="E8" s="225" t="str">
        <f t="shared" ref="E8:E62" ca="1" si="8">IF( LEN( $G8 ) = 0, "", OFFSET( INDIRECT( E$3 &amp; E$4 ), $G8 - 1, 0 ) )</f>
        <v>R</v>
      </c>
      <c r="F8" s="348"/>
      <c r="G8" s="349">
        <f t="shared" ca="1" si="1"/>
        <v>25</v>
      </c>
      <c r="H8" s="350"/>
      <c r="I8" s="233"/>
      <c r="J8" s="213" t="s">
        <v>137</v>
      </c>
      <c r="K8" s="233"/>
      <c r="L8" s="213">
        <f t="shared" ref="L8:L13" si="9">COUNTIF($C$7:$C$67,$X8)</f>
        <v>3</v>
      </c>
      <c r="M8" s="214">
        <f t="shared" ref="M8:M13" si="10">IF( L8 = 0, "", L8/L$14 )</f>
        <v>0.06</v>
      </c>
      <c r="N8" s="233"/>
      <c r="O8" s="213">
        <f t="shared" ref="O8:O13" ca="1" si="11">COUNTIFS( $E$7:$E$66, O$3, $C$7:$C$66, $X8 )</f>
        <v>2</v>
      </c>
      <c r="P8" s="214">
        <f t="shared" ref="P8:P13" ca="1" si="12">IF( O8 = 0, "", O8/O$14 )</f>
        <v>5.5555555555555552E-2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8.3333333333333329E-2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7">SUM(O8, R8, U8)</f>
        <v>3</v>
      </c>
      <c r="AC8" s="351"/>
      <c r="AE8" s="184"/>
      <c r="AF8" s="169">
        <f t="shared" si="2"/>
        <v>1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21</v>
      </c>
      <c r="BF8" s="173" t="str">
        <f t="shared" ca="1" si="7"/>
        <v>Eversource Energy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ES</v>
      </c>
    </row>
    <row r="9" spans="1:61" ht="13.8" x14ac:dyDescent="0.25">
      <c r="A9" s="223" t="s">
        <v>219</v>
      </c>
      <c r="B9" s="224" t="s">
        <v>139</v>
      </c>
      <c r="C9" s="224">
        <v>20</v>
      </c>
      <c r="D9" s="224" t="s">
        <v>220</v>
      </c>
      <c r="E9" s="225" t="str">
        <f t="shared" ca="1" si="8"/>
        <v>R</v>
      </c>
      <c r="F9" s="348"/>
      <c r="G9" s="349">
        <f t="shared" ca="1" si="1"/>
        <v>8</v>
      </c>
      <c r="H9" s="350"/>
      <c r="I9" s="234"/>
      <c r="J9" s="215" t="s">
        <v>139</v>
      </c>
      <c r="K9" s="234"/>
      <c r="L9" s="215">
        <f t="shared" si="9"/>
        <v>12</v>
      </c>
      <c r="M9" s="216">
        <f t="shared" si="10"/>
        <v>0.24</v>
      </c>
      <c r="N9" s="234"/>
      <c r="O9" s="215">
        <f t="shared" ca="1" si="11"/>
        <v>10</v>
      </c>
      <c r="P9" s="216">
        <f t="shared" ca="1" si="12"/>
        <v>0.27777777777777779</v>
      </c>
      <c r="Q9" s="234"/>
      <c r="R9" s="215">
        <f t="shared" ca="1" si="13"/>
        <v>2</v>
      </c>
      <c r="S9" s="216">
        <f t="shared" ca="1" si="14"/>
        <v>0.16666666666666666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7"/>
        <v>12</v>
      </c>
      <c r="AC9" s="351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si="21"/>
        <v>15</v>
      </c>
      <c r="AW9" s="168">
        <f>COUNTIF( AV$7:AV9, AV9 )</f>
        <v>2</v>
      </c>
      <c r="AX9" s="208">
        <f t="shared" si="22"/>
        <v>15.2</v>
      </c>
      <c r="AY9" s="168">
        <f t="shared" si="23"/>
        <v>16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ht="13.8" x14ac:dyDescent="0.25">
      <c r="A10" s="223" t="s">
        <v>249</v>
      </c>
      <c r="B10" s="224" t="s">
        <v>139</v>
      </c>
      <c r="C10" s="224">
        <v>20</v>
      </c>
      <c r="D10" s="224" t="s">
        <v>250</v>
      </c>
      <c r="E10" s="225" t="str">
        <f t="shared" ca="1" si="8"/>
        <v>MR</v>
      </c>
      <c r="F10" s="348"/>
      <c r="G10" s="349">
        <f t="shared" ca="1" si="1"/>
        <v>14</v>
      </c>
      <c r="H10" s="350"/>
      <c r="I10" s="234"/>
      <c r="J10" s="215" t="s">
        <v>140</v>
      </c>
      <c r="K10" s="234"/>
      <c r="L10" s="215">
        <f t="shared" si="9"/>
        <v>17</v>
      </c>
      <c r="M10" s="216">
        <f t="shared" si="10"/>
        <v>0.34</v>
      </c>
      <c r="N10" s="234"/>
      <c r="O10" s="215">
        <f t="shared" ca="1" si="11"/>
        <v>10</v>
      </c>
      <c r="P10" s="216">
        <f t="shared" ca="1" si="12"/>
        <v>0.27777777777777779</v>
      </c>
      <c r="Q10" s="234"/>
      <c r="R10" s="215">
        <f t="shared" ca="1" si="13"/>
        <v>7</v>
      </c>
      <c r="S10" s="216">
        <f t="shared" ca="1" si="14"/>
        <v>0.58333333333333337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229</v>
      </c>
      <c r="Y10" s="186">
        <v>19</v>
      </c>
      <c r="Z10" s="186">
        <v>1</v>
      </c>
      <c r="AA10" s="185">
        <f t="shared" ca="1" si="17"/>
        <v>17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222</v>
      </c>
      <c r="AR10" s="207" t="s">
        <v>141</v>
      </c>
      <c r="AS10" s="207">
        <v>18</v>
      </c>
      <c r="AT10" s="207" t="s">
        <v>223</v>
      </c>
      <c r="AV10" s="168">
        <f t="shared" si="21"/>
        <v>32</v>
      </c>
      <c r="AW10" s="168">
        <f>COUNTIF( AV$7:AV10, AV10 )</f>
        <v>1</v>
      </c>
      <c r="AX10" s="208">
        <f t="shared" si="22"/>
        <v>32.1</v>
      </c>
      <c r="AY10" s="168">
        <f t="shared" si="23"/>
        <v>32</v>
      </c>
      <c r="AZ10" s="169"/>
      <c r="BA10" s="169"/>
      <c r="BC10" s="168">
        <f t="shared" ca="1" si="24"/>
        <v>4</v>
      </c>
      <c r="BD10" s="209">
        <f t="shared" ca="1" si="6"/>
        <v>9</v>
      </c>
      <c r="BF10" s="173" t="str">
        <f t="shared" ca="1" si="7"/>
        <v>CenterPoint Energy,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CNP</v>
      </c>
    </row>
    <row r="11" spans="1:61" ht="13.8" x14ac:dyDescent="0.25">
      <c r="A11" s="223" t="s">
        <v>227</v>
      </c>
      <c r="B11" s="224" t="s">
        <v>139</v>
      </c>
      <c r="C11" s="224">
        <v>20</v>
      </c>
      <c r="D11" s="224" t="s">
        <v>228</v>
      </c>
      <c r="E11" s="225" t="str">
        <f t="shared" ca="1" si="8"/>
        <v>R</v>
      </c>
      <c r="F11" s="348"/>
      <c r="G11" s="349">
        <f t="shared" ca="1" si="1"/>
        <v>17</v>
      </c>
      <c r="H11" s="350"/>
      <c r="I11" s="234"/>
      <c r="J11" s="215" t="s">
        <v>141</v>
      </c>
      <c r="K11" s="234"/>
      <c r="L11" s="215">
        <f t="shared" si="9"/>
        <v>12</v>
      </c>
      <c r="M11" s="216">
        <f t="shared" si="10"/>
        <v>0.24</v>
      </c>
      <c r="N11" s="234"/>
      <c r="O11" s="215">
        <f t="shared" ca="1" si="11"/>
        <v>11</v>
      </c>
      <c r="P11" s="216">
        <f t="shared" ca="1" si="12"/>
        <v>0.30555555555555558</v>
      </c>
      <c r="Q11" s="234"/>
      <c r="R11" s="215">
        <f t="shared" ca="1" si="13"/>
        <v>0</v>
      </c>
      <c r="S11" s="216" t="str">
        <f t="shared" ca="1" si="14"/>
        <v/>
      </c>
      <c r="T11" s="234"/>
      <c r="U11" s="215">
        <f t="shared" ca="1" si="15"/>
        <v>1</v>
      </c>
      <c r="V11" s="216">
        <f t="shared" ca="1" si="16"/>
        <v>0.5</v>
      </c>
      <c r="W11" s="234"/>
      <c r="X11" s="186" t="s">
        <v>232</v>
      </c>
      <c r="Y11" s="186">
        <v>18</v>
      </c>
      <c r="Z11" s="186">
        <v>1</v>
      </c>
      <c r="AA11" s="185">
        <f t="shared" ca="1" si="17"/>
        <v>12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233</v>
      </c>
      <c r="AR11" s="207" t="s">
        <v>140</v>
      </c>
      <c r="AS11" s="207">
        <v>19</v>
      </c>
      <c r="AT11" s="207" t="s">
        <v>234</v>
      </c>
      <c r="AV11" s="168">
        <f t="shared" si="21"/>
        <v>15</v>
      </c>
      <c r="AW11" s="168">
        <f>COUNTIF( AV$7:AV11, AV11 )</f>
        <v>3</v>
      </c>
      <c r="AX11" s="208">
        <f t="shared" si="22"/>
        <v>15.3</v>
      </c>
      <c r="AY11" s="168">
        <f t="shared" si="23"/>
        <v>17</v>
      </c>
      <c r="AZ11" s="169"/>
      <c r="BA11" s="169"/>
      <c r="BC11" s="168">
        <f t="shared" ca="1" si="24"/>
        <v>5</v>
      </c>
      <c r="BD11" s="209">
        <f t="shared" ca="1" si="6"/>
        <v>12</v>
      </c>
      <c r="BF11" s="173" t="str">
        <f t="shared" ca="1" si="7"/>
        <v>Consolidated Edison,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ED</v>
      </c>
    </row>
    <row r="12" spans="1:61" ht="13.8" x14ac:dyDescent="0.25">
      <c r="A12" s="223" t="s">
        <v>263</v>
      </c>
      <c r="B12" s="224" t="s">
        <v>139</v>
      </c>
      <c r="C12" s="224">
        <v>20</v>
      </c>
      <c r="D12" s="224" t="s">
        <v>264</v>
      </c>
      <c r="E12" s="225" t="str">
        <f t="shared" ca="1" si="8"/>
        <v>R</v>
      </c>
      <c r="F12" s="348"/>
      <c r="G12" s="349">
        <f t="shared" ca="1" si="1"/>
        <v>20</v>
      </c>
      <c r="H12" s="350"/>
      <c r="I12" s="234"/>
      <c r="J12" s="215" t="s">
        <v>142</v>
      </c>
      <c r="K12" s="234"/>
      <c r="L12" s="215">
        <f t="shared" si="9"/>
        <v>5</v>
      </c>
      <c r="M12" s="216">
        <f t="shared" si="10"/>
        <v>0.1</v>
      </c>
      <c r="N12" s="234"/>
      <c r="O12" s="215">
        <f t="shared" ca="1" si="11"/>
        <v>3</v>
      </c>
      <c r="P12" s="216">
        <f t="shared" ca="1" si="12"/>
        <v>8.3333333333333329E-2</v>
      </c>
      <c r="Q12" s="234"/>
      <c r="R12" s="215">
        <f t="shared" ca="1" si="13"/>
        <v>1</v>
      </c>
      <c r="S12" s="216">
        <f t="shared" ca="1" si="14"/>
        <v>8.3333333333333329E-2</v>
      </c>
      <c r="T12" s="234"/>
      <c r="U12" s="215">
        <f t="shared" ca="1" si="15"/>
        <v>1</v>
      </c>
      <c r="V12" s="216">
        <f t="shared" ca="1" si="16"/>
        <v>0.5</v>
      </c>
      <c r="W12" s="234"/>
      <c r="X12" s="186" t="s">
        <v>237</v>
      </c>
      <c r="Y12" s="186">
        <v>17</v>
      </c>
      <c r="Z12" s="186">
        <v>1</v>
      </c>
      <c r="AA12" s="185">
        <f t="shared" ca="1" si="17"/>
        <v>5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238</v>
      </c>
      <c r="AR12" s="207" t="s">
        <v>141</v>
      </c>
      <c r="AS12" s="207">
        <v>18</v>
      </c>
      <c r="AT12" s="207" t="s">
        <v>239</v>
      </c>
      <c r="AV12" s="168">
        <f t="shared" si="21"/>
        <v>32</v>
      </c>
      <c r="AW12" s="168">
        <f>COUNTIF( AV$7:AV12, AV12 )</f>
        <v>2</v>
      </c>
      <c r="AX12" s="208">
        <f t="shared" si="22"/>
        <v>32.200000000000003</v>
      </c>
      <c r="AY12" s="168">
        <f t="shared" si="23"/>
        <v>33</v>
      </c>
      <c r="AZ12" s="169"/>
      <c r="BA12" s="169"/>
      <c r="BC12" s="168">
        <f t="shared" ca="1" si="24"/>
        <v>6</v>
      </c>
      <c r="BD12" s="209">
        <f t="shared" ca="1" si="6"/>
        <v>16</v>
      </c>
      <c r="BF12" s="173" t="str">
        <f t="shared" ca="1" si="7"/>
        <v>Duke Energy Corporation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DUK</v>
      </c>
    </row>
    <row r="13" spans="1:61" ht="13.8" x14ac:dyDescent="0.25">
      <c r="A13" s="223" t="s">
        <v>240</v>
      </c>
      <c r="B13" s="224" t="s">
        <v>139</v>
      </c>
      <c r="C13" s="224">
        <v>20</v>
      </c>
      <c r="D13" s="224" t="s">
        <v>241</v>
      </c>
      <c r="E13" s="225" t="str">
        <f t="shared" ca="1" si="8"/>
        <v>MR</v>
      </c>
      <c r="F13" s="348"/>
      <c r="G13" s="349">
        <f t="shared" ca="1" si="1"/>
        <v>33</v>
      </c>
      <c r="H13" s="350"/>
      <c r="I13" s="235"/>
      <c r="J13" s="217" t="s">
        <v>143</v>
      </c>
      <c r="K13" s="235"/>
      <c r="L13" s="217">
        <f t="shared" si="9"/>
        <v>1</v>
      </c>
      <c r="M13" s="218">
        <f t="shared" si="10"/>
        <v>0.02</v>
      </c>
      <c r="N13" s="235"/>
      <c r="O13" s="217">
        <f t="shared" ca="1" si="11"/>
        <v>0</v>
      </c>
      <c r="P13" s="218" t="str">
        <f t="shared" ca="1" si="12"/>
        <v/>
      </c>
      <c r="Q13" s="235"/>
      <c r="R13" s="217">
        <f t="shared" ca="1" si="13"/>
        <v>1</v>
      </c>
      <c r="S13" s="218">
        <f t="shared" ca="1" si="14"/>
        <v>8.3333333333333329E-2</v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242</v>
      </c>
      <c r="Y13" s="186">
        <v>16</v>
      </c>
      <c r="Z13" s="186">
        <v>1</v>
      </c>
      <c r="AA13" s="188">
        <f t="shared" ca="1" si="17"/>
        <v>1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215</v>
      </c>
      <c r="AR13" s="207" t="s">
        <v>166</v>
      </c>
      <c r="AS13" s="207">
        <v>21</v>
      </c>
      <c r="AT13" s="207" t="s">
        <v>216</v>
      </c>
      <c r="AV13" s="168">
        <f t="shared" si="21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23"/>
        <v>1</v>
      </c>
      <c r="AZ13" s="169"/>
      <c r="BA13" s="169"/>
      <c r="BC13" s="168">
        <f t="shared" ca="1" si="24"/>
        <v>7</v>
      </c>
      <c r="BD13" s="209">
        <f t="shared" ca="1" si="6"/>
        <v>29</v>
      </c>
      <c r="BF13" s="173" t="str">
        <f t="shared" ca="1" si="7"/>
        <v>NextEra Energy, Inc.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NEE</v>
      </c>
    </row>
    <row r="14" spans="1:61" ht="13.8" x14ac:dyDescent="0.25">
      <c r="A14" s="223" t="s">
        <v>277</v>
      </c>
      <c r="B14" s="224" t="s">
        <v>139</v>
      </c>
      <c r="C14" s="224">
        <v>20</v>
      </c>
      <c r="D14" s="224" t="s">
        <v>278</v>
      </c>
      <c r="E14" s="225" t="str">
        <f t="shared" ca="1" si="8"/>
        <v>R</v>
      </c>
      <c r="F14" s="348"/>
      <c r="G14" s="349">
        <f t="shared" ca="1" si="1"/>
        <v>36</v>
      </c>
      <c r="H14" s="350"/>
      <c r="I14" s="236"/>
      <c r="J14" s="211" t="s">
        <v>144</v>
      </c>
      <c r="K14" s="236"/>
      <c r="L14" s="211">
        <f>SUM(L8:L13)</f>
        <v>50</v>
      </c>
      <c r="M14" s="212">
        <f>L14/L$14</f>
        <v>1</v>
      </c>
      <c r="N14" s="236"/>
      <c r="O14" s="211">
        <f ca="1">SUM(O8:O13)</f>
        <v>36</v>
      </c>
      <c r="P14" s="212">
        <f ca="1">O14/O$14</f>
        <v>1</v>
      </c>
      <c r="Q14" s="236"/>
      <c r="R14" s="211">
        <f ca="1">SUM(R8:R13)</f>
        <v>12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18.86</v>
      </c>
      <c r="Z14" s="190"/>
      <c r="AA14" s="189">
        <f ca="1">SUM(AA8:AA13)</f>
        <v>50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245</v>
      </c>
      <c r="AR14" s="207" t="s">
        <v>141</v>
      </c>
      <c r="AS14" s="207">
        <v>18</v>
      </c>
      <c r="AT14" s="207" t="s">
        <v>246</v>
      </c>
      <c r="AV14" s="168">
        <f>IF( LEN( AS14 ) = 0, 99, RANK( AS14, $AS$7:$AS$63 ) )</f>
        <v>32</v>
      </c>
      <c r="AW14" s="168">
        <f>COUNTIF( AV$7:AV14, AV14 )</f>
        <v>3</v>
      </c>
      <c r="AX14" s="208">
        <f t="shared" si="22"/>
        <v>32.299999999999997</v>
      </c>
      <c r="AY14" s="168">
        <f t="shared" si="23"/>
        <v>34</v>
      </c>
      <c r="AZ14" s="169"/>
      <c r="BA14" s="169"/>
      <c r="BC14" s="168">
        <f t="shared" ca="1" si="24"/>
        <v>8</v>
      </c>
      <c r="BD14" s="209">
        <f t="shared" ca="1" si="6"/>
        <v>32</v>
      </c>
      <c r="BF14" s="173" t="str">
        <f t="shared" ca="1" si="7"/>
        <v>OGE Energy Corp.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OGE</v>
      </c>
    </row>
    <row r="15" spans="1:61" ht="13.8" x14ac:dyDescent="0.25">
      <c r="A15" s="223" t="s">
        <v>281</v>
      </c>
      <c r="B15" s="224" t="s">
        <v>139</v>
      </c>
      <c r="C15" s="224">
        <v>20</v>
      </c>
      <c r="D15" s="224" t="s">
        <v>282</v>
      </c>
      <c r="E15" s="225" t="str">
        <f t="shared" ca="1" si="8"/>
        <v>R</v>
      </c>
      <c r="F15" s="348"/>
      <c r="G15" s="349">
        <f t="shared" ca="1" si="1"/>
        <v>39</v>
      </c>
      <c r="H15" s="350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249</v>
      </c>
      <c r="AR15" s="207" t="s">
        <v>139</v>
      </c>
      <c r="AS15" s="207">
        <v>20</v>
      </c>
      <c r="AT15" s="207" t="s">
        <v>250</v>
      </c>
      <c r="AV15" s="168">
        <f t="shared" si="21"/>
        <v>3</v>
      </c>
      <c r="AW15" s="168">
        <f>COUNTIF( AV$7:AV15, AV15 )</f>
        <v>2</v>
      </c>
      <c r="AX15" s="208">
        <f t="shared" si="22"/>
        <v>3.2</v>
      </c>
      <c r="AY15" s="168">
        <f t="shared" si="23"/>
        <v>4</v>
      </c>
      <c r="AZ15" s="169"/>
      <c r="BA15" s="169"/>
      <c r="BC15" s="168">
        <f t="shared" ca="1" si="24"/>
        <v>9</v>
      </c>
      <c r="BD15" s="209">
        <f t="shared" ca="1" si="6"/>
        <v>35</v>
      </c>
      <c r="BF15" s="173" t="str">
        <f t="shared" ca="1" si="7"/>
        <v>Pinnacle West Capital Corporation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PNW</v>
      </c>
    </row>
    <row r="16" spans="1:61" ht="13.8" x14ac:dyDescent="0.25">
      <c r="A16" s="223" t="s">
        <v>243</v>
      </c>
      <c r="B16" s="224" t="s">
        <v>139</v>
      </c>
      <c r="C16" s="224">
        <v>20</v>
      </c>
      <c r="D16" s="224" t="s">
        <v>244</v>
      </c>
      <c r="E16" s="225" t="str">
        <f t="shared" ca="1" si="8"/>
        <v>R</v>
      </c>
      <c r="F16" s="348"/>
      <c r="G16" s="349">
        <f t="shared" ca="1" si="1"/>
        <v>42</v>
      </c>
      <c r="H16" s="350"/>
      <c r="I16" s="232"/>
      <c r="J16" s="210" t="s">
        <v>253</v>
      </c>
      <c r="K16" s="232"/>
      <c r="L16" s="386">
        <f t="array" ref="L16">SUM( IF( LEN( $C$7:$C$65 ) = 0, 0, $C$7:$C$65 ) ) / SUM( IF( LEN( $C$7:$C$65 ) = 0, 0, 1  ) )</f>
        <v>18.88</v>
      </c>
      <c r="M16" s="387"/>
      <c r="N16" s="232"/>
      <c r="O16" s="386">
        <f t="array" aca="1" ref="O16" ca="1">SUM( IF( LEN( $C$7:$C$65 ) = 0, 0, IF( $E$7:$E$65 = O3, $C$7:$C$65, 0 ) ) ) / SUM( IF( LEN( $C$7:$C$65 ) = 0, 0, IF( $E$7:$E$65 = O3, 1, 0 ) ) )</f>
        <v>18.916666666666668</v>
      </c>
      <c r="P16" s="387"/>
      <c r="Q16" s="232"/>
      <c r="R16" s="386">
        <f t="array" aca="1" ref="R16" ca="1">SUM( IF( LEN( $C$7:$C$65 ) = 0, 0, IF( $E$7:$E$65 = R3, $C$7:$C$65, 0 ) ) ) / SUM( IF( LEN( $C$7:$C$65 ) = 0, 0, IF( $E$7:$E$65 = R3, 1, 0 ) ) )</f>
        <v>19</v>
      </c>
      <c r="S16" s="387"/>
      <c r="T16" s="232"/>
      <c r="U16" s="386">
        <f t="array" aca="1" ref="U16" ca="1">SUM( IF( LEN( $C$7:$C$65 ) = 0, 0, IF( $E$7:$E$65 = U3, $C$7:$C$65, 0 ) ) ) / SUM( IF( LEN( $C$7:$C$65 ) = 0, 0, IF( $E$7:$E$65 = U3, 1, 0 ) ) )</f>
        <v>17.5</v>
      </c>
      <c r="V16" s="388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254</v>
      </c>
      <c r="AR16" s="207" t="s">
        <v>142</v>
      </c>
      <c r="AS16" s="207">
        <v>17</v>
      </c>
      <c r="AT16" s="207" t="s">
        <v>255</v>
      </c>
      <c r="AV16" s="168">
        <f t="shared" si="21"/>
        <v>44</v>
      </c>
      <c r="AW16" s="168">
        <f>COUNTIF( AV$7:AV16, AV16 )</f>
        <v>1</v>
      </c>
      <c r="AX16" s="208">
        <f t="shared" si="22"/>
        <v>44.1</v>
      </c>
      <c r="AY16" s="168">
        <f t="shared" si="23"/>
        <v>44</v>
      </c>
      <c r="AZ16" s="169"/>
      <c r="BA16" s="169"/>
      <c r="BC16" s="168">
        <f t="shared" ca="1" si="24"/>
        <v>10</v>
      </c>
      <c r="BD16" s="209">
        <f t="shared" ca="1" si="6"/>
        <v>38</v>
      </c>
      <c r="BF16" s="173" t="str">
        <f t="shared" ca="1" si="7"/>
        <v>PPL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PPL</v>
      </c>
    </row>
    <row r="17" spans="1:61" ht="13.8" x14ac:dyDescent="0.25">
      <c r="A17" s="223" t="s">
        <v>293</v>
      </c>
      <c r="B17" s="224" t="s">
        <v>139</v>
      </c>
      <c r="C17" s="224">
        <v>20</v>
      </c>
      <c r="D17" s="224" t="s">
        <v>294</v>
      </c>
      <c r="E17" s="225" t="str">
        <f t="shared" ca="1" si="8"/>
        <v>R</v>
      </c>
      <c r="F17" s="348"/>
      <c r="G17" s="349">
        <f t="shared" ca="1" si="1"/>
        <v>46</v>
      </c>
      <c r="H17" s="350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256</v>
      </c>
      <c r="AR17" s="207" t="s">
        <v>140</v>
      </c>
      <c r="AS17" s="207">
        <v>19</v>
      </c>
      <c r="AT17" s="207" t="s">
        <v>257</v>
      </c>
      <c r="AV17" s="168">
        <f t="shared" si="21"/>
        <v>15</v>
      </c>
      <c r="AW17" s="168">
        <f>COUNTIF( AV$7:AV17, AV17 )</f>
        <v>4</v>
      </c>
      <c r="AX17" s="208">
        <f t="shared" si="22"/>
        <v>15.4</v>
      </c>
      <c r="AY17" s="168">
        <f t="shared" si="23"/>
        <v>18</v>
      </c>
      <c r="AZ17" s="169"/>
      <c r="BA17" s="169"/>
      <c r="BC17" s="168">
        <f t="shared" ca="1" si="24"/>
        <v>11</v>
      </c>
      <c r="BD17" s="209">
        <f t="shared" ca="1" si="6"/>
        <v>43</v>
      </c>
      <c r="BF17" s="173" t="str">
        <f t="shared" ca="1" si="7"/>
        <v>Southern Company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SO</v>
      </c>
    </row>
    <row r="18" spans="1:61" ht="13.8" x14ac:dyDescent="0.25">
      <c r="A18" s="223" t="s">
        <v>345</v>
      </c>
      <c r="B18" s="224" t="s">
        <v>139</v>
      </c>
      <c r="C18" s="224">
        <v>20</v>
      </c>
      <c r="D18" s="224" t="s">
        <v>346</v>
      </c>
      <c r="E18" s="225" t="str">
        <f t="shared" ca="1" si="8"/>
        <v>R</v>
      </c>
      <c r="F18" s="348"/>
      <c r="G18" s="349">
        <f t="shared" ca="1" si="1"/>
        <v>49</v>
      </c>
      <c r="H18" s="350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227</v>
      </c>
      <c r="AR18" s="207" t="s">
        <v>139</v>
      </c>
      <c r="AS18" s="207">
        <v>20</v>
      </c>
      <c r="AT18" s="207" t="s">
        <v>228</v>
      </c>
      <c r="AV18" s="168">
        <f t="shared" si="21"/>
        <v>3</v>
      </c>
      <c r="AW18" s="168">
        <f>COUNTIF( AV$7:AV18, AV18 )</f>
        <v>3</v>
      </c>
      <c r="AX18" s="208">
        <f t="shared" si="22"/>
        <v>3.3</v>
      </c>
      <c r="AY18" s="168">
        <f t="shared" si="23"/>
        <v>5</v>
      </c>
      <c r="AZ18" s="169"/>
      <c r="BA18" s="169"/>
      <c r="BC18" s="168">
        <f t="shared" ca="1" si="24"/>
        <v>12</v>
      </c>
      <c r="BD18" s="209">
        <f t="shared" ca="1" si="6"/>
        <v>46</v>
      </c>
      <c r="BF18" s="173" t="str">
        <f t="shared" ca="1" si="7"/>
        <v>Vectren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VVC</v>
      </c>
    </row>
    <row r="19" spans="1:61" ht="13.8" x14ac:dyDescent="0.25">
      <c r="A19" s="223" t="s">
        <v>247</v>
      </c>
      <c r="B19" s="224" t="s">
        <v>139</v>
      </c>
      <c r="C19" s="224">
        <v>20</v>
      </c>
      <c r="D19" s="224" t="s">
        <v>248</v>
      </c>
      <c r="E19" s="225" t="str">
        <f t="shared" ca="1" si="8"/>
        <v>R</v>
      </c>
      <c r="F19" s="348"/>
      <c r="G19" s="349">
        <f t="shared" ca="1" si="1"/>
        <v>50</v>
      </c>
      <c r="H19" s="350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361</v>
      </c>
      <c r="AR19" s="207" t="s">
        <v>140</v>
      </c>
      <c r="AS19" s="207">
        <v>19</v>
      </c>
      <c r="AT19" s="207" t="s">
        <v>194</v>
      </c>
      <c r="AV19" s="168">
        <f t="shared" si="21"/>
        <v>15</v>
      </c>
      <c r="AW19" s="168">
        <f>COUNTIF( AV$7:AV19, AV19 )</f>
        <v>5</v>
      </c>
      <c r="AX19" s="208">
        <f t="shared" si="22"/>
        <v>15.5</v>
      </c>
      <c r="AY19" s="168">
        <f t="shared" si="23"/>
        <v>19</v>
      </c>
      <c r="AZ19" s="169"/>
      <c r="BA19" s="169"/>
      <c r="BC19" s="168">
        <f t="shared" ca="1" si="24"/>
        <v>13</v>
      </c>
      <c r="BD19" s="209">
        <f t="shared" ca="1" si="6"/>
        <v>48</v>
      </c>
      <c r="BF19" s="173" t="str">
        <f t="shared" ca="1" si="7"/>
        <v>Wisconsin Energy Corporation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WEC</v>
      </c>
    </row>
    <row r="20" spans="1:61" ht="13.8" x14ac:dyDescent="0.25">
      <c r="A20" s="223" t="s">
        <v>251</v>
      </c>
      <c r="B20" s="224" t="s">
        <v>139</v>
      </c>
      <c r="C20" s="224">
        <v>20</v>
      </c>
      <c r="D20" s="224" t="s">
        <v>252</v>
      </c>
      <c r="E20" s="225" t="str">
        <f t="shared" ca="1" si="8"/>
        <v>R</v>
      </c>
      <c r="F20" s="348"/>
      <c r="G20" s="349">
        <f t="shared" ca="1" si="1"/>
        <v>52</v>
      </c>
      <c r="H20" s="350"/>
      <c r="I20" s="352"/>
      <c r="K20" s="352"/>
      <c r="N20" s="352"/>
      <c r="O20" s="173"/>
      <c r="Q20" s="352"/>
      <c r="T20" s="352"/>
      <c r="W20" s="352"/>
      <c r="AE20" s="184"/>
      <c r="AF20" s="169">
        <f t="shared" si="2"/>
        <v>0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259</v>
      </c>
      <c r="AR20" s="207" t="s">
        <v>175</v>
      </c>
      <c r="AS20" s="207">
        <v>15</v>
      </c>
      <c r="AT20" s="207" t="s">
        <v>260</v>
      </c>
      <c r="AV20" s="168">
        <f t="shared" si="21"/>
        <v>49</v>
      </c>
      <c r="AW20" s="168">
        <f>COUNTIF( AV$7:AV20, AV20 )</f>
        <v>1</v>
      </c>
      <c r="AX20" s="208">
        <f t="shared" si="22"/>
        <v>49.1</v>
      </c>
      <c r="AY20" s="168">
        <f t="shared" si="23"/>
        <v>49</v>
      </c>
      <c r="AZ20" s="169"/>
      <c r="BA20" s="169"/>
      <c r="BC20" s="168">
        <f t="shared" ca="1" si="24"/>
        <v>14</v>
      </c>
      <c r="BD20" s="209">
        <f t="shared" ca="1" si="6"/>
        <v>49</v>
      </c>
      <c r="BF20" s="173" t="str">
        <f t="shared" ca="1" si="7"/>
        <v>Xcel Energy Inc.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XEL</v>
      </c>
    </row>
    <row r="21" spans="1:61" ht="13.8" x14ac:dyDescent="0.25">
      <c r="A21" s="223" t="s">
        <v>217</v>
      </c>
      <c r="B21" s="224" t="s">
        <v>140</v>
      </c>
      <c r="C21" s="224">
        <v>19</v>
      </c>
      <c r="D21" s="224" t="s">
        <v>218</v>
      </c>
      <c r="E21" s="225" t="str">
        <f t="shared" ca="1" si="8"/>
        <v>MR</v>
      </c>
      <c r="F21" s="348"/>
      <c r="G21" s="349">
        <f t="shared" ca="1" si="1"/>
        <v>7</v>
      </c>
      <c r="H21" s="350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261</v>
      </c>
      <c r="AR21" s="207" t="s">
        <v>140</v>
      </c>
      <c r="AS21" s="207">
        <v>19</v>
      </c>
      <c r="AT21" s="207" t="s">
        <v>262</v>
      </c>
      <c r="AV21" s="168">
        <f t="shared" si="21"/>
        <v>15</v>
      </c>
      <c r="AW21" s="168">
        <f>COUNTIF( AV$7:AV21, AV21 )</f>
        <v>6</v>
      </c>
      <c r="AX21" s="208">
        <f t="shared" si="22"/>
        <v>15.6</v>
      </c>
      <c r="AY21" s="168">
        <f t="shared" si="23"/>
        <v>20</v>
      </c>
      <c r="AZ21" s="169"/>
      <c r="BA21" s="169"/>
      <c r="BC21" s="168">
        <f t="shared" ca="1" si="24"/>
        <v>15</v>
      </c>
      <c r="BD21" s="209">
        <f t="shared" ca="1" si="6"/>
        <v>1</v>
      </c>
      <c r="BF21" s="173" t="str">
        <f t="shared" ca="1" si="7"/>
        <v>ALLETE, Inc.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ALE</v>
      </c>
    </row>
    <row r="22" spans="1:61" ht="13.8" x14ac:dyDescent="0.25">
      <c r="A22" s="223" t="s">
        <v>225</v>
      </c>
      <c r="B22" s="224" t="s">
        <v>140</v>
      </c>
      <c r="C22" s="224">
        <v>19</v>
      </c>
      <c r="D22" s="224" t="s">
        <v>226</v>
      </c>
      <c r="E22" s="225" t="str">
        <f t="shared" ca="1" si="8"/>
        <v>R</v>
      </c>
      <c r="F22" s="348"/>
      <c r="G22" s="349">
        <f t="shared" ca="1" si="1"/>
        <v>9</v>
      </c>
      <c r="H22" s="350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263</v>
      </c>
      <c r="AR22" s="207" t="s">
        <v>139</v>
      </c>
      <c r="AS22" s="207">
        <v>20</v>
      </c>
      <c r="AT22" s="207" t="s">
        <v>264</v>
      </c>
      <c r="AV22" s="168">
        <f t="shared" si="21"/>
        <v>3</v>
      </c>
      <c r="AW22" s="168">
        <f>COUNTIF( AV$7:AV22, AV22 )</f>
        <v>4</v>
      </c>
      <c r="AX22" s="208">
        <f t="shared" si="22"/>
        <v>3.4</v>
      </c>
      <c r="AY22" s="168">
        <f t="shared" si="23"/>
        <v>6</v>
      </c>
      <c r="AZ22" s="169"/>
      <c r="BA22" s="169"/>
      <c r="BC22" s="168">
        <f t="shared" ca="1" si="24"/>
        <v>16</v>
      </c>
      <c r="BD22" s="209">
        <f t="shared" ca="1" si="6"/>
        <v>3</v>
      </c>
      <c r="BF22" s="173" t="str">
        <f t="shared" ca="1" si="7"/>
        <v>Ameren Corporation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AEE</v>
      </c>
    </row>
    <row r="23" spans="1:61" ht="13.8" x14ac:dyDescent="0.25">
      <c r="A23" s="223" t="s">
        <v>233</v>
      </c>
      <c r="B23" s="224" t="s">
        <v>140</v>
      </c>
      <c r="C23" s="224">
        <v>19</v>
      </c>
      <c r="D23" s="224" t="s">
        <v>234</v>
      </c>
      <c r="E23" s="225" t="str">
        <f t="shared" ca="1" si="8"/>
        <v>MR</v>
      </c>
      <c r="F23" s="348"/>
      <c r="G23" s="349">
        <f t="shared" ca="1" si="1"/>
        <v>11</v>
      </c>
      <c r="H23" s="350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>
        <f t="shared" ca="1" si="3"/>
        <v>1</v>
      </c>
      <c r="AH23" s="169" t="str">
        <f t="shared" ca="1" si="18"/>
        <v/>
      </c>
      <c r="AJ23" s="169">
        <f t="shared" ca="1" si="19"/>
        <v>39</v>
      </c>
      <c r="AK23" s="169" t="str">
        <f t="shared" ca="1" si="20"/>
        <v>BBB</v>
      </c>
      <c r="AL23" s="169">
        <f t="shared" ca="1" si="20"/>
        <v>18</v>
      </c>
      <c r="AM23" s="169" t="str">
        <f t="shared" ca="1" si="4"/>
        <v>Change</v>
      </c>
      <c r="AQ23" s="207" t="s">
        <v>265</v>
      </c>
      <c r="AR23" s="207" t="s">
        <v>140</v>
      </c>
      <c r="AS23" s="207">
        <v>19</v>
      </c>
      <c r="AT23" s="207" t="s">
        <v>266</v>
      </c>
      <c r="AV23" s="168">
        <f t="shared" si="21"/>
        <v>15</v>
      </c>
      <c r="AW23" s="168">
        <f>COUNTIF( AV$7:AV23, AV23 )</f>
        <v>7</v>
      </c>
      <c r="AX23" s="208">
        <f t="shared" si="22"/>
        <v>15.7</v>
      </c>
      <c r="AY23" s="168">
        <f t="shared" si="23"/>
        <v>21</v>
      </c>
      <c r="AZ23" s="169"/>
      <c r="BA23" s="169"/>
      <c r="BC23" s="168">
        <f t="shared" ca="1" si="24"/>
        <v>17</v>
      </c>
      <c r="BD23" s="209">
        <f t="shared" ca="1" si="6"/>
        <v>5</v>
      </c>
      <c r="BF23" s="173" t="str">
        <f t="shared" ca="1" si="7"/>
        <v>AVANGRID, Inc.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AGR</v>
      </c>
    </row>
    <row r="24" spans="1:61" ht="13.8" x14ac:dyDescent="0.25">
      <c r="A24" s="223" t="s">
        <v>256</v>
      </c>
      <c r="B24" s="224" t="s">
        <v>140</v>
      </c>
      <c r="C24" s="224">
        <v>19</v>
      </c>
      <c r="D24" s="224" t="s">
        <v>257</v>
      </c>
      <c r="E24" s="225" t="str">
        <f t="shared" ca="1" si="8"/>
        <v>R</v>
      </c>
      <c r="F24" s="348"/>
      <c r="G24" s="349">
        <f t="shared" ca="1" si="1"/>
        <v>16</v>
      </c>
      <c r="H24" s="350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328</v>
      </c>
      <c r="AR24" s="207" t="s">
        <v>141</v>
      </c>
      <c r="AS24" s="207">
        <v>18</v>
      </c>
      <c r="AT24" s="207" t="s">
        <v>331</v>
      </c>
      <c r="AV24" s="168">
        <f t="shared" si="21"/>
        <v>32</v>
      </c>
      <c r="AW24" s="168">
        <f>COUNTIF( AV$7:AV24, AV24 )</f>
        <v>4</v>
      </c>
      <c r="AX24" s="208">
        <f t="shared" si="22"/>
        <v>32.4</v>
      </c>
      <c r="AY24" s="168">
        <f t="shared" si="23"/>
        <v>35</v>
      </c>
      <c r="AZ24" s="169"/>
      <c r="BA24" s="169"/>
      <c r="BC24" s="168">
        <f t="shared" ca="1" si="24"/>
        <v>18</v>
      </c>
      <c r="BD24" s="209">
        <f t="shared" ca="1" si="6"/>
        <v>11</v>
      </c>
      <c r="BF24" s="173" t="str">
        <f t="shared" ca="1" si="7"/>
        <v>CMS Energy Corporation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CMS</v>
      </c>
    </row>
    <row r="25" spans="1:61" ht="13.8" x14ac:dyDescent="0.25">
      <c r="A25" s="223" t="s">
        <v>361</v>
      </c>
      <c r="B25" s="224" t="s">
        <v>140</v>
      </c>
      <c r="C25" s="224">
        <v>19</v>
      </c>
      <c r="D25" s="224" t="s">
        <v>194</v>
      </c>
      <c r="E25" s="225" t="str">
        <f t="shared" ca="1" si="8"/>
        <v>MR</v>
      </c>
      <c r="F25" s="348"/>
      <c r="G25" s="349">
        <f t="shared" ca="1" si="1"/>
        <v>18</v>
      </c>
      <c r="H25" s="350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367</v>
      </c>
      <c r="AR25" s="207" t="s">
        <v>141</v>
      </c>
      <c r="AS25" s="207">
        <v>18</v>
      </c>
      <c r="AT25" s="207" t="s">
        <v>368</v>
      </c>
      <c r="AV25" s="168">
        <f t="shared" si="21"/>
        <v>32</v>
      </c>
      <c r="AW25" s="168">
        <f>COUNTIF( AV$7:AV25, AV25 )</f>
        <v>5</v>
      </c>
      <c r="AX25" s="208">
        <f t="shared" si="22"/>
        <v>32.5</v>
      </c>
      <c r="AY25" s="168">
        <f t="shared" si="23"/>
        <v>36</v>
      </c>
      <c r="AZ25" s="169"/>
      <c r="BA25" s="169"/>
      <c r="BC25" s="168">
        <f t="shared" ca="1" si="24"/>
        <v>19</v>
      </c>
      <c r="BD25" s="209">
        <f t="shared" ca="1" si="6"/>
        <v>13</v>
      </c>
      <c r="BF25" s="173" t="str">
        <f t="shared" ca="1" si="7"/>
        <v>Dominion Resources, Inc.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D</v>
      </c>
    </row>
    <row r="26" spans="1:61" ht="13.8" x14ac:dyDescent="0.25">
      <c r="A26" s="223" t="s">
        <v>261</v>
      </c>
      <c r="B26" s="224" t="s">
        <v>140</v>
      </c>
      <c r="C26" s="224">
        <v>19</v>
      </c>
      <c r="D26" s="224" t="s">
        <v>262</v>
      </c>
      <c r="E26" s="225" t="str">
        <f t="shared" ca="1" si="8"/>
        <v>R</v>
      </c>
      <c r="F26" s="348"/>
      <c r="G26" s="349">
        <f t="shared" ca="1" si="1"/>
        <v>19</v>
      </c>
      <c r="H26" s="350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267</v>
      </c>
      <c r="AR26" s="207" t="s">
        <v>141</v>
      </c>
      <c r="AS26" s="207">
        <v>18</v>
      </c>
      <c r="AT26" s="207" t="s">
        <v>268</v>
      </c>
      <c r="AV26" s="168">
        <f t="shared" si="21"/>
        <v>32</v>
      </c>
      <c r="AW26" s="168">
        <f>COUNTIF( AV$7:AV26, AV26 )</f>
        <v>6</v>
      </c>
      <c r="AX26" s="208">
        <f t="shared" si="22"/>
        <v>32.6</v>
      </c>
      <c r="AY26" s="168">
        <f t="shared" si="23"/>
        <v>37</v>
      </c>
      <c r="AZ26" s="169"/>
      <c r="BA26" s="169"/>
      <c r="BC26" s="168">
        <f t="shared" ca="1" si="24"/>
        <v>20</v>
      </c>
      <c r="BD26" s="209">
        <f t="shared" ca="1" si="6"/>
        <v>15</v>
      </c>
      <c r="BF26" s="173" t="str">
        <f t="shared" ca="1" si="7"/>
        <v>DTE Energy Company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DTE</v>
      </c>
    </row>
    <row r="27" spans="1:61" ht="13.8" x14ac:dyDescent="0.25">
      <c r="A27" s="223" t="s">
        <v>265</v>
      </c>
      <c r="B27" s="224" t="s">
        <v>140</v>
      </c>
      <c r="C27" s="224">
        <v>19</v>
      </c>
      <c r="D27" s="224" t="s">
        <v>266</v>
      </c>
      <c r="E27" s="225" t="str">
        <f t="shared" ca="1" si="8"/>
        <v>R</v>
      </c>
      <c r="F27" s="348"/>
      <c r="G27" s="349">
        <f t="shared" ca="1" si="1"/>
        <v>21</v>
      </c>
      <c r="H27" s="350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235</v>
      </c>
      <c r="AR27" s="207" t="s">
        <v>166</v>
      </c>
      <c r="AS27" s="207">
        <v>21</v>
      </c>
      <c r="AT27" s="207" t="s">
        <v>236</v>
      </c>
      <c r="AV27" s="168">
        <f t="shared" si="21"/>
        <v>1</v>
      </c>
      <c r="AW27" s="168">
        <f>COUNTIF( AV$7:AV27, AV27 )</f>
        <v>2</v>
      </c>
      <c r="AX27" s="208">
        <f t="shared" si="22"/>
        <v>1.2</v>
      </c>
      <c r="AY27" s="168">
        <f t="shared" si="23"/>
        <v>2</v>
      </c>
      <c r="AZ27" s="169"/>
      <c r="BA27" s="169"/>
      <c r="BC27" s="168">
        <f t="shared" ca="1" si="24"/>
        <v>21</v>
      </c>
      <c r="BD27" s="209">
        <f t="shared" ca="1" si="6"/>
        <v>17</v>
      </c>
      <c r="BF27" s="173" t="str">
        <f t="shared" ca="1" si="7"/>
        <v>Edison International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EIX</v>
      </c>
    </row>
    <row r="28" spans="1:61" ht="13.8" x14ac:dyDescent="0.25">
      <c r="A28" s="223" t="s">
        <v>352</v>
      </c>
      <c r="B28" s="224" t="s">
        <v>140</v>
      </c>
      <c r="C28" s="224">
        <v>19</v>
      </c>
      <c r="D28" s="224" t="s">
        <v>353</v>
      </c>
      <c r="E28" s="225" t="str">
        <f t="shared" ca="1" si="8"/>
        <v>R</v>
      </c>
      <c r="F28" s="348"/>
      <c r="G28" s="349">
        <f t="shared" ca="1" si="1"/>
        <v>28</v>
      </c>
      <c r="H28" s="350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269</v>
      </c>
      <c r="AR28" s="207" t="s">
        <v>141</v>
      </c>
      <c r="AS28" s="207">
        <v>18</v>
      </c>
      <c r="AT28" s="207" t="s">
        <v>270</v>
      </c>
      <c r="AV28" s="168">
        <f t="shared" si="21"/>
        <v>32</v>
      </c>
      <c r="AW28" s="168">
        <f>COUNTIF( AV$7:AV28, AV28 )</f>
        <v>7</v>
      </c>
      <c r="AX28" s="208">
        <f t="shared" si="22"/>
        <v>32.700000000000003</v>
      </c>
      <c r="AY28" s="168">
        <f t="shared" si="23"/>
        <v>38</v>
      </c>
      <c r="AZ28" s="169"/>
      <c r="BA28" s="169"/>
      <c r="BC28" s="168">
        <f t="shared" ca="1" si="24"/>
        <v>22</v>
      </c>
      <c r="BD28" s="209">
        <f t="shared" ca="1" si="6"/>
        <v>24</v>
      </c>
      <c r="BF28" s="173" t="str">
        <f t="shared" ca="1" si="7"/>
        <v>Great Plains Energy Inc.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GXP</v>
      </c>
    </row>
    <row r="29" spans="1:61" ht="13.8" x14ac:dyDescent="0.25">
      <c r="A29" s="223" t="s">
        <v>271</v>
      </c>
      <c r="B29" s="224" t="s">
        <v>140</v>
      </c>
      <c r="C29" s="224">
        <v>19</v>
      </c>
      <c r="D29" s="224" t="s">
        <v>272</v>
      </c>
      <c r="E29" s="225" t="str">
        <f t="shared" ca="1" si="8"/>
        <v>MR</v>
      </c>
      <c r="F29" s="348"/>
      <c r="G29" s="349">
        <f t="shared" ca="1" si="1"/>
        <v>31</v>
      </c>
      <c r="H29" s="350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275</v>
      </c>
      <c r="AR29" s="207" t="s">
        <v>142</v>
      </c>
      <c r="AS29" s="207">
        <v>17</v>
      </c>
      <c r="AT29" s="207" t="s">
        <v>276</v>
      </c>
      <c r="AV29" s="168">
        <f t="shared" si="21"/>
        <v>44</v>
      </c>
      <c r="AW29" s="168">
        <f>COUNTIF( AV$7:AV29, AV29 )</f>
        <v>2</v>
      </c>
      <c r="AX29" s="208">
        <f t="shared" si="22"/>
        <v>44.2</v>
      </c>
      <c r="AY29" s="168">
        <f t="shared" si="23"/>
        <v>45</v>
      </c>
      <c r="AZ29" s="169"/>
      <c r="BA29" s="169"/>
      <c r="BC29" s="168">
        <f t="shared" ca="1" si="24"/>
        <v>23</v>
      </c>
      <c r="BD29" s="209">
        <f t="shared" ca="1" si="6"/>
        <v>28</v>
      </c>
      <c r="BF29" s="173" t="str">
        <f t="shared" ca="1" si="7"/>
        <v>MDU Resources Group, Inc.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MDU</v>
      </c>
    </row>
    <row r="30" spans="1:61" ht="13.8" x14ac:dyDescent="0.25">
      <c r="A30" s="223" t="s">
        <v>273</v>
      </c>
      <c r="B30" s="224" t="s">
        <v>140</v>
      </c>
      <c r="C30" s="224">
        <v>19</v>
      </c>
      <c r="D30" s="224" t="s">
        <v>274</v>
      </c>
      <c r="E30" s="225" t="str">
        <f t="shared" ca="1" si="8"/>
        <v>R</v>
      </c>
      <c r="F30" s="348"/>
      <c r="G30" s="349">
        <f t="shared" ca="1" si="1"/>
        <v>34</v>
      </c>
      <c r="H30" s="350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352</v>
      </c>
      <c r="AR30" s="207" t="s">
        <v>140</v>
      </c>
      <c r="AS30" s="207">
        <v>19</v>
      </c>
      <c r="AT30" s="207" t="s">
        <v>353</v>
      </c>
      <c r="AV30" s="168">
        <f t="shared" si="21"/>
        <v>15</v>
      </c>
      <c r="AW30" s="168">
        <f>COUNTIF( AV$7:AV30, AV30 )</f>
        <v>8</v>
      </c>
      <c r="AX30" s="208">
        <f t="shared" si="22"/>
        <v>15.8</v>
      </c>
      <c r="AY30" s="168">
        <f t="shared" si="23"/>
        <v>22</v>
      </c>
      <c r="AZ30" s="169"/>
      <c r="BA30" s="169"/>
      <c r="BC30" s="168">
        <f t="shared" ca="1" si="24"/>
        <v>24</v>
      </c>
      <c r="BD30" s="209">
        <f t="shared" ca="1" si="6"/>
        <v>30</v>
      </c>
      <c r="BF30" s="173" t="str">
        <f t="shared" ca="1" si="7"/>
        <v>NiSource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NI</v>
      </c>
    </row>
    <row r="31" spans="1:61" ht="13.8" x14ac:dyDescent="0.25">
      <c r="A31" s="223" t="s">
        <v>303</v>
      </c>
      <c r="B31" s="224" t="s">
        <v>140</v>
      </c>
      <c r="C31" s="224">
        <v>19</v>
      </c>
      <c r="D31" s="224" t="s">
        <v>304</v>
      </c>
      <c r="E31" s="225" t="str">
        <f t="shared" ca="1" si="8"/>
        <v>R</v>
      </c>
      <c r="F31" s="348"/>
      <c r="G31" s="349">
        <f t="shared" ca="1" si="1"/>
        <v>40</v>
      </c>
      <c r="H31" s="350"/>
      <c r="I31" s="237"/>
      <c r="J31" s="191"/>
      <c r="K31" s="237"/>
      <c r="N31" s="237"/>
      <c r="O31" s="351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279</v>
      </c>
      <c r="AR31" s="207" t="s">
        <v>142</v>
      </c>
      <c r="AS31" s="207">
        <v>17</v>
      </c>
      <c r="AT31" s="207" t="s">
        <v>280</v>
      </c>
      <c r="AV31" s="168">
        <f t="shared" si="21"/>
        <v>44</v>
      </c>
      <c r="AW31" s="168">
        <f>COUNTIF( AV$7:AV31, AV31 )</f>
        <v>3</v>
      </c>
      <c r="AX31" s="208">
        <f t="shared" si="22"/>
        <v>44.3</v>
      </c>
      <c r="AY31" s="168">
        <f t="shared" si="23"/>
        <v>46</v>
      </c>
      <c r="AZ31" s="169"/>
      <c r="BA31" s="169"/>
      <c r="BC31" s="168">
        <f t="shared" ca="1" si="24"/>
        <v>25</v>
      </c>
      <c r="BD31" s="209">
        <f t="shared" ca="1" si="6"/>
        <v>36</v>
      </c>
      <c r="BF31" s="173" t="str">
        <f t="shared" ca="1" si="7"/>
        <v>PNM Resources,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PNM</v>
      </c>
    </row>
    <row r="32" spans="1:61" ht="13.8" x14ac:dyDescent="0.25">
      <c r="A32" s="223" t="s">
        <v>289</v>
      </c>
      <c r="B32" s="224" t="s">
        <v>140</v>
      </c>
      <c r="C32" s="224">
        <v>19</v>
      </c>
      <c r="D32" s="224" t="s">
        <v>290</v>
      </c>
      <c r="E32" s="225" t="str">
        <f t="shared" ca="1" si="8"/>
        <v>MR</v>
      </c>
      <c r="F32" s="348"/>
      <c r="G32" s="349">
        <f t="shared" ca="1" si="1"/>
        <v>43</v>
      </c>
      <c r="H32" s="350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32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283</v>
      </c>
      <c r="AR32" s="207" t="s">
        <v>141</v>
      </c>
      <c r="AS32" s="207">
        <v>18</v>
      </c>
      <c r="AT32" s="207" t="s">
        <v>284</v>
      </c>
      <c r="AV32" s="168">
        <f t="shared" si="21"/>
        <v>32</v>
      </c>
      <c r="AW32" s="168">
        <f>COUNTIF( AV$7:AV32, AV32 )</f>
        <v>8</v>
      </c>
      <c r="AX32" s="208">
        <f t="shared" si="22"/>
        <v>32.799999999999997</v>
      </c>
      <c r="AY32" s="168">
        <f t="shared" si="23"/>
        <v>39</v>
      </c>
      <c r="AZ32" s="169"/>
      <c r="BA32" s="169"/>
      <c r="BC32" s="168">
        <f t="shared" ca="1" si="24"/>
        <v>26</v>
      </c>
      <c r="BD32" s="209">
        <f t="shared" ca="1" si="6"/>
        <v>39</v>
      </c>
      <c r="BF32" s="173" t="str">
        <f t="shared" ca="1" si="7"/>
        <v>Public Service Enterprise Group Incorporated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PEG</v>
      </c>
    </row>
    <row r="33" spans="1:61" ht="13.8" x14ac:dyDescent="0.25">
      <c r="A33" s="223" t="s">
        <v>347</v>
      </c>
      <c r="B33" s="224" t="s">
        <v>140</v>
      </c>
      <c r="C33" s="224">
        <v>19</v>
      </c>
      <c r="D33" s="224" t="s">
        <v>348</v>
      </c>
      <c r="E33" s="225" t="str">
        <f t="shared" ca="1" si="8"/>
        <v>MR</v>
      </c>
      <c r="F33" s="348"/>
      <c r="G33" s="349">
        <f t="shared" ca="1" si="1"/>
        <v>44</v>
      </c>
      <c r="H33" s="350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33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287</v>
      </c>
      <c r="AR33" s="207" t="s">
        <v>142</v>
      </c>
      <c r="AS33" s="207">
        <v>17</v>
      </c>
      <c r="AT33" s="207" t="s">
        <v>288</v>
      </c>
      <c r="AV33" s="168">
        <f t="shared" si="21"/>
        <v>44</v>
      </c>
      <c r="AW33" s="168">
        <f>COUNTIF( AV$7:AV33, AV33 )</f>
        <v>4</v>
      </c>
      <c r="AX33" s="208">
        <f t="shared" si="22"/>
        <v>44.4</v>
      </c>
      <c r="AY33" s="168">
        <f t="shared" si="23"/>
        <v>47</v>
      </c>
      <c r="AZ33" s="169"/>
      <c r="BA33" s="169"/>
      <c r="BC33" s="168">
        <f t="shared" ca="1" si="24"/>
        <v>27</v>
      </c>
      <c r="BD33" s="209">
        <f t="shared" ca="1" si="6"/>
        <v>41</v>
      </c>
      <c r="BF33" s="173" t="str">
        <f t="shared" ca="1" si="7"/>
        <v>SCANA Corporation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SCG</v>
      </c>
    </row>
    <row r="34" spans="1:61" ht="13.8" x14ac:dyDescent="0.25">
      <c r="A34" s="223" t="s">
        <v>291</v>
      </c>
      <c r="B34" s="224" t="s">
        <v>140</v>
      </c>
      <c r="C34" s="224">
        <v>19</v>
      </c>
      <c r="D34" s="224" t="s">
        <v>292</v>
      </c>
      <c r="E34" s="225" t="str">
        <f t="shared" ca="1" si="8"/>
        <v>MR</v>
      </c>
      <c r="F34" s="348"/>
      <c r="G34" s="349">
        <f t="shared" ca="1" si="1"/>
        <v>45</v>
      </c>
      <c r="H34" s="350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34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271</v>
      </c>
      <c r="AR34" s="207" t="s">
        <v>140</v>
      </c>
      <c r="AS34" s="207">
        <v>19</v>
      </c>
      <c r="AT34" s="207" t="s">
        <v>272</v>
      </c>
      <c r="AV34" s="168">
        <f t="shared" si="21"/>
        <v>15</v>
      </c>
      <c r="AW34" s="168">
        <f>COUNTIF( AV$7:AV34, AV34 )</f>
        <v>9</v>
      </c>
      <c r="AX34" s="208">
        <f t="shared" si="22"/>
        <v>15.9</v>
      </c>
      <c r="AY34" s="168">
        <f t="shared" si="23"/>
        <v>23</v>
      </c>
      <c r="AZ34" s="169"/>
      <c r="BA34" s="169"/>
      <c r="BC34" s="168">
        <f t="shared" ca="1" si="24"/>
        <v>28</v>
      </c>
      <c r="BD34" s="209">
        <f t="shared" ca="1" si="6"/>
        <v>42</v>
      </c>
      <c r="BF34" s="173" t="str">
        <f t="shared" ca="1" si="7"/>
        <v>Sempra Energy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SRE</v>
      </c>
    </row>
    <row r="35" spans="1:61" ht="13.8" x14ac:dyDescent="0.25">
      <c r="A35" s="223" t="s">
        <v>369</v>
      </c>
      <c r="B35" s="224" t="s">
        <v>140</v>
      </c>
      <c r="C35" s="224">
        <v>19</v>
      </c>
      <c r="D35" s="224" t="s">
        <v>375</v>
      </c>
      <c r="E35" s="225" t="str">
        <f t="shared" ca="1" si="8"/>
        <v>R</v>
      </c>
      <c r="F35" s="348"/>
      <c r="G35" s="349">
        <f t="shared" ca="1" si="1"/>
        <v>47</v>
      </c>
      <c r="H35" s="350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35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240</v>
      </c>
      <c r="AR35" s="207" t="s">
        <v>139</v>
      </c>
      <c r="AS35" s="207">
        <v>20</v>
      </c>
      <c r="AT35" s="207" t="s">
        <v>241</v>
      </c>
      <c r="AV35" s="168">
        <f t="shared" si="21"/>
        <v>3</v>
      </c>
      <c r="AW35" s="168">
        <f>COUNTIF( AV$7:AV35, AV35 )</f>
        <v>5</v>
      </c>
      <c r="AX35" s="208">
        <f t="shared" si="22"/>
        <v>3.5</v>
      </c>
      <c r="AY35" s="168">
        <f t="shared" si="23"/>
        <v>7</v>
      </c>
      <c r="AZ35" s="169"/>
      <c r="BA35" s="169"/>
      <c r="BC35" s="168">
        <f t="shared" ca="1" si="24"/>
        <v>29</v>
      </c>
      <c r="BD35" s="209">
        <f t="shared" ca="1" si="6"/>
        <v>44</v>
      </c>
      <c r="BF35" s="173" t="str">
        <f t="shared" ca="1" si="7"/>
        <v>TECO Energy, Inc.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TE</v>
      </c>
    </row>
    <row r="36" spans="1:61" ht="13.8" x14ac:dyDescent="0.25">
      <c r="A36" s="223" t="s">
        <v>295</v>
      </c>
      <c r="B36" s="224" t="s">
        <v>140</v>
      </c>
      <c r="C36" s="224">
        <v>19</v>
      </c>
      <c r="D36" s="224" t="s">
        <v>296</v>
      </c>
      <c r="E36" s="225" t="str">
        <f t="shared" ca="1" si="8"/>
        <v>R</v>
      </c>
      <c r="F36" s="348"/>
      <c r="G36" s="349">
        <f t="shared" ca="1" si="1"/>
        <v>48</v>
      </c>
      <c r="H36" s="350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36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273</v>
      </c>
      <c r="AR36" s="207" t="s">
        <v>140</v>
      </c>
      <c r="AS36" s="207">
        <v>19</v>
      </c>
      <c r="AT36" s="207" t="s">
        <v>274</v>
      </c>
      <c r="AV36" s="168">
        <f t="shared" si="21"/>
        <v>15</v>
      </c>
      <c r="AW36" s="168">
        <f>COUNTIF( AV$7:AV36, AV36 )</f>
        <v>10</v>
      </c>
      <c r="AX36" s="208">
        <f t="shared" si="22"/>
        <v>16</v>
      </c>
      <c r="AY36" s="168">
        <f t="shared" si="23"/>
        <v>24</v>
      </c>
      <c r="AZ36" s="169"/>
      <c r="BA36" s="169"/>
      <c r="BC36" s="168">
        <f t="shared" ca="1" si="24"/>
        <v>30</v>
      </c>
      <c r="BD36" s="209">
        <f t="shared" ca="1" si="6"/>
        <v>45</v>
      </c>
      <c r="BF36" s="173" t="str">
        <f t="shared" ca="1" si="7"/>
        <v>Unitil Corporation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*UTL</v>
      </c>
    </row>
    <row r="37" spans="1:61" ht="13.8" x14ac:dyDescent="0.25">
      <c r="A37" s="223" t="s">
        <v>354</v>
      </c>
      <c r="B37" s="224" t="s">
        <v>140</v>
      </c>
      <c r="C37" s="224">
        <v>19</v>
      </c>
      <c r="D37" s="224" t="s">
        <v>355</v>
      </c>
      <c r="E37" s="225" t="str">
        <f t="shared" ca="1" si="8"/>
        <v>R</v>
      </c>
      <c r="F37" s="348"/>
      <c r="G37" s="349">
        <f t="shared" ca="1" si="1"/>
        <v>51</v>
      </c>
      <c r="H37" s="350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37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297</v>
      </c>
      <c r="AR37" s="207" t="s">
        <v>141</v>
      </c>
      <c r="AS37" s="207">
        <v>18</v>
      </c>
      <c r="AT37" s="207" t="s">
        <v>298</v>
      </c>
      <c r="AV37" s="168">
        <f t="shared" si="21"/>
        <v>32</v>
      </c>
      <c r="AW37" s="168">
        <f>COUNTIF( AV$7:AV37, AV37 )</f>
        <v>9</v>
      </c>
      <c r="AX37" s="208">
        <f t="shared" si="22"/>
        <v>32.9</v>
      </c>
      <c r="AY37" s="168">
        <f t="shared" si="23"/>
        <v>40</v>
      </c>
      <c r="AZ37" s="169"/>
      <c r="BA37" s="169"/>
      <c r="BC37" s="168">
        <f t="shared" ca="1" si="24"/>
        <v>31</v>
      </c>
      <c r="BD37" s="209">
        <f t="shared" ca="1" si="6"/>
        <v>47</v>
      </c>
      <c r="BF37" s="173" t="str">
        <f t="shared" ca="1" si="7"/>
        <v>Westar Energy, Inc.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WR</v>
      </c>
    </row>
    <row r="38" spans="1:61" ht="13.8" x14ac:dyDescent="0.25">
      <c r="A38" s="223" t="s">
        <v>222</v>
      </c>
      <c r="B38" s="224" t="s">
        <v>141</v>
      </c>
      <c r="C38" s="224">
        <v>18</v>
      </c>
      <c r="D38" s="224" t="s">
        <v>223</v>
      </c>
      <c r="E38" s="225" t="str">
        <f t="shared" ca="1" si="8"/>
        <v>R</v>
      </c>
      <c r="F38" s="348"/>
      <c r="G38" s="349">
        <f t="shared" ca="1" si="1"/>
        <v>10</v>
      </c>
      <c r="H38" s="350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38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277</v>
      </c>
      <c r="AR38" s="207" t="s">
        <v>139</v>
      </c>
      <c r="AS38" s="207">
        <v>20</v>
      </c>
      <c r="AT38" s="207" t="s">
        <v>278</v>
      </c>
      <c r="AV38" s="168">
        <f t="shared" si="21"/>
        <v>3</v>
      </c>
      <c r="AW38" s="168">
        <f>COUNTIF( AV$7:AV38, AV38 )</f>
        <v>6</v>
      </c>
      <c r="AX38" s="208">
        <f t="shared" si="22"/>
        <v>3.6</v>
      </c>
      <c r="AY38" s="168">
        <f t="shared" si="23"/>
        <v>8</v>
      </c>
      <c r="AZ38" s="169"/>
      <c r="BA38" s="169"/>
      <c r="BC38" s="168">
        <f t="shared" ca="1" si="24"/>
        <v>32</v>
      </c>
      <c r="BD38" s="209">
        <f t="shared" ca="1" si="6"/>
        <v>4</v>
      </c>
      <c r="BF38" s="173" t="str">
        <f t="shared" ca="1" si="7"/>
        <v>American Electric Power Company, Inc.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AEP</v>
      </c>
    </row>
    <row r="39" spans="1:61" ht="13.8" x14ac:dyDescent="0.25">
      <c r="A39" s="223" t="s">
        <v>238</v>
      </c>
      <c r="B39" s="224" t="s">
        <v>141</v>
      </c>
      <c r="C39" s="224">
        <v>18</v>
      </c>
      <c r="D39" s="224" t="s">
        <v>239</v>
      </c>
      <c r="E39" s="225" t="str">
        <f t="shared" ca="1" si="8"/>
        <v>R</v>
      </c>
      <c r="F39" s="348"/>
      <c r="G39" s="349">
        <f t="shared" ca="1" si="1"/>
        <v>12</v>
      </c>
      <c r="H39" s="350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40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299</v>
      </c>
      <c r="AR39" s="207" t="s">
        <v>141</v>
      </c>
      <c r="AS39" s="207">
        <v>18</v>
      </c>
      <c r="AT39" s="207" t="s">
        <v>300</v>
      </c>
      <c r="AV39" s="168">
        <f t="shared" si="21"/>
        <v>32</v>
      </c>
      <c r="AW39" s="168">
        <f>COUNTIF( AV$7:AV39, AV39 )</f>
        <v>10</v>
      </c>
      <c r="AX39" s="208">
        <f t="shared" si="22"/>
        <v>33</v>
      </c>
      <c r="AY39" s="168">
        <f t="shared" si="23"/>
        <v>41</v>
      </c>
      <c r="AZ39" s="169"/>
      <c r="BA39" s="169"/>
      <c r="BC39" s="168">
        <f t="shared" ca="1" si="24"/>
        <v>33</v>
      </c>
      <c r="BD39" s="209">
        <f t="shared" ca="1" si="6"/>
        <v>6</v>
      </c>
      <c r="BF39" s="173" t="str">
        <f t="shared" ref="BF39:BI63" ca="1" si="25">OFFSET( AQ$6, $BD39, 0 )</f>
        <v>Avista Corporation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AVA</v>
      </c>
    </row>
    <row r="40" spans="1:61" ht="13.8" x14ac:dyDescent="0.25">
      <c r="A40" s="223" t="s">
        <v>245</v>
      </c>
      <c r="B40" s="224" t="s">
        <v>141</v>
      </c>
      <c r="C40" s="224">
        <v>18</v>
      </c>
      <c r="D40" s="224" t="s">
        <v>246</v>
      </c>
      <c r="E40" s="225" t="str">
        <f t="shared" ca="1" si="8"/>
        <v>R</v>
      </c>
      <c r="F40" s="348"/>
      <c r="G40" s="349">
        <f t="shared" ca="1" si="1"/>
        <v>13</v>
      </c>
      <c r="H40" s="350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41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301</v>
      </c>
      <c r="AR40" s="207" t="s">
        <v>141</v>
      </c>
      <c r="AS40" s="207">
        <v>18</v>
      </c>
      <c r="AT40" s="207" t="s">
        <v>302</v>
      </c>
      <c r="AV40" s="168">
        <f t="shared" si="21"/>
        <v>32</v>
      </c>
      <c r="AW40" s="168">
        <f>COUNTIF( AV$7:AV40, AV40 )</f>
        <v>11</v>
      </c>
      <c r="AX40" s="208">
        <f t="shared" si="22"/>
        <v>33.1</v>
      </c>
      <c r="AY40" s="168">
        <f t="shared" si="23"/>
        <v>42</v>
      </c>
      <c r="AZ40" s="169"/>
      <c r="BA40" s="169"/>
      <c r="BC40" s="168">
        <f t="shared" ca="1" si="24"/>
        <v>34</v>
      </c>
      <c r="BD40" s="209">
        <f t="shared" ca="1" si="6"/>
        <v>8</v>
      </c>
      <c r="BF40" s="173" t="str">
        <f t="shared" ca="1" si="25"/>
        <v>Black Hills Corporation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BKH</v>
      </c>
    </row>
    <row r="41" spans="1:61" ht="13.8" x14ac:dyDescent="0.25">
      <c r="A41" s="223" t="s">
        <v>328</v>
      </c>
      <c r="B41" s="224" t="s">
        <v>141</v>
      </c>
      <c r="C41" s="224">
        <v>18</v>
      </c>
      <c r="D41" s="224" t="s">
        <v>331</v>
      </c>
      <c r="E41" s="225" t="str">
        <f t="shared" ca="1" si="8"/>
        <v>R</v>
      </c>
      <c r="F41" s="348"/>
      <c r="G41" s="349">
        <f t="shared" ca="1" si="1"/>
        <v>22</v>
      </c>
      <c r="H41" s="350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42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281</v>
      </c>
      <c r="AR41" s="207" t="s">
        <v>139</v>
      </c>
      <c r="AS41" s="207">
        <v>20</v>
      </c>
      <c r="AT41" s="207" t="s">
        <v>282</v>
      </c>
      <c r="AV41" s="168">
        <f t="shared" si="21"/>
        <v>3</v>
      </c>
      <c r="AW41" s="168">
        <f>COUNTIF( AV$7:AV41, AV41 )</f>
        <v>7</v>
      </c>
      <c r="AX41" s="208">
        <f t="shared" si="22"/>
        <v>3.7</v>
      </c>
      <c r="AY41" s="168">
        <f t="shared" si="23"/>
        <v>9</v>
      </c>
      <c r="AZ41" s="169"/>
      <c r="BA41" s="169"/>
      <c r="BC41" s="168">
        <f t="shared" ca="1" si="24"/>
        <v>35</v>
      </c>
      <c r="BD41" s="209">
        <f t="shared" ca="1" si="6"/>
        <v>18</v>
      </c>
      <c r="BF41" s="173" t="str">
        <f t="shared" ca="1" si="25"/>
        <v>El Paso Electric Company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EE</v>
      </c>
    </row>
    <row r="42" spans="1:61" ht="13.8" x14ac:dyDescent="0.25">
      <c r="A42" s="223" t="s">
        <v>367</v>
      </c>
      <c r="B42" s="224" t="s">
        <v>141</v>
      </c>
      <c r="C42" s="224">
        <v>18</v>
      </c>
      <c r="D42" s="224" t="s">
        <v>368</v>
      </c>
      <c r="E42" s="225" t="str">
        <f t="shared" ca="1" si="8"/>
        <v>R</v>
      </c>
      <c r="F42" s="348"/>
      <c r="G42" s="349">
        <f t="shared" ca="1" si="1"/>
        <v>23</v>
      </c>
      <c r="H42" s="350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43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303</v>
      </c>
      <c r="AR42" s="207" t="s">
        <v>140</v>
      </c>
      <c r="AS42" s="207">
        <v>19</v>
      </c>
      <c r="AT42" s="207" t="s">
        <v>304</v>
      </c>
      <c r="AV42" s="168">
        <f t="shared" si="21"/>
        <v>15</v>
      </c>
      <c r="AW42" s="168">
        <f>COUNTIF( AV$7:AV42, AV42 )</f>
        <v>11</v>
      </c>
      <c r="AX42" s="208">
        <f t="shared" si="22"/>
        <v>16.100000000000001</v>
      </c>
      <c r="AY42" s="168">
        <f t="shared" si="23"/>
        <v>25</v>
      </c>
      <c r="AZ42" s="169"/>
      <c r="BA42" s="169"/>
      <c r="BC42" s="168">
        <f t="shared" ca="1" si="24"/>
        <v>36</v>
      </c>
      <c r="BD42" s="209">
        <f t="shared" ca="1" si="6"/>
        <v>19</v>
      </c>
      <c r="BF42" s="173" t="str">
        <f t="shared" ca="1" si="25"/>
        <v>Empire District Electric Company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EDE</v>
      </c>
    </row>
    <row r="43" spans="1:61" ht="13.8" x14ac:dyDescent="0.25">
      <c r="A43" s="223" t="s">
        <v>267</v>
      </c>
      <c r="B43" s="224" t="s">
        <v>141</v>
      </c>
      <c r="C43" s="224">
        <v>18</v>
      </c>
      <c r="D43" s="224" t="s">
        <v>268</v>
      </c>
      <c r="E43" s="225" t="str">
        <f t="shared" ca="1" si="8"/>
        <v>R</v>
      </c>
      <c r="F43" s="348"/>
      <c r="G43" s="349">
        <f t="shared" ca="1" si="1"/>
        <v>24</v>
      </c>
      <c r="H43" s="350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44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285</v>
      </c>
      <c r="AR43" s="207" t="s">
        <v>141</v>
      </c>
      <c r="AS43" s="207">
        <v>18</v>
      </c>
      <c r="AT43" s="207" t="s">
        <v>286</v>
      </c>
      <c r="AV43" s="168">
        <f t="shared" si="21"/>
        <v>32</v>
      </c>
      <c r="AW43" s="168">
        <f>COUNTIF( AV$7:AV43, AV43 )</f>
        <v>12</v>
      </c>
      <c r="AX43" s="208">
        <f t="shared" si="22"/>
        <v>33.200000000000003</v>
      </c>
      <c r="AY43" s="168">
        <f t="shared" si="23"/>
        <v>43</v>
      </c>
      <c r="AZ43" s="169"/>
      <c r="BA43" s="169"/>
      <c r="BC43" s="168">
        <f t="shared" ca="1" si="24"/>
        <v>37</v>
      </c>
      <c r="BD43" s="209">
        <f t="shared" ca="1" si="6"/>
        <v>20</v>
      </c>
      <c r="BF43" s="173" t="str">
        <f t="shared" ca="1" si="25"/>
        <v>Entergy Corporation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ETR</v>
      </c>
    </row>
    <row r="44" spans="1:61" ht="13.8" x14ac:dyDescent="0.25">
      <c r="A44" s="223" t="s">
        <v>269</v>
      </c>
      <c r="B44" s="224" t="s">
        <v>141</v>
      </c>
      <c r="C44" s="224">
        <v>18</v>
      </c>
      <c r="D44" s="224" t="s">
        <v>270</v>
      </c>
      <c r="E44" s="225" t="str">
        <f t="shared" ca="1" si="8"/>
        <v>D</v>
      </c>
      <c r="F44" s="348"/>
      <c r="G44" s="349">
        <f t="shared" ca="1" si="1"/>
        <v>26</v>
      </c>
      <c r="H44" s="350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45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243</v>
      </c>
      <c r="AR44" s="207" t="s">
        <v>139</v>
      </c>
      <c r="AS44" s="207">
        <v>20</v>
      </c>
      <c r="AT44" s="207" t="s">
        <v>244</v>
      </c>
      <c r="AV44" s="168">
        <f t="shared" si="21"/>
        <v>3</v>
      </c>
      <c r="AW44" s="168">
        <f>COUNTIF( AV$7:AV44, AV44 )</f>
        <v>8</v>
      </c>
      <c r="AX44" s="208">
        <f t="shared" si="22"/>
        <v>3.8</v>
      </c>
      <c r="AY44" s="168">
        <f t="shared" si="23"/>
        <v>10</v>
      </c>
      <c r="AZ44" s="169"/>
      <c r="BA44" s="169"/>
      <c r="BC44" s="168">
        <f t="shared" ca="1" si="24"/>
        <v>38</v>
      </c>
      <c r="BD44" s="209">
        <f t="shared" ca="1" si="6"/>
        <v>22</v>
      </c>
      <c r="BF44" s="173" t="str">
        <f t="shared" ca="1" si="25"/>
        <v>Exelon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EXC</v>
      </c>
    </row>
    <row r="45" spans="1:61" ht="13.8" x14ac:dyDescent="0.25">
      <c r="A45" s="223" t="s">
        <v>283</v>
      </c>
      <c r="B45" s="224" t="s">
        <v>141</v>
      </c>
      <c r="C45" s="224">
        <v>18</v>
      </c>
      <c r="D45" s="224" t="s">
        <v>284</v>
      </c>
      <c r="E45" s="225" t="str">
        <f t="shared" ca="1" si="8"/>
        <v>R</v>
      </c>
      <c r="F45" s="348"/>
      <c r="G45" s="349">
        <f t="shared" ca="1" si="1"/>
        <v>30</v>
      </c>
      <c r="H45" s="350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46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289</v>
      </c>
      <c r="AR45" s="207" t="s">
        <v>140</v>
      </c>
      <c r="AS45" s="207">
        <v>19</v>
      </c>
      <c r="AT45" s="207" t="s">
        <v>290</v>
      </c>
      <c r="AV45" s="168">
        <f t="shared" si="21"/>
        <v>15</v>
      </c>
      <c r="AW45" s="168">
        <f>COUNTIF( AV$7:AV45, AV45 )</f>
        <v>12</v>
      </c>
      <c r="AX45" s="208">
        <f t="shared" si="22"/>
        <v>16.2</v>
      </c>
      <c r="AY45" s="168">
        <f t="shared" si="23"/>
        <v>26</v>
      </c>
      <c r="AZ45" s="169"/>
      <c r="BA45" s="169"/>
      <c r="BC45" s="168">
        <f t="shared" ca="1" si="24"/>
        <v>39</v>
      </c>
      <c r="BD45" s="209">
        <f t="shared" ca="1" si="6"/>
        <v>26</v>
      </c>
      <c r="BF45" s="173" t="str">
        <f t="shared" ca="1" si="25"/>
        <v>IDACORP, Inc.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IDA</v>
      </c>
    </row>
    <row r="46" spans="1:61" ht="13.8" x14ac:dyDescent="0.25">
      <c r="A46" s="223" t="s">
        <v>297</v>
      </c>
      <c r="B46" s="224" t="s">
        <v>141</v>
      </c>
      <c r="C46" s="224">
        <v>18</v>
      </c>
      <c r="D46" s="224" t="s">
        <v>298</v>
      </c>
      <c r="E46" s="225" t="str">
        <f t="shared" ca="1" si="8"/>
        <v>R</v>
      </c>
      <c r="F46" s="348"/>
      <c r="G46" s="349">
        <f t="shared" ca="1" si="1"/>
        <v>35</v>
      </c>
      <c r="H46" s="350"/>
      <c r="I46" s="191"/>
      <c r="K46" s="191"/>
      <c r="N46" s="351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47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305</v>
      </c>
      <c r="AR46" s="207" t="s">
        <v>142</v>
      </c>
      <c r="AS46" s="207">
        <v>17</v>
      </c>
      <c r="AT46" s="207" t="s">
        <v>306</v>
      </c>
      <c r="AV46" s="168">
        <f t="shared" si="21"/>
        <v>44</v>
      </c>
      <c r="AW46" s="168">
        <f>COUNTIF( AV$7:AV46, AV46 )</f>
        <v>5</v>
      </c>
      <c r="AX46" s="208">
        <f t="shared" si="22"/>
        <v>44.5</v>
      </c>
      <c r="AY46" s="168">
        <f t="shared" si="23"/>
        <v>48</v>
      </c>
      <c r="AZ46" s="169"/>
      <c r="BA46" s="169"/>
      <c r="BC46" s="168">
        <f t="shared" ca="1" si="24"/>
        <v>40</v>
      </c>
      <c r="BD46" s="209">
        <f t="shared" ca="1" si="6"/>
        <v>31</v>
      </c>
      <c r="BF46" s="173" t="str">
        <f t="shared" ca="1" si="25"/>
        <v>NorthWestern Corporation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NWE</v>
      </c>
    </row>
    <row r="47" spans="1:61" ht="13.8" x14ac:dyDescent="0.25">
      <c r="A47" s="223" t="s">
        <v>299</v>
      </c>
      <c r="B47" s="224" t="s">
        <v>141</v>
      </c>
      <c r="C47" s="224">
        <v>18</v>
      </c>
      <c r="D47" s="224" t="s">
        <v>300</v>
      </c>
      <c r="E47" s="225" t="str">
        <f t="shared" ca="1" si="8"/>
        <v>R</v>
      </c>
      <c r="F47" s="348"/>
      <c r="G47" s="349">
        <f t="shared" ca="1" si="1"/>
        <v>37</v>
      </c>
      <c r="H47" s="350"/>
      <c r="I47" s="350"/>
      <c r="J47" s="187" t="s">
        <v>373</v>
      </c>
      <c r="K47" s="191"/>
      <c r="M47" s="351"/>
      <c r="N47" s="351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48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347</v>
      </c>
      <c r="AR47" s="207" t="s">
        <v>140</v>
      </c>
      <c r="AS47" s="207">
        <v>19</v>
      </c>
      <c r="AT47" s="207" t="s">
        <v>348</v>
      </c>
      <c r="AV47" s="168">
        <f t="shared" si="21"/>
        <v>15</v>
      </c>
      <c r="AW47" s="168">
        <f>COUNTIF( AV$7:AV47, AV47 )</f>
        <v>13</v>
      </c>
      <c r="AX47" s="208">
        <f t="shared" si="22"/>
        <v>16.3</v>
      </c>
      <c r="AY47" s="168">
        <f t="shared" si="23"/>
        <v>27</v>
      </c>
      <c r="AZ47" s="169"/>
      <c r="BA47" s="169"/>
      <c r="BC47" s="168">
        <f t="shared" ca="1" si="24"/>
        <v>41</v>
      </c>
      <c r="BD47" s="209">
        <f t="shared" ca="1" si="6"/>
        <v>33</v>
      </c>
      <c r="BF47" s="173" t="str">
        <f t="shared" ca="1" si="25"/>
        <v>Otter Tail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OTTR</v>
      </c>
    </row>
    <row r="48" spans="1:61" ht="13.8" x14ac:dyDescent="0.25">
      <c r="A48" s="223" t="s">
        <v>301</v>
      </c>
      <c r="B48" s="224" t="s">
        <v>141</v>
      </c>
      <c r="C48" s="224">
        <v>18</v>
      </c>
      <c r="D48" s="224" t="s">
        <v>302</v>
      </c>
      <c r="E48" s="225" t="str">
        <f t="shared" ca="1" si="8"/>
        <v>R</v>
      </c>
      <c r="F48" s="348"/>
      <c r="G48" s="349">
        <f t="shared" ca="1" si="1"/>
        <v>38</v>
      </c>
      <c r="H48" s="350"/>
      <c r="I48" s="350"/>
      <c r="K48" s="191"/>
      <c r="M48" s="351"/>
      <c r="N48" s="351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49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291</v>
      </c>
      <c r="AR48" s="207" t="s">
        <v>140</v>
      </c>
      <c r="AS48" s="207">
        <v>19</v>
      </c>
      <c r="AT48" s="207" t="s">
        <v>292</v>
      </c>
      <c r="AV48" s="168">
        <f t="shared" si="21"/>
        <v>15</v>
      </c>
      <c r="AW48" s="168">
        <f>COUNTIF( AV$7:AV48, AV48 )</f>
        <v>14</v>
      </c>
      <c r="AX48" s="208">
        <f t="shared" si="22"/>
        <v>16.399999999999999</v>
      </c>
      <c r="AY48" s="168">
        <f t="shared" si="23"/>
        <v>28</v>
      </c>
      <c r="AZ48" s="169"/>
      <c r="BA48" s="169"/>
      <c r="BC48" s="168">
        <f t="shared" ca="1" si="24"/>
        <v>42</v>
      </c>
      <c r="BD48" s="209">
        <f t="shared" ca="1" si="6"/>
        <v>34</v>
      </c>
      <c r="BF48" s="173" t="str">
        <f t="shared" ca="1" si="25"/>
        <v>PG&amp;E Corporation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PCG</v>
      </c>
    </row>
    <row r="49" spans="1:61" ht="13.8" x14ac:dyDescent="0.25">
      <c r="A49" s="223" t="s">
        <v>285</v>
      </c>
      <c r="B49" s="224" t="s">
        <v>141</v>
      </c>
      <c r="C49" s="224">
        <v>18</v>
      </c>
      <c r="D49" s="224" t="s">
        <v>286</v>
      </c>
      <c r="E49" s="225" t="str">
        <f t="shared" ca="1" si="8"/>
        <v>R</v>
      </c>
      <c r="F49" s="348"/>
      <c r="G49" s="349">
        <f t="shared" ca="1" si="1"/>
        <v>41</v>
      </c>
      <c r="H49" s="350"/>
      <c r="I49" s="350"/>
      <c r="J49" s="191"/>
      <c r="K49" s="191"/>
      <c r="M49" s="351"/>
      <c r="N49" s="351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50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4"/>
        <v/>
      </c>
      <c r="AQ49" s="207" t="s">
        <v>293</v>
      </c>
      <c r="AR49" s="207" t="s">
        <v>139</v>
      </c>
      <c r="AS49" s="207">
        <v>20</v>
      </c>
      <c r="AT49" s="207" t="s">
        <v>294</v>
      </c>
      <c r="AV49" s="168">
        <f t="shared" si="21"/>
        <v>3</v>
      </c>
      <c r="AW49" s="168">
        <f>COUNTIF( AV$7:AV49, AV49 )</f>
        <v>9</v>
      </c>
      <c r="AX49" s="208">
        <f t="shared" si="22"/>
        <v>3.9</v>
      </c>
      <c r="AY49" s="168">
        <f t="shared" si="23"/>
        <v>11</v>
      </c>
      <c r="AZ49" s="169"/>
      <c r="BA49" s="169"/>
      <c r="BC49" s="168">
        <f t="shared" ca="1" si="24"/>
        <v>43</v>
      </c>
      <c r="BD49" s="209">
        <f t="shared" ca="1" si="6"/>
        <v>37</v>
      </c>
      <c r="BF49" s="173" t="str">
        <f t="shared" ca="1" si="25"/>
        <v>Portland General Electric Company</v>
      </c>
      <c r="BG49" s="173" t="str">
        <f t="shared" ca="1" si="25"/>
        <v>BBB</v>
      </c>
      <c r="BH49" s="173">
        <f t="shared" ca="1" si="25"/>
        <v>18</v>
      </c>
      <c r="BI49" s="173" t="str">
        <f t="shared" ca="1" si="25"/>
        <v>POR</v>
      </c>
    </row>
    <row r="50" spans="1:61" ht="13.8" x14ac:dyDescent="0.25">
      <c r="A50" s="223" t="s">
        <v>254</v>
      </c>
      <c r="B50" s="224" t="s">
        <v>142</v>
      </c>
      <c r="C50" s="224">
        <v>17</v>
      </c>
      <c r="D50" s="224" t="s">
        <v>255</v>
      </c>
      <c r="E50" s="225" t="str">
        <f t="shared" ca="1" si="8"/>
        <v>R</v>
      </c>
      <c r="F50" s="348"/>
      <c r="G50" s="349">
        <f t="shared" ca="1" si="1"/>
        <v>15</v>
      </c>
      <c r="H50" s="350"/>
      <c r="I50" s="350"/>
      <c r="J50" s="191"/>
      <c r="K50" s="191"/>
      <c r="M50" s="351"/>
      <c r="N50" s="351"/>
      <c r="AF50" s="169">
        <f t="shared" si="2"/>
        <v>1</v>
      </c>
      <c r="AG50" s="169" t="str">
        <f t="shared" ca="1" si="3"/>
        <v/>
      </c>
      <c r="AH50" s="169">
        <f t="shared" ca="1" si="18"/>
        <v>1</v>
      </c>
      <c r="AJ50" s="169">
        <f t="shared" ca="1" si="19"/>
        <v>23</v>
      </c>
      <c r="AK50" s="169" t="str">
        <f t="shared" ca="1" si="20"/>
        <v>BBB+</v>
      </c>
      <c r="AL50" s="169">
        <f t="shared" ca="1" si="20"/>
        <v>19</v>
      </c>
      <c r="AM50" s="169" t="str">
        <f t="shared" ca="1" si="4"/>
        <v>Change</v>
      </c>
      <c r="AQ50" s="207" t="s">
        <v>369</v>
      </c>
      <c r="AR50" s="207" t="s">
        <v>140</v>
      </c>
      <c r="AS50" s="207">
        <v>19</v>
      </c>
      <c r="AT50" s="207" t="s">
        <v>375</v>
      </c>
      <c r="AV50" s="168">
        <f t="shared" si="21"/>
        <v>15</v>
      </c>
      <c r="AW50" s="168">
        <f>COUNTIF( AV$7:AV50, AV50 )</f>
        <v>15</v>
      </c>
      <c r="AX50" s="208">
        <f t="shared" si="22"/>
        <v>16.5</v>
      </c>
      <c r="AY50" s="168">
        <f t="shared" si="23"/>
        <v>29</v>
      </c>
      <c r="AZ50" s="169"/>
      <c r="BA50" s="169"/>
      <c r="BC50" s="168">
        <f t="shared" ca="1" si="24"/>
        <v>44</v>
      </c>
      <c r="BD50" s="209">
        <f t="shared" ca="1" si="6"/>
        <v>10</v>
      </c>
      <c r="BF50" s="173" t="str">
        <f t="shared" ca="1" si="25"/>
        <v>Cleco Corporation</v>
      </c>
      <c r="BG50" s="173" t="str">
        <f t="shared" ca="1" si="25"/>
        <v>BBB-</v>
      </c>
      <c r="BH50" s="173">
        <f t="shared" ca="1" si="25"/>
        <v>17</v>
      </c>
      <c r="BI50" s="173" t="str">
        <f t="shared" ca="1" si="25"/>
        <v>**CNL</v>
      </c>
    </row>
    <row r="51" spans="1:61" ht="13.8" x14ac:dyDescent="0.25">
      <c r="A51" s="223" t="s">
        <v>275</v>
      </c>
      <c r="B51" s="224" t="s">
        <v>142</v>
      </c>
      <c r="C51" s="224">
        <v>17</v>
      </c>
      <c r="D51" s="224" t="s">
        <v>276</v>
      </c>
      <c r="E51" s="225" t="str">
        <f t="shared" ca="1" si="8"/>
        <v>MR</v>
      </c>
      <c r="F51" s="348"/>
      <c r="G51" s="349">
        <f t="shared" ca="1" si="1"/>
        <v>27</v>
      </c>
      <c r="H51" s="350"/>
      <c r="I51" s="350"/>
      <c r="J51" s="191"/>
      <c r="K51" s="191"/>
      <c r="M51" s="351"/>
      <c r="N51" s="351"/>
      <c r="AF51" s="169">
        <f t="shared" si="2"/>
        <v>1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51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4"/>
        <v/>
      </c>
      <c r="AQ51" s="207" t="s">
        <v>295</v>
      </c>
      <c r="AR51" s="207" t="s">
        <v>140</v>
      </c>
      <c r="AS51" s="207">
        <v>19</v>
      </c>
      <c r="AT51" s="207" t="s">
        <v>376</v>
      </c>
      <c r="AV51" s="168">
        <f t="shared" si="21"/>
        <v>15</v>
      </c>
      <c r="AW51" s="168">
        <f>COUNTIF( AV$7:AV51, AV51 )</f>
        <v>16</v>
      </c>
      <c r="AX51" s="208">
        <f t="shared" si="22"/>
        <v>16.600000000000001</v>
      </c>
      <c r="AY51" s="168">
        <f t="shared" si="23"/>
        <v>30</v>
      </c>
      <c r="AZ51" s="169"/>
      <c r="BA51" s="169"/>
      <c r="BC51" s="168">
        <f t="shared" ca="1" si="24"/>
        <v>45</v>
      </c>
      <c r="BD51" s="209">
        <f t="shared" ca="1" si="6"/>
        <v>23</v>
      </c>
      <c r="BF51" s="173" t="str">
        <f t="shared" ca="1" si="25"/>
        <v>FirstEnergy Corp.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FE</v>
      </c>
    </row>
    <row r="52" spans="1:61" ht="13.8" x14ac:dyDescent="0.25">
      <c r="A52" s="223" t="s">
        <v>279</v>
      </c>
      <c r="B52" s="224" t="s">
        <v>142</v>
      </c>
      <c r="C52" s="224">
        <v>17</v>
      </c>
      <c r="D52" s="224" t="s">
        <v>280</v>
      </c>
      <c r="E52" s="225" t="str">
        <f t="shared" ca="1" si="8"/>
        <v>D</v>
      </c>
      <c r="F52" s="348"/>
      <c r="G52" s="349">
        <f t="shared" ca="1" si="1"/>
        <v>29</v>
      </c>
      <c r="H52" s="350"/>
      <c r="I52" s="350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52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345</v>
      </c>
      <c r="AR52" s="207" t="s">
        <v>139</v>
      </c>
      <c r="AS52" s="207">
        <v>20</v>
      </c>
      <c r="AT52" s="207" t="s">
        <v>346</v>
      </c>
      <c r="AV52" s="168">
        <f t="shared" si="21"/>
        <v>3</v>
      </c>
      <c r="AW52" s="168">
        <f>COUNTIF( AV$7:AV52, AV52 )</f>
        <v>10</v>
      </c>
      <c r="AX52" s="208">
        <f t="shared" si="22"/>
        <v>4</v>
      </c>
      <c r="AY52" s="168">
        <f t="shared" si="23"/>
        <v>12</v>
      </c>
      <c r="AZ52" s="169"/>
      <c r="BA52" s="169"/>
      <c r="BC52" s="168">
        <f t="shared" ca="1" si="24"/>
        <v>46</v>
      </c>
      <c r="BD52" s="209">
        <f t="shared" ca="1" si="6"/>
        <v>25</v>
      </c>
      <c r="BF52" s="173" t="str">
        <f t="shared" ca="1" si="25"/>
        <v>Hawaiian Electric Industries, Inc.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HE</v>
      </c>
    </row>
    <row r="53" spans="1:61" ht="13.8" x14ac:dyDescent="0.25">
      <c r="A53" s="223" t="s">
        <v>287</v>
      </c>
      <c r="B53" s="224" t="s">
        <v>142</v>
      </c>
      <c r="C53" s="224">
        <v>17</v>
      </c>
      <c r="D53" s="224" t="s">
        <v>288</v>
      </c>
      <c r="E53" s="225" t="str">
        <f t="shared" ca="1" si="8"/>
        <v>R</v>
      </c>
      <c r="F53" s="348"/>
      <c r="G53" s="349">
        <f t="shared" ca="1" si="1"/>
        <v>59</v>
      </c>
      <c r="H53" s="350"/>
      <c r="I53" s="350"/>
      <c r="J53" s="191"/>
      <c r="K53" s="191"/>
      <c r="AF53" s="169">
        <f t="shared" si="2"/>
        <v>1</v>
      </c>
      <c r="AG53" s="169">
        <f t="shared" ca="1" si="3"/>
        <v>1</v>
      </c>
      <c r="AH53" s="169" t="str">
        <f t="shared" ca="1" si="18"/>
        <v/>
      </c>
      <c r="AJ53" s="169">
        <f t="shared" ca="1" si="19"/>
        <v>54</v>
      </c>
      <c r="AK53" s="169" t="str">
        <f t="shared" ca="1" si="20"/>
        <v>BB+</v>
      </c>
      <c r="AL53" s="169">
        <f t="shared" ca="1" si="20"/>
        <v>16</v>
      </c>
      <c r="AM53" s="169" t="str">
        <f t="shared" ca="1" si="4"/>
        <v>Change</v>
      </c>
      <c r="AQ53" s="207" t="s">
        <v>354</v>
      </c>
      <c r="AR53" s="207" t="s">
        <v>140</v>
      </c>
      <c r="AS53" s="207">
        <v>19</v>
      </c>
      <c r="AT53" s="207" t="s">
        <v>355</v>
      </c>
      <c r="AV53" s="168">
        <f t="shared" si="21"/>
        <v>15</v>
      </c>
      <c r="AW53" s="168">
        <f>COUNTIF( AV$7:AV53, AV53 )</f>
        <v>17</v>
      </c>
      <c r="AX53" s="208">
        <f t="shared" si="22"/>
        <v>16.7</v>
      </c>
      <c r="AY53" s="168">
        <f t="shared" si="23"/>
        <v>31</v>
      </c>
      <c r="AZ53" s="169"/>
      <c r="BA53" s="169"/>
      <c r="BC53" s="168">
        <f t="shared" ca="1" si="24"/>
        <v>47</v>
      </c>
      <c r="BD53" s="209">
        <f t="shared" ca="1" si="6"/>
        <v>27</v>
      </c>
      <c r="BF53" s="173" t="str">
        <f t="shared" ca="1" si="25"/>
        <v>IPALCO Enterprises,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**IPALCO</v>
      </c>
    </row>
    <row r="54" spans="1:61" ht="13.8" x14ac:dyDescent="0.25">
      <c r="A54" s="223" t="s">
        <v>305</v>
      </c>
      <c r="B54" s="224" t="s">
        <v>142</v>
      </c>
      <c r="C54" s="224">
        <v>17</v>
      </c>
      <c r="D54" s="224" t="s">
        <v>306</v>
      </c>
      <c r="E54" s="225" t="str">
        <f t="shared" ca="1" si="8"/>
        <v>R</v>
      </c>
      <c r="F54" s="348"/>
      <c r="G54" s="349">
        <f t="shared" ca="1" si="1"/>
        <v>61</v>
      </c>
      <c r="H54" s="350"/>
      <c r="I54" s="350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8"/>
        <v/>
      </c>
      <c r="AJ54" s="169">
        <f t="shared" ca="1" si="19"/>
        <v>53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4"/>
        <v/>
      </c>
      <c r="AQ54" s="207" t="s">
        <v>247</v>
      </c>
      <c r="AR54" s="207" t="s">
        <v>139</v>
      </c>
      <c r="AS54" s="207">
        <v>20</v>
      </c>
      <c r="AT54" s="207" t="s">
        <v>248</v>
      </c>
      <c r="AV54" s="168">
        <f t="shared" si="21"/>
        <v>3</v>
      </c>
      <c r="AW54" s="168">
        <f>COUNTIF( AV$7:AV54, AV54 )</f>
        <v>11</v>
      </c>
      <c r="AX54" s="208">
        <f t="shared" si="22"/>
        <v>4.0999999999999996</v>
      </c>
      <c r="AY54" s="168">
        <f t="shared" si="23"/>
        <v>13</v>
      </c>
      <c r="AZ54" s="169"/>
      <c r="BA54" s="169"/>
      <c r="BC54" s="168">
        <f t="shared" ca="1" si="24"/>
        <v>48</v>
      </c>
      <c r="BD54" s="209">
        <f t="shared" ca="1" si="6"/>
        <v>40</v>
      </c>
      <c r="BF54" s="173" t="str">
        <f t="shared" ca="1" si="25"/>
        <v>Puget Energy, Inc.</v>
      </c>
      <c r="BG54" s="173" t="str">
        <f t="shared" ca="1" si="25"/>
        <v>BBB-</v>
      </c>
      <c r="BH54" s="173">
        <f t="shared" ca="1" si="25"/>
        <v>17</v>
      </c>
      <c r="BI54" s="173" t="str">
        <f t="shared" ca="1" si="25"/>
        <v>**PSD</v>
      </c>
    </row>
    <row r="55" spans="1:61" ht="13.8" x14ac:dyDescent="0.25">
      <c r="A55" s="223" t="s">
        <v>259</v>
      </c>
      <c r="B55" s="224" t="s">
        <v>175</v>
      </c>
      <c r="C55" s="224">
        <v>15</v>
      </c>
      <c r="D55" s="224" t="s">
        <v>260</v>
      </c>
      <c r="E55" s="225" t="str">
        <f t="shared" ca="1" si="8"/>
        <v>MR</v>
      </c>
      <c r="F55" s="348"/>
      <c r="G55" s="349">
        <f t="shared" ca="1" si="1"/>
        <v>57</v>
      </c>
      <c r="H55" s="350"/>
      <c r="I55" s="350"/>
      <c r="J55" s="191"/>
      <c r="K55" s="191"/>
      <c r="AF55" s="169">
        <f t="shared" si="2"/>
        <v>0</v>
      </c>
      <c r="AG55" s="169" t="str">
        <f t="shared" ca="1" si="3"/>
        <v/>
      </c>
      <c r="AH55" s="169" t="str">
        <f t="shared" ca="1" si="18"/>
        <v/>
      </c>
      <c r="AJ55" s="169">
        <f t="shared" ca="1" si="19"/>
        <v>55</v>
      </c>
      <c r="AK55" s="169" t="str">
        <f t="shared" ca="1" si="20"/>
        <v>BB</v>
      </c>
      <c r="AL55" s="169">
        <f t="shared" ca="1" si="20"/>
        <v>15</v>
      </c>
      <c r="AM55" s="169" t="str">
        <f t="shared" ca="1" si="4"/>
        <v/>
      </c>
      <c r="AQ55" s="207" t="s">
        <v>251</v>
      </c>
      <c r="AR55" s="207" t="s">
        <v>139</v>
      </c>
      <c r="AS55" s="207">
        <v>20</v>
      </c>
      <c r="AT55" s="207" t="s">
        <v>252</v>
      </c>
      <c r="AV55" s="168">
        <f t="shared" si="21"/>
        <v>3</v>
      </c>
      <c r="AW55" s="168">
        <f>COUNTIF( AV$7:AV55, AV55 )</f>
        <v>12</v>
      </c>
      <c r="AX55" s="208">
        <f t="shared" si="22"/>
        <v>4.2</v>
      </c>
      <c r="AY55" s="168">
        <f t="shared" si="23"/>
        <v>14</v>
      </c>
      <c r="AZ55" s="169"/>
      <c r="BA55" s="169"/>
      <c r="BC55" s="168">
        <f t="shared" ca="1" si="24"/>
        <v>49</v>
      </c>
      <c r="BD55" s="209">
        <f t="shared" ca="1" si="6"/>
        <v>14</v>
      </c>
      <c r="BF55" s="173" t="str">
        <f t="shared" ca="1" si="25"/>
        <v>DPL Inc.</v>
      </c>
      <c r="BG55" s="173" t="str">
        <f t="shared" ca="1" si="25"/>
        <v>BB</v>
      </c>
      <c r="BH55" s="173">
        <f t="shared" ca="1" si="25"/>
        <v>15</v>
      </c>
      <c r="BI55" s="173" t="str">
        <f t="shared" ca="1" si="25"/>
        <v>**DPL</v>
      </c>
    </row>
    <row r="56" spans="1:61" ht="13.8" x14ac:dyDescent="0.25">
      <c r="A56" s="223"/>
      <c r="B56" s="224"/>
      <c r="C56" s="224"/>
      <c r="D56" s="224"/>
      <c r="E56" s="225"/>
      <c r="F56" s="348"/>
      <c r="G56" s="349" t="str">
        <f t="shared" ca="1" si="1"/>
        <v/>
      </c>
      <c r="H56" s="350"/>
      <c r="I56" s="350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1</v>
      </c>
      <c r="AX56" s="208">
        <f t="shared" si="22"/>
        <v>99.1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8" x14ac:dyDescent="0.25">
      <c r="A57" s="223"/>
      <c r="B57" s="224"/>
      <c r="C57" s="224"/>
      <c r="D57" s="224"/>
      <c r="E57" s="225"/>
      <c r="F57" s="348"/>
      <c r="G57" s="349" t="str">
        <f t="shared" ca="1" si="1"/>
        <v/>
      </c>
      <c r="H57" s="350"/>
      <c r="I57" s="350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2</v>
      </c>
      <c r="AX57" s="208">
        <f t="shared" si="22"/>
        <v>99.2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8" x14ac:dyDescent="0.25">
      <c r="A58" s="223"/>
      <c r="B58" s="224"/>
      <c r="C58" s="224"/>
      <c r="D58" s="224"/>
      <c r="E58" s="225"/>
      <c r="F58" s="348"/>
      <c r="G58" s="349" t="str">
        <f t="shared" ca="1" si="1"/>
        <v/>
      </c>
      <c r="H58" s="350"/>
      <c r="I58" s="350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3</v>
      </c>
      <c r="AX58" s="208">
        <f t="shared" si="22"/>
        <v>99.3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8" x14ac:dyDescent="0.25">
      <c r="A59" s="223"/>
      <c r="B59" s="224"/>
      <c r="C59" s="224"/>
      <c r="D59" s="224"/>
      <c r="E59" s="225" t="str">
        <f t="shared" ca="1" si="8"/>
        <v/>
      </c>
      <c r="F59" s="348"/>
      <c r="G59" s="349" t="str">
        <f t="shared" ca="1" si="1"/>
        <v/>
      </c>
      <c r="H59" s="350"/>
      <c r="I59" s="350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4</v>
      </c>
      <c r="AX59" s="208">
        <f t="shared" si="22"/>
        <v>99.4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" thickBot="1" x14ac:dyDescent="0.3">
      <c r="A60" s="192"/>
      <c r="B60" s="193"/>
      <c r="C60" s="193"/>
      <c r="D60" s="193"/>
      <c r="E60" s="194" t="str">
        <f t="shared" ca="1" si="8"/>
        <v/>
      </c>
      <c r="F60" s="350"/>
      <c r="G60" s="353" t="str">
        <f t="shared" ca="1" si="1"/>
        <v/>
      </c>
      <c r="H60" s="350"/>
      <c r="I60" s="350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5</v>
      </c>
      <c r="AX60" s="208">
        <f t="shared" si="22"/>
        <v>99.5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8" x14ac:dyDescent="0.25">
      <c r="A61" s="226" t="s">
        <v>308</v>
      </c>
      <c r="B61" s="227" t="s">
        <v>162</v>
      </c>
      <c r="C61" s="227">
        <v>23</v>
      </c>
      <c r="D61" s="227" t="s">
        <v>309</v>
      </c>
      <c r="E61" s="228" t="str">
        <f t="shared" ca="1" si="8"/>
        <v>MR</v>
      </c>
      <c r="F61" s="354"/>
      <c r="G61" s="355">
        <f t="shared" ca="1" si="1"/>
        <v>32</v>
      </c>
      <c r="H61" s="350"/>
      <c r="I61" s="350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6</v>
      </c>
      <c r="AX61" s="208">
        <f t="shared" si="22"/>
        <v>99.6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8" x14ac:dyDescent="0.25">
      <c r="A62" s="223" t="s">
        <v>371</v>
      </c>
      <c r="B62" s="224"/>
      <c r="C62" s="224"/>
      <c r="D62" s="224" t="s">
        <v>359</v>
      </c>
      <c r="E62" s="225" t="str">
        <f t="shared" ca="1" si="8"/>
        <v>R</v>
      </c>
      <c r="F62" s="348"/>
      <c r="G62" s="349">
        <f t="shared" ca="1" si="1"/>
        <v>58</v>
      </c>
      <c r="H62" s="350"/>
      <c r="I62" s="350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>
        <f t="shared" ca="1" si="19"/>
        <v>62</v>
      </c>
      <c r="AK62" s="169">
        <f t="shared" ca="1" si="20"/>
        <v>0</v>
      </c>
      <c r="AL62" s="169">
        <f t="shared" ca="1" si="20"/>
        <v>0</v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7</v>
      </c>
      <c r="AX62" s="208">
        <f t="shared" si="22"/>
        <v>99.7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/>
      <c r="B63" s="229"/>
      <c r="C63" s="224"/>
      <c r="D63" s="224"/>
      <c r="E63" s="225"/>
      <c r="F63" s="348"/>
      <c r="G63" s="349"/>
      <c r="H63" s="350"/>
      <c r="I63" s="350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8</v>
      </c>
      <c r="AX63" s="208">
        <f t="shared" si="22"/>
        <v>99.8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/>
      <c r="B64" s="229"/>
      <c r="C64" s="224"/>
      <c r="D64" s="224"/>
      <c r="E64" s="225"/>
      <c r="F64" s="348"/>
      <c r="G64" s="349"/>
      <c r="H64" s="350"/>
      <c r="I64" s="350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308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58" ht="13.8" x14ac:dyDescent="0.25">
      <c r="A65" s="223"/>
      <c r="B65" s="229"/>
      <c r="C65" s="224"/>
      <c r="D65" s="224"/>
      <c r="E65" s="225"/>
      <c r="F65" s="348"/>
      <c r="G65" s="349"/>
      <c r="H65" s="350"/>
      <c r="I65" s="350"/>
      <c r="N65" s="168" t="s">
        <v>310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 t="s">
        <v>371</v>
      </c>
      <c r="AR65" s="207"/>
      <c r="AS65" s="207"/>
      <c r="AT65" s="207" t="s">
        <v>359</v>
      </c>
      <c r="AU65" s="207"/>
      <c r="AZ65" s="169"/>
      <c r="BA65" s="169"/>
      <c r="BF65" s="169"/>
    </row>
    <row r="66" spans="1:58" ht="13.8" x14ac:dyDescent="0.25">
      <c r="A66" s="195"/>
      <c r="B66" s="196"/>
      <c r="C66" s="185"/>
      <c r="D66" s="185"/>
      <c r="E66" s="182"/>
      <c r="F66" s="350"/>
      <c r="H66" s="350"/>
      <c r="I66" s="350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50"/>
      <c r="H67" s="350"/>
      <c r="I67" s="350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8" x14ac:dyDescent="0.25">
      <c r="A68" s="200" t="s">
        <v>311</v>
      </c>
      <c r="B68" s="189" t="str">
        <f ca="1">OFFSET( Scale!$H$5, ROUND( C68, 0 ) - 1, 1 )</f>
        <v>BBB+</v>
      </c>
      <c r="C68" s="201">
        <f>AVERAGE(C7:C65)</f>
        <v>18.88</v>
      </c>
      <c r="D68" s="201"/>
      <c r="E68" s="201"/>
      <c r="F68" s="350"/>
      <c r="H68" s="350"/>
      <c r="I68" s="350"/>
      <c r="J68" s="351"/>
      <c r="K68" s="351"/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50"/>
      <c r="H69" s="350"/>
      <c r="I69" s="350"/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1"/>
      <c r="K70" s="351"/>
    </row>
    <row r="71" spans="1:58" x14ac:dyDescent="0.25">
      <c r="A71" s="203" t="s">
        <v>312</v>
      </c>
      <c r="F71" s="173"/>
      <c r="H71" s="173"/>
      <c r="I71" s="173"/>
    </row>
    <row r="72" spans="1:58" x14ac:dyDescent="0.25">
      <c r="A72" s="203" t="s">
        <v>313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314</v>
      </c>
      <c r="B73" s="173"/>
      <c r="D73" s="173"/>
      <c r="E73" s="173"/>
      <c r="F73" s="204"/>
      <c r="H73" s="204"/>
      <c r="I73" s="204"/>
    </row>
    <row r="74" spans="1:58" x14ac:dyDescent="0.25">
      <c r="A74" s="203" t="s">
        <v>315</v>
      </c>
      <c r="D74" s="204"/>
      <c r="F74" s="206"/>
      <c r="H74" s="206"/>
      <c r="I74" s="206"/>
      <c r="AQ74" s="207"/>
      <c r="AR74" s="207"/>
      <c r="AS74" s="207"/>
    </row>
    <row r="75" spans="1:58" x14ac:dyDescent="0.25">
      <c r="A75" s="203" t="s">
        <v>316</v>
      </c>
      <c r="D75" s="204"/>
      <c r="F75" s="206"/>
      <c r="H75" s="206"/>
      <c r="I75" s="206"/>
      <c r="AQ75" s="207"/>
      <c r="AR75" s="207"/>
      <c r="AS75" s="207"/>
    </row>
    <row r="76" spans="1:58" x14ac:dyDescent="0.25">
      <c r="A76" s="203"/>
      <c r="AQ76" s="207"/>
      <c r="AR76" s="207"/>
      <c r="AS76" s="207"/>
    </row>
    <row r="77" spans="1:58" x14ac:dyDescent="0.25">
      <c r="C77" s="190">
        <f>SUMPRODUCT( L8:L13, Y8:Y13 ) / L14</f>
        <v>18.86</v>
      </c>
      <c r="E77" s="191"/>
      <c r="G77" s="353"/>
      <c r="J77" s="173"/>
      <c r="K77" s="173"/>
      <c r="AQ77" s="207"/>
      <c r="AR77" s="207"/>
      <c r="AS77" s="207"/>
    </row>
    <row r="78" spans="1:58" s="173" customFormat="1" ht="13.8" x14ac:dyDescent="0.2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ref="AQ7:AT58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740" priority="28" stopIfTrue="1">
      <formula>IF( $AH7 = 1, TRUE, FALSE )</formula>
    </cfRule>
    <cfRule type="expression" dxfId="739" priority="29" stopIfTrue="1">
      <formula>IF( $AG7 = 1, TRUE, FALSE )</formula>
    </cfRule>
    <cfRule type="expression" dxfId="738" priority="30" stopIfTrue="1">
      <formula>IF( $AF7 = 1, TRUE, FALSE )</formula>
    </cfRule>
  </conditionalFormatting>
  <conditionalFormatting sqref="A67:E67">
    <cfRule type="expression" dxfId="737" priority="31" stopIfTrue="1">
      <formula>IF( $AH67 = 1, TRUE, FALSE )</formula>
    </cfRule>
    <cfRule type="expression" dxfId="736" priority="32" stopIfTrue="1">
      <formula>IF( $AG67 = 1, TRUE, FALSE )</formula>
    </cfRule>
    <cfRule type="expression" dxfId="735" priority="33" stopIfTrue="1">
      <formula>IF( $AF67 = 1, TRUE, FALSE )</formula>
    </cfRule>
  </conditionalFormatting>
  <conditionalFormatting sqref="A66:E66">
    <cfRule type="expression" dxfId="734" priority="25" stopIfTrue="1">
      <formula>IF( $AH66 = 1, TRUE, FALSE )</formula>
    </cfRule>
    <cfRule type="expression" dxfId="733" priority="26" stopIfTrue="1">
      <formula>IF( $AG66 = 1, TRUE, FALSE )</formula>
    </cfRule>
    <cfRule type="expression" dxfId="732" priority="27" stopIfTrue="1">
      <formula>IF( $AF66 = 1, TRUE, FALSE )</formula>
    </cfRule>
  </conditionalFormatting>
  <conditionalFormatting sqref="A8:D58 B7:D7">
    <cfRule type="expression" dxfId="731" priority="22" stopIfTrue="1">
      <formula>IF( $AH7 = 1, TRUE, FALSE )</formula>
    </cfRule>
    <cfRule type="expression" dxfId="730" priority="23" stopIfTrue="1">
      <formula>IF( $AG7 = 1, TRUE, FALSE )</formula>
    </cfRule>
    <cfRule type="expression" dxfId="729" priority="24" stopIfTrue="1">
      <formula>IF( $AF7 = 1, TRUE, FALSE )</formula>
    </cfRule>
  </conditionalFormatting>
  <conditionalFormatting sqref="A59:D59">
    <cfRule type="expression" dxfId="728" priority="19" stopIfTrue="1">
      <formula>IF( $AH59 = 1, TRUE, FALSE )</formula>
    </cfRule>
    <cfRule type="expression" dxfId="727" priority="20" stopIfTrue="1">
      <formula>IF( $AG59 = 1, TRUE, FALSE )</formula>
    </cfRule>
    <cfRule type="expression" dxfId="726" priority="21" stopIfTrue="1">
      <formula>IF( $AF59 = 1, TRUE, FALSE )</formula>
    </cfRule>
  </conditionalFormatting>
  <conditionalFormatting sqref="A61:D65">
    <cfRule type="expression" dxfId="725" priority="16" stopIfTrue="1">
      <formula>IF( $AH61 = 1, TRUE, FALSE )</formula>
    </cfRule>
    <cfRule type="expression" dxfId="724" priority="17" stopIfTrue="1">
      <formula>IF( $AG61 = 1, TRUE, FALSE )</formula>
    </cfRule>
    <cfRule type="expression" dxfId="723" priority="18" stopIfTrue="1">
      <formula>IF( $AF61 = 1, TRUE, FALSE )</formula>
    </cfRule>
  </conditionalFormatting>
  <conditionalFormatting sqref="U8:U12">
    <cfRule type="cellIs" dxfId="722" priority="15" operator="equal">
      <formula>0</formula>
    </cfRule>
  </conditionalFormatting>
  <conditionalFormatting sqref="O8:O12 Q8:Q12">
    <cfRule type="cellIs" dxfId="721" priority="14" operator="equal">
      <formula>0</formula>
    </cfRule>
  </conditionalFormatting>
  <conditionalFormatting sqref="V8:V12">
    <cfRule type="cellIs" dxfId="720" priority="13" operator="equal">
      <formula>0</formula>
    </cfRule>
  </conditionalFormatting>
  <conditionalFormatting sqref="S8:S12">
    <cfRule type="cellIs" dxfId="719" priority="11" operator="equal">
      <formula>0</formula>
    </cfRule>
  </conditionalFormatting>
  <conditionalFormatting sqref="R8:R12">
    <cfRule type="cellIs" dxfId="718" priority="12" operator="equal">
      <formula>0</formula>
    </cfRule>
  </conditionalFormatting>
  <conditionalFormatting sqref="P8:P12">
    <cfRule type="cellIs" dxfId="717" priority="10" operator="equal">
      <formula>0</formula>
    </cfRule>
  </conditionalFormatting>
  <conditionalFormatting sqref="M8:M12">
    <cfRule type="cellIs" dxfId="716" priority="9" operator="equal">
      <formula>0</formula>
    </cfRule>
  </conditionalFormatting>
  <conditionalFormatting sqref="T8:T12">
    <cfRule type="cellIs" dxfId="715" priority="8" operator="equal">
      <formula>0</formula>
    </cfRule>
  </conditionalFormatting>
  <conditionalFormatting sqref="N8:N12">
    <cfRule type="cellIs" dxfId="714" priority="7" operator="equal">
      <formula>0</formula>
    </cfRule>
  </conditionalFormatting>
  <conditionalFormatting sqref="K8:K12">
    <cfRule type="cellIs" dxfId="713" priority="6" operator="equal">
      <formula>0</formula>
    </cfRule>
  </conditionalFormatting>
  <conditionalFormatting sqref="I8:I12">
    <cfRule type="cellIs" dxfId="712" priority="5" operator="equal">
      <formula>0</formula>
    </cfRule>
  </conditionalFormatting>
  <conditionalFormatting sqref="W8:W12">
    <cfRule type="cellIs" dxfId="711" priority="4" operator="equal">
      <formula>0</formula>
    </cfRule>
  </conditionalFormatting>
  <conditionalFormatting sqref="A7">
    <cfRule type="expression" dxfId="710" priority="1" stopIfTrue="1">
      <formula>IF( $AH7 = 1, TRUE, FALSE )</formula>
    </cfRule>
    <cfRule type="expression" dxfId="709" priority="2" stopIfTrue="1">
      <formula>IF( $AG7 = 1, TRUE, FALSE )</formula>
    </cfRule>
    <cfRule type="expression" dxfId="708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92D050"/>
    <pageSetUpPr fitToPage="1"/>
  </sheetPr>
  <dimension ref="C1:X43"/>
  <sheetViews>
    <sheetView showGridLines="0" zoomScale="90" zoomScaleNormal="90" workbookViewId="0"/>
  </sheetViews>
  <sheetFormatPr defaultColWidth="9.109375" defaultRowHeight="11.4" x14ac:dyDescent="0.2"/>
  <cols>
    <col min="1" max="2" width="1.44140625" style="33" customWidth="1"/>
    <col min="3" max="3" width="25.109375" style="33" customWidth="1"/>
    <col min="4" max="16384" width="9.109375" style="33"/>
  </cols>
  <sheetData>
    <row r="1" spans="3:24" ht="17.399999999999999" x14ac:dyDescent="0.3">
      <c r="C1" s="12" t="s">
        <v>112</v>
      </c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</row>
    <row r="4" spans="3:24" ht="12" x14ac:dyDescent="0.25">
      <c r="C4" s="30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spans="3:24" ht="12" x14ac:dyDescent="0.25">
      <c r="C5" s="378" t="s">
        <v>113</v>
      </c>
      <c r="D5" s="378"/>
      <c r="E5" s="378"/>
      <c r="F5" s="378"/>
      <c r="G5" s="346"/>
      <c r="H5" s="346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7" spans="3:24" ht="12" x14ac:dyDescent="0.25">
      <c r="C7" s="377" t="s">
        <v>106</v>
      </c>
      <c r="D7" s="377"/>
      <c r="E7" s="377"/>
      <c r="F7" s="377"/>
      <c r="G7" s="32"/>
      <c r="H7" s="32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</row>
    <row r="8" spans="3:24" x14ac:dyDescent="0.2"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</row>
    <row r="9" spans="3:24" ht="12" x14ac:dyDescent="0.25">
      <c r="C9" s="30"/>
      <c r="D9" s="34">
        <v>2002</v>
      </c>
      <c r="E9" s="34">
        <v>2003</v>
      </c>
      <c r="F9" s="34">
        <v>2004</v>
      </c>
      <c r="G9" s="34">
        <v>2005</v>
      </c>
      <c r="H9" s="34">
        <v>2006</v>
      </c>
      <c r="I9" s="34">
        <v>2007</v>
      </c>
      <c r="J9" s="34">
        <v>2008</v>
      </c>
      <c r="K9" s="34">
        <v>2009</v>
      </c>
      <c r="L9" s="34">
        <v>2010</v>
      </c>
      <c r="M9" s="34">
        <v>2011</v>
      </c>
      <c r="N9" s="34">
        <v>2012</v>
      </c>
      <c r="O9" s="34">
        <v>2013</v>
      </c>
      <c r="P9" s="34">
        <v>2014</v>
      </c>
      <c r="Q9" s="34">
        <v>2015</v>
      </c>
      <c r="R9" s="34">
        <v>2016</v>
      </c>
      <c r="S9" s="34">
        <v>2017</v>
      </c>
      <c r="T9" s="34">
        <v>2018</v>
      </c>
      <c r="U9" s="34">
        <v>2019</v>
      </c>
      <c r="V9" s="34">
        <v>2020</v>
      </c>
      <c r="W9" s="34">
        <v>2021</v>
      </c>
      <c r="X9" s="34">
        <v>2022</v>
      </c>
    </row>
    <row r="10" spans="3:24" ht="12" x14ac:dyDescent="0.25">
      <c r="C10" s="31"/>
      <c r="D10" s="34"/>
      <c r="E10" s="34"/>
      <c r="F10" s="34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</row>
    <row r="11" spans="3:24" x14ac:dyDescent="0.2">
      <c r="C11" s="302" t="s">
        <v>114</v>
      </c>
      <c r="D11" s="301">
        <v>21</v>
      </c>
      <c r="E11" s="301">
        <v>35</v>
      </c>
      <c r="F11" s="301">
        <v>51</v>
      </c>
      <c r="G11" s="302">
        <v>73</v>
      </c>
      <c r="H11" s="302">
        <v>67</v>
      </c>
      <c r="I11" s="302">
        <v>73</v>
      </c>
      <c r="J11" s="302">
        <v>24</v>
      </c>
      <c r="K11" s="302">
        <v>23</v>
      </c>
      <c r="L11" s="302">
        <f ca="1">'II. Upgrades &amp; Downgrades'!AO61</f>
        <v>29</v>
      </c>
      <c r="M11" s="302">
        <f ca="1">'II. Upgrades &amp; Downgrades'!AS61</f>
        <v>39</v>
      </c>
      <c r="N11" s="302">
        <f ca="1">'II. Upgrades &amp; Downgrades'!AW61</f>
        <v>37</v>
      </c>
      <c r="O11" s="302">
        <f ca="1">'II. Upgrades &amp; Downgrades'!BA61</f>
        <v>60</v>
      </c>
      <c r="P11" s="302">
        <f ca="1">'II. Upgrades &amp; Downgrades'!BE61</f>
        <v>103</v>
      </c>
      <c r="Q11" s="302">
        <f ca="1">'II. Upgrades &amp; Downgrades'!BI61</f>
        <v>35</v>
      </c>
      <c r="R11" s="302">
        <f ca="1">'II. Upgrades &amp; Downgrades'!BM61</f>
        <v>49</v>
      </c>
      <c r="S11" s="302">
        <f ca="1">'II. Upgrades &amp; Downgrades'!BQ61</f>
        <v>38</v>
      </c>
      <c r="T11" s="302">
        <f ca="1">'II. Upgrades &amp; Downgrades'!BU61</f>
        <v>41</v>
      </c>
      <c r="U11" s="302">
        <f ca="1">'II. Upgrades &amp; Downgrades'!BY61</f>
        <v>55</v>
      </c>
      <c r="V11" s="302">
        <f ca="1">'II. Upgrades &amp; Downgrades'!CC61</f>
        <v>12</v>
      </c>
      <c r="W11" s="302">
        <f ca="1">'II. Upgrades &amp; Downgrades'!CG61</f>
        <v>20</v>
      </c>
      <c r="X11" s="302">
        <f ca="1">'II. Upgrades &amp; Downgrades'!CK61</f>
        <v>5</v>
      </c>
    </row>
    <row r="12" spans="3:24" x14ac:dyDescent="0.2">
      <c r="C12" s="304" t="s">
        <v>115</v>
      </c>
      <c r="D12" s="303">
        <v>279</v>
      </c>
      <c r="E12" s="303">
        <v>218</v>
      </c>
      <c r="F12" s="303">
        <v>59</v>
      </c>
      <c r="G12" s="304">
        <v>48</v>
      </c>
      <c r="H12" s="304">
        <v>43</v>
      </c>
      <c r="I12" s="304">
        <v>48</v>
      </c>
      <c r="J12" s="304">
        <v>26</v>
      </c>
      <c r="K12" s="304">
        <v>34</v>
      </c>
      <c r="L12" s="304">
        <f ca="1" xml:space="preserve"> - 'II. Upgrades &amp; Downgrades'!AO62</f>
        <v>51</v>
      </c>
      <c r="M12" s="304">
        <f ca="1" xml:space="preserve"> - 'II. Upgrades &amp; Downgrades'!AS62</f>
        <v>21</v>
      </c>
      <c r="N12" s="304">
        <f ca="1" xml:space="preserve"> - 'II. Upgrades &amp; Downgrades'!AW62</f>
        <v>39</v>
      </c>
      <c r="O12" s="304">
        <f ca="1" xml:space="preserve"> - 'II. Upgrades &amp; Downgrades'!BA62</f>
        <v>20</v>
      </c>
      <c r="P12" s="304">
        <f ca="1" xml:space="preserve"> - 'II. Upgrades &amp; Downgrades'!BE62</f>
        <v>3</v>
      </c>
      <c r="Q12" s="304">
        <f ca="1" xml:space="preserve"> - 'II. Upgrades &amp; Downgrades'!BI62</f>
        <v>15</v>
      </c>
      <c r="R12" s="304">
        <f ca="1" xml:space="preserve"> - 'II. Upgrades &amp; Downgrades'!BM62</f>
        <v>18</v>
      </c>
      <c r="S12" s="304">
        <f ca="1" xml:space="preserve"> - 'II. Upgrades &amp; Downgrades'!BQ62</f>
        <v>14</v>
      </c>
      <c r="T12" s="304">
        <f ca="1" xml:space="preserve"> - 'II. Upgrades &amp; Downgrades'!BU62</f>
        <v>52</v>
      </c>
      <c r="U12" s="304">
        <f ca="1" xml:space="preserve"> - 'II. Upgrades &amp; Downgrades'!BY62</f>
        <v>35</v>
      </c>
      <c r="V12" s="304">
        <f ca="1" xml:space="preserve"> - 'II. Upgrades &amp; Downgrades'!CC62</f>
        <v>47</v>
      </c>
      <c r="W12" s="304">
        <f ca="1" xml:space="preserve"> - 'II. Upgrades &amp; Downgrades'!CG62</f>
        <v>32</v>
      </c>
      <c r="X12" s="304">
        <f ca="1" xml:space="preserve"> - 'II. Upgrades &amp; Downgrades'!CK62</f>
        <v>3</v>
      </c>
    </row>
    <row r="13" spans="3:24" x14ac:dyDescent="0.2">
      <c r="C13" s="31" t="s">
        <v>116</v>
      </c>
      <c r="D13" s="35">
        <f t="shared" ref="D13:M13" ca="1" si="0">D11 / D14</f>
        <v>7.0000000000000007E-2</v>
      </c>
      <c r="E13" s="35">
        <f t="shared" ca="1" si="0"/>
        <v>0.13833992094861661</v>
      </c>
      <c r="F13" s="35">
        <f t="shared" ca="1" si="0"/>
        <v>0.46363636363636362</v>
      </c>
      <c r="G13" s="35">
        <f t="shared" ca="1" si="0"/>
        <v>0.60330578512396693</v>
      </c>
      <c r="H13" s="35">
        <f t="shared" ca="1" si="0"/>
        <v>0.60909090909090913</v>
      </c>
      <c r="I13" s="35">
        <f t="shared" ca="1" si="0"/>
        <v>0.60330578512396693</v>
      </c>
      <c r="J13" s="35">
        <f t="shared" ca="1" si="0"/>
        <v>0.48</v>
      </c>
      <c r="K13" s="35">
        <f t="shared" ca="1" si="0"/>
        <v>0.40350877192982454</v>
      </c>
      <c r="L13" s="35">
        <f t="shared" ca="1" si="0"/>
        <v>0.36249999999999999</v>
      </c>
      <c r="M13" s="35">
        <f t="shared" ca="1" si="0"/>
        <v>0.65</v>
      </c>
      <c r="N13" s="35">
        <f t="shared" ref="N13:U13" ca="1" si="1">N11 / N14</f>
        <v>0.48684210526315791</v>
      </c>
      <c r="O13" s="35">
        <f t="shared" ca="1" si="1"/>
        <v>0.75</v>
      </c>
      <c r="P13" s="35">
        <f t="shared" ca="1" si="1"/>
        <v>0.97169811320754718</v>
      </c>
      <c r="Q13" s="35">
        <f t="shared" ca="1" si="1"/>
        <v>0.7</v>
      </c>
      <c r="R13" s="35">
        <f t="shared" ca="1" si="1"/>
        <v>0.73134328358208955</v>
      </c>
      <c r="S13" s="35">
        <f t="shared" ref="S13" ca="1" si="2">S11 / S14</f>
        <v>0.73076923076923073</v>
      </c>
      <c r="T13" s="35">
        <f t="shared" ref="T13" ca="1" si="3">T11 / T14</f>
        <v>0.44086021505376344</v>
      </c>
      <c r="U13" s="35">
        <f t="shared" ca="1" si="1"/>
        <v>0.61111111111111116</v>
      </c>
      <c r="V13" s="35">
        <f t="shared" ref="V13:W13" ca="1" si="4">V11 / V14</f>
        <v>0.20338983050847459</v>
      </c>
      <c r="W13" s="35">
        <f t="shared" ca="1" si="4"/>
        <v>0.38461538461538464</v>
      </c>
      <c r="X13" s="35">
        <f t="shared" ref="X13" ca="1" si="5">X11 / X14</f>
        <v>0.625</v>
      </c>
    </row>
    <row r="14" spans="3:24" ht="12" x14ac:dyDescent="0.25">
      <c r="C14" s="300" t="s">
        <v>107</v>
      </c>
      <c r="D14" s="300">
        <f t="shared" ref="D14:J14" ca="1" si="6">SUM(D11:D12)</f>
        <v>300</v>
      </c>
      <c r="E14" s="300">
        <f t="shared" ca="1" si="6"/>
        <v>253</v>
      </c>
      <c r="F14" s="300">
        <f t="shared" ca="1" si="6"/>
        <v>110</v>
      </c>
      <c r="G14" s="300">
        <f t="shared" ca="1" si="6"/>
        <v>121</v>
      </c>
      <c r="H14" s="300">
        <f t="shared" ca="1" si="6"/>
        <v>110</v>
      </c>
      <c r="I14" s="300">
        <f t="shared" ca="1" si="6"/>
        <v>121</v>
      </c>
      <c r="J14" s="300">
        <f t="shared" ca="1" si="6"/>
        <v>50</v>
      </c>
      <c r="K14" s="300">
        <f t="shared" ref="K14:U14" ca="1" si="7">SUM(K11:K12)</f>
        <v>57</v>
      </c>
      <c r="L14" s="300">
        <f t="shared" ca="1" si="7"/>
        <v>80</v>
      </c>
      <c r="M14" s="300">
        <f t="shared" ca="1" si="7"/>
        <v>60</v>
      </c>
      <c r="N14" s="300">
        <f t="shared" ca="1" si="7"/>
        <v>76</v>
      </c>
      <c r="O14" s="300">
        <f t="shared" ca="1" si="7"/>
        <v>80</v>
      </c>
      <c r="P14" s="300">
        <f t="shared" ref="P14:R14" ca="1" si="8">SUM(P11:P12)</f>
        <v>106</v>
      </c>
      <c r="Q14" s="300">
        <f t="shared" ca="1" si="8"/>
        <v>50</v>
      </c>
      <c r="R14" s="300">
        <f t="shared" ca="1" si="8"/>
        <v>67</v>
      </c>
      <c r="S14" s="300">
        <f t="shared" ref="S14" ca="1" si="9">SUM(S11:S12)</f>
        <v>52</v>
      </c>
      <c r="T14" s="300">
        <f t="shared" ref="T14" ca="1" si="10">SUM(T11:T12)</f>
        <v>93</v>
      </c>
      <c r="U14" s="300">
        <f t="shared" ca="1" si="7"/>
        <v>90</v>
      </c>
      <c r="V14" s="300">
        <f t="shared" ref="V14:W14" ca="1" si="11">SUM(V11:V12)</f>
        <v>59</v>
      </c>
      <c r="W14" s="300">
        <f t="shared" ca="1" si="11"/>
        <v>52</v>
      </c>
      <c r="X14" s="300">
        <f t="shared" ref="X14" ca="1" si="12">SUM(X11:X12)</f>
        <v>8</v>
      </c>
    </row>
    <row r="15" spans="3:24" ht="12" x14ac:dyDescent="0.25">
      <c r="C15" s="2"/>
      <c r="D15" s="30"/>
      <c r="E15" s="30"/>
      <c r="F15" s="30"/>
      <c r="G15" s="30"/>
      <c r="H15" s="30"/>
      <c r="I15" s="30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</row>
    <row r="16" spans="3:24" x14ac:dyDescent="0.2">
      <c r="C16" s="2" t="s">
        <v>117</v>
      </c>
      <c r="D16" s="148">
        <v>0.5</v>
      </c>
      <c r="E16" s="147">
        <f ca="1">D16</f>
        <v>0.5</v>
      </c>
      <c r="F16" s="147">
        <f t="shared" ref="F16:M16" ca="1" si="13">E16</f>
        <v>0.5</v>
      </c>
      <c r="G16" s="147">
        <f t="shared" ca="1" si="13"/>
        <v>0.5</v>
      </c>
      <c r="H16" s="147">
        <f t="shared" ca="1" si="13"/>
        <v>0.5</v>
      </c>
      <c r="I16" s="147">
        <f t="shared" ca="1" si="13"/>
        <v>0.5</v>
      </c>
      <c r="J16" s="147">
        <f t="shared" ca="1" si="13"/>
        <v>0.5</v>
      </c>
      <c r="K16" s="147">
        <f t="shared" ca="1" si="13"/>
        <v>0.5</v>
      </c>
      <c r="L16" s="147">
        <f t="shared" ca="1" si="13"/>
        <v>0.5</v>
      </c>
      <c r="M16" s="147">
        <f t="shared" ca="1" si="13"/>
        <v>0.5</v>
      </c>
      <c r="N16" s="147">
        <f ca="1">L16</f>
        <v>0.5</v>
      </c>
      <c r="O16" s="147">
        <f ca="1">M16</f>
        <v>0.5</v>
      </c>
      <c r="P16" s="147">
        <f ca="1">L16</f>
        <v>0.5</v>
      </c>
      <c r="Q16" s="147">
        <f ca="1">L16</f>
        <v>0.5</v>
      </c>
      <c r="R16" s="147">
        <f ca="1">L16</f>
        <v>0.5</v>
      </c>
      <c r="S16" s="147">
        <f ca="1">M16</f>
        <v>0.5</v>
      </c>
      <c r="T16" s="147">
        <f ca="1">L16</f>
        <v>0.5</v>
      </c>
      <c r="U16" s="147">
        <f ca="1">M16</f>
        <v>0.5</v>
      </c>
      <c r="V16" s="147">
        <f ca="1">N16</f>
        <v>0.5</v>
      </c>
      <c r="W16" s="147">
        <f ca="1">O16</f>
        <v>0.5</v>
      </c>
      <c r="X16" s="147">
        <f ca="1">P16</f>
        <v>0.5</v>
      </c>
    </row>
    <row r="17" spans="3:9" ht="12" x14ac:dyDescent="0.25">
      <c r="C17" s="30"/>
      <c r="D17" s="30"/>
      <c r="E17" s="30"/>
      <c r="F17" s="30"/>
      <c r="G17" s="30"/>
      <c r="H17" s="30"/>
      <c r="I17" s="30"/>
    </row>
    <row r="18" spans="3:9" ht="12" x14ac:dyDescent="0.25">
      <c r="C18" s="30"/>
      <c r="D18" s="30"/>
      <c r="E18" s="30"/>
      <c r="F18" s="30"/>
      <c r="G18" s="30"/>
      <c r="H18" s="30"/>
      <c r="I18" s="30"/>
    </row>
    <row r="42" spans="4:4" ht="12" x14ac:dyDescent="0.25">
      <c r="D42" s="30" t="s">
        <v>118</v>
      </c>
    </row>
    <row r="43" spans="4:4" x14ac:dyDescent="0.2">
      <c r="D43" s="31"/>
    </row>
  </sheetData>
  <mergeCells count="2">
    <mergeCell ref="C5:F5"/>
    <mergeCell ref="C7:F7"/>
  </mergeCells>
  <phoneticPr fontId="3" type="noConversion"/>
  <printOptions gridLines="1"/>
  <pageMargins left="0.75" right="0.75" top="0.6" bottom="1" header="0.5" footer="0.5"/>
  <pageSetup scale="58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customWidth="1"/>
    <col min="23" max="23" width="2" style="168" customWidth="1"/>
    <col min="24" max="24" width="4.109375" style="168" customWidth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15.88671875" style="169" hidden="1" customWidth="1" outlineLevel="1" collapsed="1"/>
    <col min="37" max="38" width="15.88671875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-- 2016 Q1</v>
      </c>
      <c r="G1" s="175" t="s">
        <v>195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 x14ac:dyDescent="0.25">
      <c r="A2" s="167"/>
      <c r="E2" s="171" t="str">
        <f>G2</f>
        <v>Reg_Percent_2015</v>
      </c>
      <c r="G2" s="172" t="s">
        <v>365</v>
      </c>
      <c r="AJ2" s="173" t="str">
        <f>AJ4 &amp; AJ3</f>
        <v>'Credit_2015Q4'!d:d</v>
      </c>
      <c r="AK2" s="173" t="str">
        <f>AK4 &amp; AK3</f>
        <v>'Credit_2015Q4'!b1</v>
      </c>
      <c r="AL2" s="173" t="str">
        <f>AL4 &amp; AL3</f>
        <v>'Credit_2015Q4'!c1</v>
      </c>
      <c r="AQ2" s="169"/>
    </row>
    <row r="3" spans="1:61" ht="18" hidden="1" outlineLevel="1" x14ac:dyDescent="0.25">
      <c r="A3" s="167"/>
      <c r="E3" s="174" t="str">
        <f>"'" &amp; E2 &amp; "'!"</f>
        <v>'Reg_Percent_2015'!</v>
      </c>
      <c r="G3" s="168" t="str">
        <f>"'" &amp; G2 &amp; "'!"</f>
        <v>'Reg_Percent_2015'!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205</v>
      </c>
      <c r="AK3" s="149" t="s">
        <v>206</v>
      </c>
      <c r="AL3" s="149" t="s">
        <v>207</v>
      </c>
      <c r="AQ3" s="169"/>
    </row>
    <row r="4" spans="1:61" ht="18" hidden="1" outlineLevel="1" x14ac:dyDescent="0.25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>$AQ$5</f>
        <v>'Credit_2015Q4'!</v>
      </c>
      <c r="AK4" s="169" t="str">
        <f t="shared" ref="AK4:AL4" si="0">$AQ$5</f>
        <v>'Credit_2015Q4'!</v>
      </c>
      <c r="AL4" s="169" t="str">
        <f t="shared" si="0"/>
        <v>'Credit_2015Q4'!</v>
      </c>
      <c r="AQ4" s="169"/>
    </row>
    <row r="5" spans="1:61" ht="13.8" collapsed="1" x14ac:dyDescent="0.25">
      <c r="E5" s="176" t="s">
        <v>209</v>
      </c>
      <c r="G5" s="170" t="s">
        <v>199</v>
      </c>
      <c r="I5" s="230"/>
      <c r="J5" s="389" t="s">
        <v>210</v>
      </c>
      <c r="K5" s="230"/>
      <c r="L5" s="391" t="str">
        <f>"All Companies" &amp; CHAR( 10 ) &amp; "("&amp; L14 &amp; ")"</f>
        <v>All Companies
(50)</v>
      </c>
      <c r="M5" s="391"/>
      <c r="N5" s="230"/>
      <c r="O5" s="389" t="str">
        <f ca="1">"Regulated" &amp; CHAR( 10 ) &amp; "(" &amp; O14 &amp; ")"</f>
        <v>Regulated
(36)</v>
      </c>
      <c r="P5" s="393"/>
      <c r="Q5" s="230"/>
      <c r="R5" s="389" t="str">
        <f ca="1">"Mostly Regulated" &amp; CHAR( 10 ) &amp; "(" &amp; R14 &amp; ")"</f>
        <v>Mostly Regulated
(12)</v>
      </c>
      <c r="S5" s="393"/>
      <c r="T5" s="230"/>
      <c r="U5" s="389" t="str">
        <f ca="1">"Diversified" &amp; CHAR( 10 ) &amp; "(" &amp; U14 &amp; ")"</f>
        <v>Diversified
(2)</v>
      </c>
      <c r="V5" s="393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377</v>
      </c>
    </row>
    <row r="6" spans="1:61" ht="28.5" customHeight="1" x14ac:dyDescent="0.25">
      <c r="A6" s="219" t="s">
        <v>212</v>
      </c>
      <c r="B6" s="220" t="s">
        <v>64</v>
      </c>
      <c r="C6" s="249" t="s">
        <v>214</v>
      </c>
      <c r="D6" s="221"/>
      <c r="E6" s="222">
        <f ca="1">INDIRECT( E3 &amp; G1 )</f>
        <v>42369</v>
      </c>
      <c r="I6" s="231"/>
      <c r="J6" s="390"/>
      <c r="K6" s="231"/>
      <c r="L6" s="392"/>
      <c r="M6" s="392"/>
      <c r="N6" s="231"/>
      <c r="O6" s="390"/>
      <c r="P6" s="390"/>
      <c r="Q6" s="231"/>
      <c r="R6" s="390" t="s">
        <v>136</v>
      </c>
      <c r="S6" s="390"/>
      <c r="T6" s="231"/>
      <c r="U6" s="390"/>
      <c r="V6" s="390"/>
      <c r="W6" s="231"/>
      <c r="AE6" s="178"/>
      <c r="AJ6" s="179"/>
    </row>
    <row r="7" spans="1:61" ht="13.8" x14ac:dyDescent="0.25">
      <c r="A7" s="223" t="s">
        <v>215</v>
      </c>
      <c r="B7" s="224" t="s">
        <v>166</v>
      </c>
      <c r="C7" s="224">
        <v>21</v>
      </c>
      <c r="D7" s="224" t="s">
        <v>216</v>
      </c>
      <c r="E7" s="225" t="str">
        <f ca="1">IF( LEN( $G7 ) = 0, "", OFFSET( INDIRECT( E$3 &amp; E$4 ), $G7 - 1, 0 ) )</f>
        <v>R</v>
      </c>
      <c r="F7" s="348"/>
      <c r="G7" s="349">
        <f t="shared" ref="G7:G62" ca="1" si="1">IF( LEN( $D7 ) = 0, "", MATCH( $D7, INDIRECT( G$3 &amp; G$4 ), 0 ) )</f>
        <v>60</v>
      </c>
      <c r="H7" s="350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>
        <f t="shared" ref="AG7:AG64" ca="1" si="3">IF( LEN( $C7 ) = 0, "", IF( $C7 &gt; $AL7, 1, "" ) )</f>
        <v>1</v>
      </c>
      <c r="AH7" s="169" t="str">
        <f ca="1">IF( LEN( $C7 ) = 0, "", IF( $C7 &lt; $AL7, 1, "" ) )</f>
        <v/>
      </c>
      <c r="AJ7" s="169">
        <f ca="1">MATCH( $D7, INDIRECT( AJ$2 ), 0 )</f>
        <v>23</v>
      </c>
      <c r="AK7" s="169" t="str">
        <f ca="1">IF( ISNA( $AJ7 ), "", OFFSET( INDIRECT( AK$2 ), $AJ7-1, 0 ) )</f>
        <v>BBB+</v>
      </c>
      <c r="AL7" s="169">
        <f ca="1">IF( ISNA( $AJ7 ), "", OFFSET( INDIRECT( AL$2 ), $AJ7-1, 0 ) )</f>
        <v>19</v>
      </c>
      <c r="AM7" s="169" t="str">
        <f t="shared" ref="AM7:AM67" ca="1" si="4">IF( B7 = AK7, "", "Change" )</f>
        <v>Change</v>
      </c>
      <c r="AQ7" s="207" t="s">
        <v>217</v>
      </c>
      <c r="AR7" s="207" t="s">
        <v>140</v>
      </c>
      <c r="AS7" s="207">
        <v>19</v>
      </c>
      <c r="AT7" s="207" t="s">
        <v>218</v>
      </c>
      <c r="AV7" s="168">
        <f>IF( LEN( AS7 ) = 0, 99, RANK( AS7, $AS$7:$AS$63 ) )</f>
        <v>15</v>
      </c>
      <c r="AW7" s="168">
        <f>COUNTIF( AV7:AV$7, AV7 )</f>
        <v>1</v>
      </c>
      <c r="AX7" s="208">
        <f>AV7 + AW7 / 10</f>
        <v>15.1</v>
      </c>
      <c r="AY7" s="168">
        <f>RANK( AX7, $AX$7:$AX$63, 1 )</f>
        <v>15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7</v>
      </c>
      <c r="BF7" s="173" t="str">
        <f t="shared" ref="BF7:BI38" ca="1" si="7">OFFSET( AQ$6, $BD7, 0 )</f>
        <v>Berkshire Energy Holdings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**BRK</v>
      </c>
    </row>
    <row r="8" spans="1:61" ht="13.8" x14ac:dyDescent="0.25">
      <c r="A8" s="223" t="s">
        <v>235</v>
      </c>
      <c r="B8" s="224" t="s">
        <v>166</v>
      </c>
      <c r="C8" s="224">
        <v>21</v>
      </c>
      <c r="D8" s="224" t="s">
        <v>236</v>
      </c>
      <c r="E8" s="225" t="str">
        <f t="shared" ref="E8:E62" ca="1" si="8">IF( LEN( $G8 ) = 0, "", OFFSET( INDIRECT( E$3 &amp; E$4 ), $G8 - 1, 0 ) )</f>
        <v>R</v>
      </c>
      <c r="F8" s="348"/>
      <c r="G8" s="349">
        <f t="shared" ca="1" si="1"/>
        <v>25</v>
      </c>
      <c r="H8" s="350"/>
      <c r="I8" s="233"/>
      <c r="J8" s="213" t="s">
        <v>137</v>
      </c>
      <c r="K8" s="233"/>
      <c r="L8" s="213">
        <f t="shared" ref="L8:L13" si="9">COUNTIF($C$7:$C$67,$X8)</f>
        <v>3</v>
      </c>
      <c r="M8" s="214">
        <f t="shared" ref="M8:M13" si="10">IF( L8 = 0, "", L8/L$14 )</f>
        <v>0.06</v>
      </c>
      <c r="N8" s="233"/>
      <c r="O8" s="213">
        <f t="shared" ref="O8:O13" ca="1" si="11">COUNTIFS( $E$7:$E$66, O$3, $C$7:$C$66, $X8 )</f>
        <v>2</v>
      </c>
      <c r="P8" s="214">
        <f t="shared" ref="P8:P13" ca="1" si="12">IF( O8 = 0, "", O8/O$14 )</f>
        <v>5.5555555555555552E-2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8.3333333333333329E-2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7">SUM(O8, R8, U8)</f>
        <v>3</v>
      </c>
      <c r="AC8" s="351"/>
      <c r="AE8" s="184"/>
      <c r="AF8" s="169">
        <f t="shared" si="2"/>
        <v>1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7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21</v>
      </c>
      <c r="BF8" s="173" t="str">
        <f t="shared" ca="1" si="7"/>
        <v>Eversource Energy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ES</v>
      </c>
    </row>
    <row r="9" spans="1:61" ht="13.8" x14ac:dyDescent="0.25">
      <c r="A9" s="223" t="s">
        <v>219</v>
      </c>
      <c r="B9" s="224" t="s">
        <v>139</v>
      </c>
      <c r="C9" s="224">
        <v>20</v>
      </c>
      <c r="D9" s="224" t="s">
        <v>220</v>
      </c>
      <c r="E9" s="225" t="str">
        <f t="shared" ca="1" si="8"/>
        <v>R</v>
      </c>
      <c r="F9" s="348"/>
      <c r="G9" s="349">
        <f t="shared" ca="1" si="1"/>
        <v>8</v>
      </c>
      <c r="H9" s="350"/>
      <c r="I9" s="234"/>
      <c r="J9" s="215" t="s">
        <v>139</v>
      </c>
      <c r="K9" s="234"/>
      <c r="L9" s="215">
        <f t="shared" si="9"/>
        <v>12</v>
      </c>
      <c r="M9" s="216">
        <f t="shared" si="10"/>
        <v>0.24</v>
      </c>
      <c r="N9" s="234"/>
      <c r="O9" s="215">
        <f t="shared" ca="1" si="11"/>
        <v>10</v>
      </c>
      <c r="P9" s="216">
        <f t="shared" ca="1" si="12"/>
        <v>0.27777777777777779</v>
      </c>
      <c r="Q9" s="234"/>
      <c r="R9" s="215">
        <f t="shared" ca="1" si="13"/>
        <v>2</v>
      </c>
      <c r="S9" s="216">
        <f t="shared" ca="1" si="14"/>
        <v>0.16666666666666666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7"/>
        <v>12</v>
      </c>
      <c r="AC9" s="351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8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si="21"/>
        <v>15</v>
      </c>
      <c r="AW9" s="168">
        <f>COUNTIF( AV$7:AV9, AV9 )</f>
        <v>2</v>
      </c>
      <c r="AX9" s="208">
        <f t="shared" si="22"/>
        <v>15.2</v>
      </c>
      <c r="AY9" s="168">
        <f t="shared" si="23"/>
        <v>16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ht="13.8" x14ac:dyDescent="0.25">
      <c r="A10" s="223" t="s">
        <v>249</v>
      </c>
      <c r="B10" s="224" t="s">
        <v>139</v>
      </c>
      <c r="C10" s="224">
        <v>20</v>
      </c>
      <c r="D10" s="224" t="s">
        <v>250</v>
      </c>
      <c r="E10" s="225" t="str">
        <f t="shared" ca="1" si="8"/>
        <v>MR</v>
      </c>
      <c r="F10" s="348"/>
      <c r="G10" s="349">
        <f t="shared" ca="1" si="1"/>
        <v>14</v>
      </c>
      <c r="H10" s="350"/>
      <c r="I10" s="234"/>
      <c r="J10" s="215" t="s">
        <v>140</v>
      </c>
      <c r="K10" s="234"/>
      <c r="L10" s="215">
        <f t="shared" si="9"/>
        <v>17</v>
      </c>
      <c r="M10" s="216">
        <f t="shared" si="10"/>
        <v>0.34</v>
      </c>
      <c r="N10" s="234"/>
      <c r="O10" s="215">
        <f t="shared" ca="1" si="11"/>
        <v>11</v>
      </c>
      <c r="P10" s="216">
        <f t="shared" ca="1" si="12"/>
        <v>0.30555555555555558</v>
      </c>
      <c r="Q10" s="234"/>
      <c r="R10" s="215">
        <f t="shared" ca="1" si="13"/>
        <v>6</v>
      </c>
      <c r="S10" s="216">
        <f t="shared" ca="1" si="14"/>
        <v>0.5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229</v>
      </c>
      <c r="Y10" s="186">
        <v>19</v>
      </c>
      <c r="Z10" s="186">
        <v>1</v>
      </c>
      <c r="AA10" s="185">
        <f t="shared" ca="1" si="17"/>
        <v>17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9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222</v>
      </c>
      <c r="AR10" s="207" t="s">
        <v>141</v>
      </c>
      <c r="AS10" s="207">
        <v>18</v>
      </c>
      <c r="AT10" s="207" t="s">
        <v>223</v>
      </c>
      <c r="AV10" s="168">
        <f t="shared" si="21"/>
        <v>32</v>
      </c>
      <c r="AW10" s="168">
        <f>COUNTIF( AV$7:AV10, AV10 )</f>
        <v>1</v>
      </c>
      <c r="AX10" s="208">
        <f t="shared" si="22"/>
        <v>32.1</v>
      </c>
      <c r="AY10" s="168">
        <f t="shared" si="23"/>
        <v>32</v>
      </c>
      <c r="AZ10" s="169"/>
      <c r="BA10" s="169"/>
      <c r="BC10" s="168">
        <f t="shared" ca="1" si="24"/>
        <v>4</v>
      </c>
      <c r="BD10" s="209">
        <f t="shared" ca="1" si="6"/>
        <v>9</v>
      </c>
      <c r="BF10" s="173" t="str">
        <f t="shared" ca="1" si="7"/>
        <v>CenterPoint Energy,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CNP</v>
      </c>
    </row>
    <row r="11" spans="1:61" ht="13.8" x14ac:dyDescent="0.25">
      <c r="A11" s="223" t="s">
        <v>227</v>
      </c>
      <c r="B11" s="224" t="s">
        <v>139</v>
      </c>
      <c r="C11" s="224">
        <v>20</v>
      </c>
      <c r="D11" s="224" t="s">
        <v>228</v>
      </c>
      <c r="E11" s="225" t="str">
        <f t="shared" ca="1" si="8"/>
        <v>R</v>
      </c>
      <c r="F11" s="348"/>
      <c r="G11" s="349">
        <f t="shared" ca="1" si="1"/>
        <v>17</v>
      </c>
      <c r="H11" s="350"/>
      <c r="I11" s="234"/>
      <c r="J11" s="215" t="s">
        <v>141</v>
      </c>
      <c r="K11" s="234"/>
      <c r="L11" s="215">
        <f t="shared" si="9"/>
        <v>13</v>
      </c>
      <c r="M11" s="216">
        <f t="shared" si="10"/>
        <v>0.26</v>
      </c>
      <c r="N11" s="234"/>
      <c r="O11" s="215">
        <f t="shared" ca="1" si="11"/>
        <v>11</v>
      </c>
      <c r="P11" s="216">
        <f t="shared" ca="1" si="12"/>
        <v>0.30555555555555558</v>
      </c>
      <c r="Q11" s="234"/>
      <c r="R11" s="215">
        <f t="shared" ca="1" si="13"/>
        <v>1</v>
      </c>
      <c r="S11" s="216">
        <f t="shared" ca="1" si="14"/>
        <v>8.3333333333333329E-2</v>
      </c>
      <c r="T11" s="234"/>
      <c r="U11" s="215">
        <f t="shared" ca="1" si="15"/>
        <v>1</v>
      </c>
      <c r="V11" s="216">
        <f t="shared" ca="1" si="16"/>
        <v>0.5</v>
      </c>
      <c r="W11" s="234"/>
      <c r="X11" s="186" t="s">
        <v>232</v>
      </c>
      <c r="Y11" s="186">
        <v>18</v>
      </c>
      <c r="Z11" s="186">
        <v>1</v>
      </c>
      <c r="AA11" s="185">
        <f t="shared" ca="1" si="17"/>
        <v>13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10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233</v>
      </c>
      <c r="AR11" s="207" t="s">
        <v>141</v>
      </c>
      <c r="AS11" s="207">
        <v>18</v>
      </c>
      <c r="AT11" s="207" t="s">
        <v>234</v>
      </c>
      <c r="AV11" s="168">
        <f t="shared" si="21"/>
        <v>32</v>
      </c>
      <c r="AW11" s="168">
        <f>COUNTIF( AV$7:AV11, AV11 )</f>
        <v>2</v>
      </c>
      <c r="AX11" s="208">
        <f t="shared" si="22"/>
        <v>32.200000000000003</v>
      </c>
      <c r="AY11" s="168">
        <f t="shared" si="23"/>
        <v>33</v>
      </c>
      <c r="AZ11" s="169"/>
      <c r="BA11" s="169"/>
      <c r="BC11" s="168">
        <f t="shared" ca="1" si="24"/>
        <v>5</v>
      </c>
      <c r="BD11" s="209">
        <f t="shared" ca="1" si="6"/>
        <v>12</v>
      </c>
      <c r="BF11" s="173" t="str">
        <f t="shared" ca="1" si="7"/>
        <v>Consolidated Edison,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ED</v>
      </c>
    </row>
    <row r="12" spans="1:61" ht="13.8" x14ac:dyDescent="0.25">
      <c r="A12" s="223" t="s">
        <v>263</v>
      </c>
      <c r="B12" s="224" t="s">
        <v>139</v>
      </c>
      <c r="C12" s="224">
        <v>20</v>
      </c>
      <c r="D12" s="224" t="s">
        <v>264</v>
      </c>
      <c r="E12" s="225" t="str">
        <f t="shared" ca="1" si="8"/>
        <v>R</v>
      </c>
      <c r="F12" s="348"/>
      <c r="G12" s="349">
        <f t="shared" ca="1" si="1"/>
        <v>20</v>
      </c>
      <c r="H12" s="350"/>
      <c r="I12" s="234"/>
      <c r="J12" s="215" t="s">
        <v>142</v>
      </c>
      <c r="K12" s="234"/>
      <c r="L12" s="215">
        <f t="shared" si="9"/>
        <v>3</v>
      </c>
      <c r="M12" s="216">
        <f t="shared" si="10"/>
        <v>0.06</v>
      </c>
      <c r="N12" s="234"/>
      <c r="O12" s="215">
        <f t="shared" ca="1" si="11"/>
        <v>1</v>
      </c>
      <c r="P12" s="216">
        <f t="shared" ca="1" si="12"/>
        <v>2.7777777777777776E-2</v>
      </c>
      <c r="Q12" s="234"/>
      <c r="R12" s="215">
        <f t="shared" ca="1" si="13"/>
        <v>1</v>
      </c>
      <c r="S12" s="216">
        <f t="shared" ca="1" si="14"/>
        <v>8.3333333333333329E-2</v>
      </c>
      <c r="T12" s="234"/>
      <c r="U12" s="215">
        <f t="shared" ca="1" si="15"/>
        <v>1</v>
      </c>
      <c r="V12" s="216">
        <f t="shared" ca="1" si="16"/>
        <v>0.5</v>
      </c>
      <c r="W12" s="234"/>
      <c r="X12" s="186" t="s">
        <v>237</v>
      </c>
      <c r="Y12" s="186">
        <v>17</v>
      </c>
      <c r="Z12" s="186">
        <v>1</v>
      </c>
      <c r="AA12" s="185">
        <f t="shared" ca="1" si="17"/>
        <v>3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238</v>
      </c>
      <c r="AR12" s="207" t="s">
        <v>141</v>
      </c>
      <c r="AS12" s="207">
        <v>18</v>
      </c>
      <c r="AT12" s="207" t="s">
        <v>239</v>
      </c>
      <c r="AV12" s="168">
        <f t="shared" si="21"/>
        <v>32</v>
      </c>
      <c r="AW12" s="168">
        <f>COUNTIF( AV$7:AV12, AV12 )</f>
        <v>3</v>
      </c>
      <c r="AX12" s="208">
        <f t="shared" si="22"/>
        <v>32.299999999999997</v>
      </c>
      <c r="AY12" s="168">
        <f t="shared" si="23"/>
        <v>34</v>
      </c>
      <c r="AZ12" s="169"/>
      <c r="BA12" s="169"/>
      <c r="BC12" s="168">
        <f t="shared" ca="1" si="24"/>
        <v>6</v>
      </c>
      <c r="BD12" s="209">
        <f t="shared" ca="1" si="6"/>
        <v>16</v>
      </c>
      <c r="BF12" s="173" t="str">
        <f t="shared" ca="1" si="7"/>
        <v>Duke Energy Corporation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DUK</v>
      </c>
    </row>
    <row r="13" spans="1:61" ht="13.8" x14ac:dyDescent="0.25">
      <c r="A13" s="223" t="s">
        <v>240</v>
      </c>
      <c r="B13" s="224" t="s">
        <v>139</v>
      </c>
      <c r="C13" s="224">
        <v>20</v>
      </c>
      <c r="D13" s="224" t="s">
        <v>241</v>
      </c>
      <c r="E13" s="225" t="str">
        <f t="shared" ca="1" si="8"/>
        <v>MR</v>
      </c>
      <c r="F13" s="348"/>
      <c r="G13" s="349">
        <f t="shared" ca="1" si="1"/>
        <v>33</v>
      </c>
      <c r="H13" s="350"/>
      <c r="I13" s="235"/>
      <c r="J13" s="217" t="s">
        <v>143</v>
      </c>
      <c r="K13" s="235"/>
      <c r="L13" s="217">
        <f t="shared" si="9"/>
        <v>2</v>
      </c>
      <c r="M13" s="218">
        <f t="shared" si="10"/>
        <v>0.04</v>
      </c>
      <c r="N13" s="235"/>
      <c r="O13" s="217">
        <f t="shared" ca="1" si="11"/>
        <v>1</v>
      </c>
      <c r="P13" s="218">
        <f t="shared" ca="1" si="12"/>
        <v>2.7777777777777776E-2</v>
      </c>
      <c r="Q13" s="235"/>
      <c r="R13" s="217">
        <f t="shared" ca="1" si="13"/>
        <v>1</v>
      </c>
      <c r="S13" s="218">
        <f t="shared" ca="1" si="14"/>
        <v>8.3333333333333329E-2</v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242</v>
      </c>
      <c r="Y13" s="186">
        <v>16</v>
      </c>
      <c r="Z13" s="186">
        <v>1</v>
      </c>
      <c r="AA13" s="188">
        <f t="shared" ca="1" si="17"/>
        <v>2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215</v>
      </c>
      <c r="AR13" s="207" t="s">
        <v>166</v>
      </c>
      <c r="AS13" s="207">
        <v>21</v>
      </c>
      <c r="AT13" s="207" t="s">
        <v>216</v>
      </c>
      <c r="AV13" s="168">
        <f t="shared" si="21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23"/>
        <v>1</v>
      </c>
      <c r="AZ13" s="169"/>
      <c r="BA13" s="169"/>
      <c r="BC13" s="168">
        <f t="shared" ca="1" si="24"/>
        <v>7</v>
      </c>
      <c r="BD13" s="209">
        <f t="shared" ca="1" si="6"/>
        <v>29</v>
      </c>
      <c r="BF13" s="173" t="str">
        <f t="shared" ca="1" si="7"/>
        <v>NextEra Energy, Inc.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NEE</v>
      </c>
    </row>
    <row r="14" spans="1:61" ht="13.8" x14ac:dyDescent="0.25">
      <c r="A14" s="223" t="s">
        <v>277</v>
      </c>
      <c r="B14" s="224" t="s">
        <v>139</v>
      </c>
      <c r="C14" s="224">
        <v>20</v>
      </c>
      <c r="D14" s="224" t="s">
        <v>278</v>
      </c>
      <c r="E14" s="225" t="str">
        <f t="shared" ca="1" si="8"/>
        <v>R</v>
      </c>
      <c r="F14" s="348"/>
      <c r="G14" s="349">
        <f t="shared" ca="1" si="1"/>
        <v>36</v>
      </c>
      <c r="H14" s="350"/>
      <c r="I14" s="236"/>
      <c r="J14" s="211" t="s">
        <v>144</v>
      </c>
      <c r="K14" s="236"/>
      <c r="L14" s="211">
        <f>SUM(L8:L13)</f>
        <v>50</v>
      </c>
      <c r="M14" s="212">
        <f>L14/L$14</f>
        <v>1</v>
      </c>
      <c r="N14" s="236"/>
      <c r="O14" s="211">
        <f ca="1">SUM(O8:O13)</f>
        <v>36</v>
      </c>
      <c r="P14" s="212">
        <f ca="1">O14/O$14</f>
        <v>1</v>
      </c>
      <c r="Q14" s="236"/>
      <c r="R14" s="211">
        <f ca="1">SUM(R8:R13)</f>
        <v>12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18.86</v>
      </c>
      <c r="Z14" s="190"/>
      <c r="AA14" s="189">
        <f ca="1">SUM(AA8:AA13)</f>
        <v>50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245</v>
      </c>
      <c r="AR14" s="207" t="s">
        <v>141</v>
      </c>
      <c r="AS14" s="207">
        <v>18</v>
      </c>
      <c r="AT14" s="207" t="s">
        <v>246</v>
      </c>
      <c r="AV14" s="168">
        <f>IF( LEN( AS14 ) = 0, 99, RANK( AS14, $AS$7:$AS$63 ) )</f>
        <v>32</v>
      </c>
      <c r="AW14" s="168">
        <f>COUNTIF( AV$7:AV14, AV14 )</f>
        <v>4</v>
      </c>
      <c r="AX14" s="208">
        <f t="shared" si="22"/>
        <v>32.4</v>
      </c>
      <c r="AY14" s="168">
        <f t="shared" si="23"/>
        <v>35</v>
      </c>
      <c r="AZ14" s="169"/>
      <c r="BA14" s="169"/>
      <c r="BC14" s="168">
        <f t="shared" ca="1" si="24"/>
        <v>8</v>
      </c>
      <c r="BD14" s="209">
        <f t="shared" ca="1" si="6"/>
        <v>32</v>
      </c>
      <c r="BF14" s="173" t="str">
        <f t="shared" ca="1" si="7"/>
        <v>OGE Energy Corp.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OGE</v>
      </c>
    </row>
    <row r="15" spans="1:61" ht="13.8" x14ac:dyDescent="0.25">
      <c r="A15" s="223" t="s">
        <v>281</v>
      </c>
      <c r="B15" s="224" t="s">
        <v>139</v>
      </c>
      <c r="C15" s="224">
        <v>20</v>
      </c>
      <c r="D15" s="224" t="s">
        <v>282</v>
      </c>
      <c r="E15" s="225" t="str">
        <f t="shared" ca="1" si="8"/>
        <v>R</v>
      </c>
      <c r="F15" s="348"/>
      <c r="G15" s="349">
        <f t="shared" ca="1" si="1"/>
        <v>39</v>
      </c>
      <c r="H15" s="350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249</v>
      </c>
      <c r="AR15" s="207" t="s">
        <v>139</v>
      </c>
      <c r="AS15" s="207">
        <v>20</v>
      </c>
      <c r="AT15" s="207" t="s">
        <v>250</v>
      </c>
      <c r="AV15" s="168">
        <f t="shared" si="21"/>
        <v>3</v>
      </c>
      <c r="AW15" s="168">
        <f>COUNTIF( AV$7:AV15, AV15 )</f>
        <v>2</v>
      </c>
      <c r="AX15" s="208">
        <f t="shared" si="22"/>
        <v>3.2</v>
      </c>
      <c r="AY15" s="168">
        <f t="shared" si="23"/>
        <v>4</v>
      </c>
      <c r="AZ15" s="169"/>
      <c r="BA15" s="169"/>
      <c r="BC15" s="168">
        <f t="shared" ca="1" si="24"/>
        <v>9</v>
      </c>
      <c r="BD15" s="209">
        <f t="shared" ca="1" si="6"/>
        <v>35</v>
      </c>
      <c r="BF15" s="173" t="str">
        <f t="shared" ca="1" si="7"/>
        <v>Pinnacle West Capital Corporation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PNW</v>
      </c>
    </row>
    <row r="16" spans="1:61" ht="13.8" x14ac:dyDescent="0.25">
      <c r="A16" s="223" t="s">
        <v>243</v>
      </c>
      <c r="B16" s="224" t="s">
        <v>139</v>
      </c>
      <c r="C16" s="224">
        <v>20</v>
      </c>
      <c r="D16" s="224" t="s">
        <v>244</v>
      </c>
      <c r="E16" s="225" t="str">
        <f t="shared" ca="1" si="8"/>
        <v>R</v>
      </c>
      <c r="F16" s="348"/>
      <c r="G16" s="349">
        <f t="shared" ca="1" si="1"/>
        <v>42</v>
      </c>
      <c r="H16" s="350"/>
      <c r="I16" s="232"/>
      <c r="J16" s="210" t="s">
        <v>253</v>
      </c>
      <c r="K16" s="232"/>
      <c r="L16" s="386">
        <f t="array" ref="L16">SUM( IF( LEN( $C$7:$C$65 ) = 0, 0, $C$7:$C$65 ) ) / SUM( IF( LEN( $C$7:$C$65 ) = 0, 0, 1  ) )</f>
        <v>18.88</v>
      </c>
      <c r="M16" s="387"/>
      <c r="N16" s="232"/>
      <c r="O16" s="386">
        <f t="array" aca="1" ref="O16" ca="1">SUM( IF( LEN( $C$7:$C$65 ) = 0, 0, IF( $E$7:$E$65 = O3, $C$7:$C$65, 0 ) ) ) / SUM( IF( LEN( $C$7:$C$65 ) = 0, 0, IF( $E$7:$E$65 = O3, 1, 0 ) ) )</f>
        <v>18.944444444444443</v>
      </c>
      <c r="P16" s="387"/>
      <c r="Q16" s="232"/>
      <c r="R16" s="386">
        <f t="array" aca="1" ref="R16" ca="1">SUM( IF( LEN( $C$7:$C$65 ) = 0, 0, IF( $E$7:$E$65 = R3, $C$7:$C$65, 0 ) ) ) / SUM( IF( LEN( $C$7:$C$65 ) = 0, 0, IF( $E$7:$E$65 = R3, 1, 0 ) ) )</f>
        <v>18.916666666666668</v>
      </c>
      <c r="S16" s="387"/>
      <c r="T16" s="232"/>
      <c r="U16" s="386">
        <f t="array" aca="1" ref="U16" ca="1">SUM( IF( LEN( $C$7:$C$65 ) = 0, 0, IF( $E$7:$E$65 = U3, $C$7:$C$65, 0 ) ) ) / SUM( IF( LEN( $C$7:$C$65 ) = 0, 0, IF( $E$7:$E$65 = U3, 1, 0 ) ) )</f>
        <v>17.5</v>
      </c>
      <c r="V16" s="388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254</v>
      </c>
      <c r="AR16" s="207" t="s">
        <v>140</v>
      </c>
      <c r="AS16" s="207">
        <v>19</v>
      </c>
      <c r="AT16" s="207" t="s">
        <v>378</v>
      </c>
      <c r="AV16" s="168">
        <f t="shared" si="21"/>
        <v>15</v>
      </c>
      <c r="AW16" s="168">
        <f>COUNTIF( AV$7:AV16, AV16 )</f>
        <v>3</v>
      </c>
      <c r="AX16" s="208">
        <f t="shared" si="22"/>
        <v>15.3</v>
      </c>
      <c r="AY16" s="168">
        <f t="shared" si="23"/>
        <v>17</v>
      </c>
      <c r="AZ16" s="169"/>
      <c r="BA16" s="169"/>
      <c r="BC16" s="168">
        <f t="shared" ca="1" si="24"/>
        <v>10</v>
      </c>
      <c r="BD16" s="209">
        <f t="shared" ca="1" si="6"/>
        <v>38</v>
      </c>
      <c r="BF16" s="173" t="str">
        <f t="shared" ca="1" si="7"/>
        <v>PPL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PPL</v>
      </c>
    </row>
    <row r="17" spans="1:61" ht="13.8" x14ac:dyDescent="0.25">
      <c r="A17" s="223" t="s">
        <v>293</v>
      </c>
      <c r="B17" s="224" t="s">
        <v>139</v>
      </c>
      <c r="C17" s="224">
        <v>20</v>
      </c>
      <c r="D17" s="224" t="s">
        <v>294</v>
      </c>
      <c r="E17" s="225" t="str">
        <f t="shared" ca="1" si="8"/>
        <v>R</v>
      </c>
      <c r="F17" s="348"/>
      <c r="G17" s="349">
        <f t="shared" ca="1" si="1"/>
        <v>46</v>
      </c>
      <c r="H17" s="350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256</v>
      </c>
      <c r="AR17" s="207" t="s">
        <v>140</v>
      </c>
      <c r="AS17" s="207">
        <v>19</v>
      </c>
      <c r="AT17" s="207" t="s">
        <v>257</v>
      </c>
      <c r="AV17" s="168">
        <f t="shared" si="21"/>
        <v>15</v>
      </c>
      <c r="AW17" s="168">
        <f>COUNTIF( AV$7:AV17, AV17 )</f>
        <v>4</v>
      </c>
      <c r="AX17" s="208">
        <f t="shared" si="22"/>
        <v>15.4</v>
      </c>
      <c r="AY17" s="168">
        <f t="shared" si="23"/>
        <v>18</v>
      </c>
      <c r="AZ17" s="169"/>
      <c r="BA17" s="169"/>
      <c r="BC17" s="168">
        <f t="shared" ca="1" si="24"/>
        <v>11</v>
      </c>
      <c r="BD17" s="209">
        <f t="shared" ca="1" si="6"/>
        <v>43</v>
      </c>
      <c r="BF17" s="173" t="str">
        <f t="shared" ca="1" si="7"/>
        <v>Southern Company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SO</v>
      </c>
    </row>
    <row r="18" spans="1:61" ht="13.8" x14ac:dyDescent="0.25">
      <c r="A18" s="223" t="s">
        <v>345</v>
      </c>
      <c r="B18" s="224" t="s">
        <v>139</v>
      </c>
      <c r="C18" s="224">
        <v>20</v>
      </c>
      <c r="D18" s="224" t="s">
        <v>346</v>
      </c>
      <c r="E18" s="225" t="str">
        <f t="shared" ca="1" si="8"/>
        <v>R</v>
      </c>
      <c r="F18" s="348"/>
      <c r="G18" s="349">
        <f t="shared" ca="1" si="1"/>
        <v>49</v>
      </c>
      <c r="H18" s="350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227</v>
      </c>
      <c r="AR18" s="207" t="s">
        <v>139</v>
      </c>
      <c r="AS18" s="207">
        <v>20</v>
      </c>
      <c r="AT18" s="207" t="s">
        <v>228</v>
      </c>
      <c r="AV18" s="168">
        <f t="shared" si="21"/>
        <v>3</v>
      </c>
      <c r="AW18" s="168">
        <f>COUNTIF( AV$7:AV18, AV18 )</f>
        <v>3</v>
      </c>
      <c r="AX18" s="208">
        <f t="shared" si="22"/>
        <v>3.3</v>
      </c>
      <c r="AY18" s="168">
        <f t="shared" si="23"/>
        <v>5</v>
      </c>
      <c r="AZ18" s="169"/>
      <c r="BA18" s="169"/>
      <c r="BC18" s="168">
        <f t="shared" ca="1" si="24"/>
        <v>12</v>
      </c>
      <c r="BD18" s="209">
        <f t="shared" ca="1" si="6"/>
        <v>46</v>
      </c>
      <c r="BF18" s="173" t="str">
        <f t="shared" ca="1" si="7"/>
        <v>Vectren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VVC</v>
      </c>
    </row>
    <row r="19" spans="1:61" ht="13.8" x14ac:dyDescent="0.25">
      <c r="A19" s="223" t="s">
        <v>247</v>
      </c>
      <c r="B19" s="224" t="s">
        <v>139</v>
      </c>
      <c r="C19" s="224">
        <v>20</v>
      </c>
      <c r="D19" s="224" t="s">
        <v>248</v>
      </c>
      <c r="E19" s="225" t="str">
        <f t="shared" ca="1" si="8"/>
        <v>R</v>
      </c>
      <c r="F19" s="348"/>
      <c r="G19" s="349">
        <f t="shared" ca="1" si="1"/>
        <v>50</v>
      </c>
      <c r="H19" s="350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361</v>
      </c>
      <c r="AR19" s="207" t="s">
        <v>140</v>
      </c>
      <c r="AS19" s="207">
        <v>19</v>
      </c>
      <c r="AT19" s="207" t="s">
        <v>194</v>
      </c>
      <c r="AV19" s="168">
        <f t="shared" si="21"/>
        <v>15</v>
      </c>
      <c r="AW19" s="168">
        <f>COUNTIF( AV$7:AV19, AV19 )</f>
        <v>5</v>
      </c>
      <c r="AX19" s="208">
        <f t="shared" si="22"/>
        <v>15.5</v>
      </c>
      <c r="AY19" s="168">
        <f t="shared" si="23"/>
        <v>19</v>
      </c>
      <c r="AZ19" s="169"/>
      <c r="BA19" s="169"/>
      <c r="BC19" s="168">
        <f t="shared" ca="1" si="24"/>
        <v>13</v>
      </c>
      <c r="BD19" s="209">
        <f t="shared" ca="1" si="6"/>
        <v>48</v>
      </c>
      <c r="BF19" s="173" t="str">
        <f t="shared" ca="1" si="7"/>
        <v>Wisconsin Energy Corporation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WEC</v>
      </c>
    </row>
    <row r="20" spans="1:61" ht="13.8" x14ac:dyDescent="0.25">
      <c r="A20" s="223" t="s">
        <v>251</v>
      </c>
      <c r="B20" s="224" t="s">
        <v>139</v>
      </c>
      <c r="C20" s="224">
        <v>20</v>
      </c>
      <c r="D20" s="224" t="s">
        <v>252</v>
      </c>
      <c r="E20" s="225" t="str">
        <f t="shared" ca="1" si="8"/>
        <v>R</v>
      </c>
      <c r="F20" s="348"/>
      <c r="G20" s="349">
        <f t="shared" ca="1" si="1"/>
        <v>52</v>
      </c>
      <c r="H20" s="350"/>
      <c r="I20" s="352"/>
      <c r="K20" s="352"/>
      <c r="N20" s="352"/>
      <c r="O20" s="173"/>
      <c r="Q20" s="352"/>
      <c r="T20" s="352"/>
      <c r="W20" s="352"/>
      <c r="AE20" s="184"/>
      <c r="AF20" s="169">
        <f t="shared" si="2"/>
        <v>0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259</v>
      </c>
      <c r="AR20" s="207" t="s">
        <v>175</v>
      </c>
      <c r="AS20" s="207">
        <v>15</v>
      </c>
      <c r="AT20" s="207" t="s">
        <v>260</v>
      </c>
      <c r="AV20" s="168">
        <f t="shared" si="21"/>
        <v>49</v>
      </c>
      <c r="AW20" s="168">
        <f>COUNTIF( AV$7:AV20, AV20 )</f>
        <v>1</v>
      </c>
      <c r="AX20" s="208">
        <f t="shared" si="22"/>
        <v>49.1</v>
      </c>
      <c r="AY20" s="168">
        <f t="shared" si="23"/>
        <v>49</v>
      </c>
      <c r="AZ20" s="169"/>
      <c r="BA20" s="169"/>
      <c r="BC20" s="168">
        <f t="shared" ca="1" si="24"/>
        <v>14</v>
      </c>
      <c r="BD20" s="209">
        <f t="shared" ca="1" si="6"/>
        <v>49</v>
      </c>
      <c r="BF20" s="173" t="str">
        <f t="shared" ca="1" si="7"/>
        <v>Xcel Energy Inc.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XEL</v>
      </c>
    </row>
    <row r="21" spans="1:61" ht="13.8" x14ac:dyDescent="0.25">
      <c r="A21" s="223" t="s">
        <v>217</v>
      </c>
      <c r="B21" s="224" t="s">
        <v>140</v>
      </c>
      <c r="C21" s="224">
        <v>19</v>
      </c>
      <c r="D21" s="224" t="s">
        <v>218</v>
      </c>
      <c r="E21" s="225" t="str">
        <f t="shared" ca="1" si="8"/>
        <v>MR</v>
      </c>
      <c r="F21" s="348"/>
      <c r="G21" s="349">
        <f t="shared" ca="1" si="1"/>
        <v>7</v>
      </c>
      <c r="H21" s="350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261</v>
      </c>
      <c r="AR21" s="207" t="s">
        <v>140</v>
      </c>
      <c r="AS21" s="207">
        <v>19</v>
      </c>
      <c r="AT21" s="207" t="s">
        <v>262</v>
      </c>
      <c r="AV21" s="168">
        <f t="shared" si="21"/>
        <v>15</v>
      </c>
      <c r="AW21" s="168">
        <f>COUNTIF( AV$7:AV21, AV21 )</f>
        <v>6</v>
      </c>
      <c r="AX21" s="208">
        <f t="shared" si="22"/>
        <v>15.6</v>
      </c>
      <c r="AY21" s="168">
        <f t="shared" si="23"/>
        <v>20</v>
      </c>
      <c r="AZ21" s="169"/>
      <c r="BA21" s="169"/>
      <c r="BC21" s="168">
        <f t="shared" ca="1" si="24"/>
        <v>15</v>
      </c>
      <c r="BD21" s="209">
        <f t="shared" ca="1" si="6"/>
        <v>1</v>
      </c>
      <c r="BF21" s="173" t="str">
        <f t="shared" ca="1" si="7"/>
        <v>ALLETE, Inc.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ALE</v>
      </c>
    </row>
    <row r="22" spans="1:61" ht="13.8" x14ac:dyDescent="0.25">
      <c r="A22" s="223" t="s">
        <v>225</v>
      </c>
      <c r="B22" s="224" t="s">
        <v>140</v>
      </c>
      <c r="C22" s="224">
        <v>19</v>
      </c>
      <c r="D22" s="224" t="s">
        <v>226</v>
      </c>
      <c r="E22" s="225" t="str">
        <f t="shared" ca="1" si="8"/>
        <v>R</v>
      </c>
      <c r="F22" s="348"/>
      <c r="G22" s="349">
        <f t="shared" ca="1" si="1"/>
        <v>9</v>
      </c>
      <c r="H22" s="350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263</v>
      </c>
      <c r="AR22" s="207" t="s">
        <v>139</v>
      </c>
      <c r="AS22" s="207">
        <v>20</v>
      </c>
      <c r="AT22" s="207" t="s">
        <v>264</v>
      </c>
      <c r="AV22" s="168">
        <f t="shared" si="21"/>
        <v>3</v>
      </c>
      <c r="AW22" s="168">
        <f>COUNTIF( AV$7:AV22, AV22 )</f>
        <v>4</v>
      </c>
      <c r="AX22" s="208">
        <f t="shared" si="22"/>
        <v>3.4</v>
      </c>
      <c r="AY22" s="168">
        <f t="shared" si="23"/>
        <v>6</v>
      </c>
      <c r="AZ22" s="169"/>
      <c r="BA22" s="169"/>
      <c r="BC22" s="168">
        <f t="shared" ca="1" si="24"/>
        <v>16</v>
      </c>
      <c r="BD22" s="209">
        <f t="shared" ca="1" si="6"/>
        <v>3</v>
      </c>
      <c r="BF22" s="173" t="str">
        <f t="shared" ca="1" si="7"/>
        <v>Ameren Corporation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AEE</v>
      </c>
    </row>
    <row r="23" spans="1:61" ht="13.8" x14ac:dyDescent="0.25">
      <c r="A23" s="223" t="s">
        <v>254</v>
      </c>
      <c r="B23" s="224" t="s">
        <v>140</v>
      </c>
      <c r="C23" s="224">
        <v>19</v>
      </c>
      <c r="D23" s="224" t="s">
        <v>378</v>
      </c>
      <c r="E23" s="225" t="str">
        <f t="shared" ca="1" si="8"/>
        <v>R</v>
      </c>
      <c r="F23" s="348"/>
      <c r="G23" s="349">
        <f t="shared" ca="1" si="1"/>
        <v>15</v>
      </c>
      <c r="H23" s="350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24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265</v>
      </c>
      <c r="AR23" s="207" t="s">
        <v>140</v>
      </c>
      <c r="AS23" s="207">
        <v>19</v>
      </c>
      <c r="AT23" s="207" t="s">
        <v>266</v>
      </c>
      <c r="AV23" s="168">
        <f t="shared" si="21"/>
        <v>15</v>
      </c>
      <c r="AW23" s="168">
        <f>COUNTIF( AV$7:AV23, AV23 )</f>
        <v>7</v>
      </c>
      <c r="AX23" s="208">
        <f t="shared" si="22"/>
        <v>15.7</v>
      </c>
      <c r="AY23" s="168">
        <f t="shared" si="23"/>
        <v>21</v>
      </c>
      <c r="AZ23" s="169"/>
      <c r="BA23" s="169"/>
      <c r="BC23" s="168">
        <f t="shared" ca="1" si="24"/>
        <v>17</v>
      </c>
      <c r="BD23" s="209">
        <f t="shared" ca="1" si="6"/>
        <v>10</v>
      </c>
      <c r="BF23" s="173" t="str">
        <f t="shared" ca="1" si="7"/>
        <v>Cleco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CNL</v>
      </c>
    </row>
    <row r="24" spans="1:61" ht="13.8" x14ac:dyDescent="0.25">
      <c r="A24" s="223" t="s">
        <v>256</v>
      </c>
      <c r="B24" s="224" t="s">
        <v>140</v>
      </c>
      <c r="C24" s="224">
        <v>19</v>
      </c>
      <c r="D24" s="224" t="s">
        <v>257</v>
      </c>
      <c r="E24" s="225" t="str">
        <f t="shared" ca="1" si="8"/>
        <v>R</v>
      </c>
      <c r="F24" s="348"/>
      <c r="G24" s="349">
        <f t="shared" ca="1" si="1"/>
        <v>16</v>
      </c>
      <c r="H24" s="350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25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328</v>
      </c>
      <c r="AR24" s="207" t="s">
        <v>141</v>
      </c>
      <c r="AS24" s="207">
        <v>18</v>
      </c>
      <c r="AT24" s="207" t="s">
        <v>331</v>
      </c>
      <c r="AV24" s="168">
        <f t="shared" si="21"/>
        <v>32</v>
      </c>
      <c r="AW24" s="168">
        <f>COUNTIF( AV$7:AV24, AV24 )</f>
        <v>5</v>
      </c>
      <c r="AX24" s="208">
        <f t="shared" si="22"/>
        <v>32.5</v>
      </c>
      <c r="AY24" s="168">
        <f t="shared" si="23"/>
        <v>36</v>
      </c>
      <c r="AZ24" s="169"/>
      <c r="BA24" s="169"/>
      <c r="BC24" s="168">
        <f t="shared" ca="1" si="24"/>
        <v>18</v>
      </c>
      <c r="BD24" s="209">
        <f t="shared" ca="1" si="6"/>
        <v>11</v>
      </c>
      <c r="BF24" s="173" t="str">
        <f t="shared" ca="1" si="7"/>
        <v>CMS Energy Corporation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CMS</v>
      </c>
    </row>
    <row r="25" spans="1:61" ht="13.8" x14ac:dyDescent="0.25">
      <c r="A25" s="223" t="s">
        <v>361</v>
      </c>
      <c r="B25" s="224" t="s">
        <v>140</v>
      </c>
      <c r="C25" s="224">
        <v>19</v>
      </c>
      <c r="D25" s="224" t="s">
        <v>194</v>
      </c>
      <c r="E25" s="225" t="str">
        <f t="shared" ca="1" si="8"/>
        <v>MR</v>
      </c>
      <c r="F25" s="348"/>
      <c r="G25" s="349">
        <f t="shared" ca="1" si="1"/>
        <v>18</v>
      </c>
      <c r="H25" s="350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>
        <f t="shared" ca="1" si="18"/>
        <v>1</v>
      </c>
      <c r="AJ25" s="169">
        <f t="shared" ca="1" si="19"/>
        <v>11</v>
      </c>
      <c r="AK25" s="169" t="str">
        <f t="shared" ca="1" si="20"/>
        <v>A-</v>
      </c>
      <c r="AL25" s="169">
        <f t="shared" ca="1" si="20"/>
        <v>20</v>
      </c>
      <c r="AM25" s="169" t="str">
        <f t="shared" ca="1" si="4"/>
        <v>Change</v>
      </c>
      <c r="AQ25" s="207" t="s">
        <v>367</v>
      </c>
      <c r="AR25" s="207" t="s">
        <v>141</v>
      </c>
      <c r="AS25" s="207">
        <v>18</v>
      </c>
      <c r="AT25" s="207" t="s">
        <v>368</v>
      </c>
      <c r="AV25" s="168">
        <f t="shared" si="21"/>
        <v>32</v>
      </c>
      <c r="AW25" s="168">
        <f>COUNTIF( AV$7:AV25, AV25 )</f>
        <v>6</v>
      </c>
      <c r="AX25" s="208">
        <f t="shared" si="22"/>
        <v>32.6</v>
      </c>
      <c r="AY25" s="168">
        <f t="shared" si="23"/>
        <v>37</v>
      </c>
      <c r="AZ25" s="169"/>
      <c r="BA25" s="169"/>
      <c r="BC25" s="168">
        <f t="shared" ca="1" si="24"/>
        <v>19</v>
      </c>
      <c r="BD25" s="209">
        <f t="shared" ca="1" si="6"/>
        <v>13</v>
      </c>
      <c r="BF25" s="173" t="str">
        <f t="shared" ca="1" si="7"/>
        <v>Dominion Resources, Inc.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D</v>
      </c>
    </row>
    <row r="26" spans="1:61" ht="13.8" x14ac:dyDescent="0.25">
      <c r="A26" s="223" t="s">
        <v>261</v>
      </c>
      <c r="B26" s="224" t="s">
        <v>140</v>
      </c>
      <c r="C26" s="224">
        <v>19</v>
      </c>
      <c r="D26" s="224" t="s">
        <v>262</v>
      </c>
      <c r="E26" s="225" t="str">
        <f t="shared" ca="1" si="8"/>
        <v>R</v>
      </c>
      <c r="F26" s="348"/>
      <c r="G26" s="349">
        <f t="shared" ca="1" si="1"/>
        <v>19</v>
      </c>
      <c r="H26" s="350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267</v>
      </c>
      <c r="AR26" s="207" t="s">
        <v>141</v>
      </c>
      <c r="AS26" s="207">
        <v>18</v>
      </c>
      <c r="AT26" s="207" t="s">
        <v>268</v>
      </c>
      <c r="AV26" s="168">
        <f t="shared" si="21"/>
        <v>32</v>
      </c>
      <c r="AW26" s="168">
        <f>COUNTIF( AV$7:AV26, AV26 )</f>
        <v>7</v>
      </c>
      <c r="AX26" s="208">
        <f t="shared" si="22"/>
        <v>32.700000000000003</v>
      </c>
      <c r="AY26" s="168">
        <f t="shared" si="23"/>
        <v>38</v>
      </c>
      <c r="AZ26" s="169"/>
      <c r="BA26" s="169"/>
      <c r="BC26" s="168">
        <f t="shared" ca="1" si="24"/>
        <v>20</v>
      </c>
      <c r="BD26" s="209">
        <f t="shared" ca="1" si="6"/>
        <v>15</v>
      </c>
      <c r="BF26" s="173" t="str">
        <f t="shared" ca="1" si="7"/>
        <v>DTE Energy Company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DTE</v>
      </c>
    </row>
    <row r="27" spans="1:61" ht="13.8" x14ac:dyDescent="0.25">
      <c r="A27" s="223" t="s">
        <v>265</v>
      </c>
      <c r="B27" s="224" t="s">
        <v>140</v>
      </c>
      <c r="C27" s="224">
        <v>19</v>
      </c>
      <c r="D27" s="224" t="s">
        <v>266</v>
      </c>
      <c r="E27" s="225" t="str">
        <f t="shared" ca="1" si="8"/>
        <v>R</v>
      </c>
      <c r="F27" s="348"/>
      <c r="G27" s="349">
        <f t="shared" ca="1" si="1"/>
        <v>21</v>
      </c>
      <c r="H27" s="350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235</v>
      </c>
      <c r="AR27" s="207" t="s">
        <v>166</v>
      </c>
      <c r="AS27" s="207">
        <v>21</v>
      </c>
      <c r="AT27" s="207" t="s">
        <v>236</v>
      </c>
      <c r="AV27" s="168">
        <f t="shared" si="21"/>
        <v>1</v>
      </c>
      <c r="AW27" s="168">
        <f>COUNTIF( AV$7:AV27, AV27 )</f>
        <v>2</v>
      </c>
      <c r="AX27" s="208">
        <f t="shared" si="22"/>
        <v>1.2</v>
      </c>
      <c r="AY27" s="168">
        <f t="shared" si="23"/>
        <v>2</v>
      </c>
      <c r="AZ27" s="169"/>
      <c r="BA27" s="169"/>
      <c r="BC27" s="168">
        <f t="shared" ca="1" si="24"/>
        <v>21</v>
      </c>
      <c r="BD27" s="209">
        <f t="shared" ca="1" si="6"/>
        <v>17</v>
      </c>
      <c r="BF27" s="173" t="str">
        <f t="shared" ca="1" si="7"/>
        <v>Edison International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EIX</v>
      </c>
    </row>
    <row r="28" spans="1:61" ht="13.8" x14ac:dyDescent="0.25">
      <c r="A28" s="223" t="s">
        <v>352</v>
      </c>
      <c r="B28" s="224" t="s">
        <v>140</v>
      </c>
      <c r="C28" s="224">
        <v>19</v>
      </c>
      <c r="D28" s="224" t="s">
        <v>353</v>
      </c>
      <c r="E28" s="225" t="str">
        <f t="shared" ca="1" si="8"/>
        <v>R</v>
      </c>
      <c r="F28" s="348"/>
      <c r="G28" s="349">
        <f t="shared" ca="1" si="1"/>
        <v>28</v>
      </c>
      <c r="H28" s="350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269</v>
      </c>
      <c r="AR28" s="207" t="s">
        <v>141</v>
      </c>
      <c r="AS28" s="207">
        <v>18</v>
      </c>
      <c r="AT28" s="207" t="s">
        <v>270</v>
      </c>
      <c r="AV28" s="168">
        <f t="shared" si="21"/>
        <v>32</v>
      </c>
      <c r="AW28" s="168">
        <f>COUNTIF( AV$7:AV28, AV28 )</f>
        <v>8</v>
      </c>
      <c r="AX28" s="208">
        <f t="shared" si="22"/>
        <v>32.799999999999997</v>
      </c>
      <c r="AY28" s="168">
        <f t="shared" si="23"/>
        <v>39</v>
      </c>
      <c r="AZ28" s="169"/>
      <c r="BA28" s="169"/>
      <c r="BC28" s="168">
        <f t="shared" ca="1" si="24"/>
        <v>22</v>
      </c>
      <c r="BD28" s="209">
        <f t="shared" ca="1" si="6"/>
        <v>24</v>
      </c>
      <c r="BF28" s="173" t="str">
        <f t="shared" ca="1" si="7"/>
        <v>Great Plains Energy Inc.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GXP</v>
      </c>
    </row>
    <row r="29" spans="1:61" ht="13.8" x14ac:dyDescent="0.25">
      <c r="A29" s="223" t="s">
        <v>271</v>
      </c>
      <c r="B29" s="224" t="s">
        <v>140</v>
      </c>
      <c r="C29" s="224">
        <v>19</v>
      </c>
      <c r="D29" s="224" t="s">
        <v>272</v>
      </c>
      <c r="E29" s="225" t="str">
        <f t="shared" ca="1" si="8"/>
        <v>MR</v>
      </c>
      <c r="F29" s="348"/>
      <c r="G29" s="349">
        <f t="shared" ca="1" si="1"/>
        <v>31</v>
      </c>
      <c r="H29" s="350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275</v>
      </c>
      <c r="AR29" s="207" t="s">
        <v>142</v>
      </c>
      <c r="AS29" s="207">
        <v>17</v>
      </c>
      <c r="AT29" s="207" t="s">
        <v>276</v>
      </c>
      <c r="AV29" s="168">
        <f t="shared" si="21"/>
        <v>45</v>
      </c>
      <c r="AW29" s="168">
        <f>COUNTIF( AV$7:AV29, AV29 )</f>
        <v>1</v>
      </c>
      <c r="AX29" s="208">
        <f t="shared" si="22"/>
        <v>45.1</v>
      </c>
      <c r="AY29" s="168">
        <f t="shared" si="23"/>
        <v>45</v>
      </c>
      <c r="AZ29" s="169"/>
      <c r="BA29" s="169"/>
      <c r="BC29" s="168">
        <f t="shared" ca="1" si="24"/>
        <v>23</v>
      </c>
      <c r="BD29" s="209">
        <f t="shared" ca="1" si="6"/>
        <v>28</v>
      </c>
      <c r="BF29" s="173" t="str">
        <f t="shared" ca="1" si="7"/>
        <v>MDU Resources Group, Inc.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MDU</v>
      </c>
    </row>
    <row r="30" spans="1:61" ht="13.8" x14ac:dyDescent="0.25">
      <c r="A30" s="223" t="s">
        <v>273</v>
      </c>
      <c r="B30" s="224" t="s">
        <v>140</v>
      </c>
      <c r="C30" s="224">
        <v>19</v>
      </c>
      <c r="D30" s="224" t="s">
        <v>274</v>
      </c>
      <c r="E30" s="225" t="str">
        <f t="shared" ca="1" si="8"/>
        <v>R</v>
      </c>
      <c r="F30" s="348"/>
      <c r="G30" s="349">
        <f t="shared" ca="1" si="1"/>
        <v>34</v>
      </c>
      <c r="H30" s="350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352</v>
      </c>
      <c r="AR30" s="207" t="s">
        <v>140</v>
      </c>
      <c r="AS30" s="207">
        <v>19</v>
      </c>
      <c r="AT30" s="207" t="s">
        <v>353</v>
      </c>
      <c r="AV30" s="168">
        <f t="shared" si="21"/>
        <v>15</v>
      </c>
      <c r="AW30" s="168">
        <f>COUNTIF( AV$7:AV30, AV30 )</f>
        <v>8</v>
      </c>
      <c r="AX30" s="208">
        <f t="shared" si="22"/>
        <v>15.8</v>
      </c>
      <c r="AY30" s="168">
        <f t="shared" si="23"/>
        <v>22</v>
      </c>
      <c r="AZ30" s="169"/>
      <c r="BA30" s="169"/>
      <c r="BC30" s="168">
        <f t="shared" ca="1" si="24"/>
        <v>24</v>
      </c>
      <c r="BD30" s="209">
        <f t="shared" ca="1" si="6"/>
        <v>30</v>
      </c>
      <c r="BF30" s="173" t="str">
        <f t="shared" ca="1" si="7"/>
        <v>NiSource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NI</v>
      </c>
    </row>
    <row r="31" spans="1:61" ht="13.8" x14ac:dyDescent="0.25">
      <c r="A31" s="223" t="s">
        <v>303</v>
      </c>
      <c r="B31" s="224" t="s">
        <v>140</v>
      </c>
      <c r="C31" s="224">
        <v>19</v>
      </c>
      <c r="D31" s="224" t="s">
        <v>304</v>
      </c>
      <c r="E31" s="225" t="str">
        <f t="shared" ca="1" si="8"/>
        <v>R</v>
      </c>
      <c r="F31" s="348"/>
      <c r="G31" s="349">
        <f t="shared" ca="1" si="1"/>
        <v>40</v>
      </c>
      <c r="H31" s="350"/>
      <c r="I31" s="237"/>
      <c r="J31" s="191"/>
      <c r="K31" s="237"/>
      <c r="N31" s="237"/>
      <c r="O31" s="351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32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279</v>
      </c>
      <c r="AR31" s="207" t="s">
        <v>142</v>
      </c>
      <c r="AS31" s="207">
        <v>17</v>
      </c>
      <c r="AT31" s="207" t="s">
        <v>280</v>
      </c>
      <c r="AV31" s="168">
        <f t="shared" si="21"/>
        <v>45</v>
      </c>
      <c r="AW31" s="168">
        <f>COUNTIF( AV$7:AV31, AV31 )</f>
        <v>2</v>
      </c>
      <c r="AX31" s="208">
        <f t="shared" si="22"/>
        <v>45.2</v>
      </c>
      <c r="AY31" s="168">
        <f t="shared" si="23"/>
        <v>46</v>
      </c>
      <c r="AZ31" s="169"/>
      <c r="BA31" s="169"/>
      <c r="BC31" s="168">
        <f t="shared" ca="1" si="24"/>
        <v>25</v>
      </c>
      <c r="BD31" s="209">
        <f t="shared" ca="1" si="6"/>
        <v>36</v>
      </c>
      <c r="BF31" s="173" t="str">
        <f t="shared" ca="1" si="7"/>
        <v>PNM Resources,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PNM</v>
      </c>
    </row>
    <row r="32" spans="1:61" ht="13.8" x14ac:dyDescent="0.25">
      <c r="A32" s="223" t="s">
        <v>289</v>
      </c>
      <c r="B32" s="224" t="s">
        <v>140</v>
      </c>
      <c r="C32" s="224">
        <v>19</v>
      </c>
      <c r="D32" s="224" t="s">
        <v>290</v>
      </c>
      <c r="E32" s="225" t="str">
        <f t="shared" ca="1" si="8"/>
        <v>MR</v>
      </c>
      <c r="F32" s="348"/>
      <c r="G32" s="349">
        <f t="shared" ca="1" si="1"/>
        <v>43</v>
      </c>
      <c r="H32" s="350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33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283</v>
      </c>
      <c r="AR32" s="207" t="s">
        <v>141</v>
      </c>
      <c r="AS32" s="207">
        <v>18</v>
      </c>
      <c r="AT32" s="207" t="s">
        <v>284</v>
      </c>
      <c r="AV32" s="168">
        <f t="shared" si="21"/>
        <v>32</v>
      </c>
      <c r="AW32" s="168">
        <f>COUNTIF( AV$7:AV32, AV32 )</f>
        <v>9</v>
      </c>
      <c r="AX32" s="208">
        <f t="shared" si="22"/>
        <v>32.9</v>
      </c>
      <c r="AY32" s="168">
        <f t="shared" si="23"/>
        <v>40</v>
      </c>
      <c r="AZ32" s="169"/>
      <c r="BA32" s="169"/>
      <c r="BC32" s="168">
        <f t="shared" ca="1" si="24"/>
        <v>26</v>
      </c>
      <c r="BD32" s="209">
        <f t="shared" ca="1" si="6"/>
        <v>39</v>
      </c>
      <c r="BF32" s="173" t="str">
        <f t="shared" ca="1" si="7"/>
        <v>Public Service Enterprise Group Incorporated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PEG</v>
      </c>
    </row>
    <row r="33" spans="1:61" ht="13.8" x14ac:dyDescent="0.25">
      <c r="A33" s="223" t="s">
        <v>347</v>
      </c>
      <c r="B33" s="224" t="s">
        <v>140</v>
      </c>
      <c r="C33" s="224">
        <v>19</v>
      </c>
      <c r="D33" s="224" t="s">
        <v>348</v>
      </c>
      <c r="E33" s="225" t="str">
        <f t="shared" ca="1" si="8"/>
        <v>MR</v>
      </c>
      <c r="F33" s="348"/>
      <c r="G33" s="349">
        <f t="shared" ca="1" si="1"/>
        <v>44</v>
      </c>
      <c r="H33" s="350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34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287</v>
      </c>
      <c r="AR33" s="207" t="s">
        <v>173</v>
      </c>
      <c r="AS33" s="207">
        <v>16</v>
      </c>
      <c r="AT33" s="207" t="s">
        <v>288</v>
      </c>
      <c r="AV33" s="168">
        <f t="shared" si="21"/>
        <v>48</v>
      </c>
      <c r="AW33" s="168">
        <f>COUNTIF( AV$7:AV33, AV33 )</f>
        <v>1</v>
      </c>
      <c r="AX33" s="208">
        <f t="shared" si="22"/>
        <v>48.1</v>
      </c>
      <c r="AY33" s="168">
        <f t="shared" si="23"/>
        <v>48</v>
      </c>
      <c r="AZ33" s="169"/>
      <c r="BA33" s="169"/>
      <c r="BC33" s="168">
        <f t="shared" ca="1" si="24"/>
        <v>27</v>
      </c>
      <c r="BD33" s="209">
        <f t="shared" ca="1" si="6"/>
        <v>41</v>
      </c>
      <c r="BF33" s="173" t="str">
        <f t="shared" ca="1" si="7"/>
        <v>SCANA Corporation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SCG</v>
      </c>
    </row>
    <row r="34" spans="1:61" ht="13.8" x14ac:dyDescent="0.25">
      <c r="A34" s="223" t="s">
        <v>291</v>
      </c>
      <c r="B34" s="224" t="s">
        <v>140</v>
      </c>
      <c r="C34" s="224">
        <v>19</v>
      </c>
      <c r="D34" s="224" t="s">
        <v>292</v>
      </c>
      <c r="E34" s="225" t="str">
        <f t="shared" ca="1" si="8"/>
        <v>MR</v>
      </c>
      <c r="F34" s="348"/>
      <c r="G34" s="349">
        <f t="shared" ca="1" si="1"/>
        <v>45</v>
      </c>
      <c r="H34" s="350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35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271</v>
      </c>
      <c r="AR34" s="207" t="s">
        <v>140</v>
      </c>
      <c r="AS34" s="207">
        <v>19</v>
      </c>
      <c r="AT34" s="207" t="s">
        <v>272</v>
      </c>
      <c r="AV34" s="168">
        <f t="shared" si="21"/>
        <v>15</v>
      </c>
      <c r="AW34" s="168">
        <f>COUNTIF( AV$7:AV34, AV34 )</f>
        <v>9</v>
      </c>
      <c r="AX34" s="208">
        <f t="shared" si="22"/>
        <v>15.9</v>
      </c>
      <c r="AY34" s="168">
        <f t="shared" si="23"/>
        <v>23</v>
      </c>
      <c r="AZ34" s="169"/>
      <c r="BA34" s="169"/>
      <c r="BC34" s="168">
        <f t="shared" ca="1" si="24"/>
        <v>28</v>
      </c>
      <c r="BD34" s="209">
        <f t="shared" ca="1" si="6"/>
        <v>42</v>
      </c>
      <c r="BF34" s="173" t="str">
        <f t="shared" ca="1" si="7"/>
        <v>Sempra Energy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SRE</v>
      </c>
    </row>
    <row r="35" spans="1:61" ht="13.8" x14ac:dyDescent="0.25">
      <c r="A35" s="223" t="s">
        <v>369</v>
      </c>
      <c r="B35" s="224" t="s">
        <v>140</v>
      </c>
      <c r="C35" s="224">
        <v>19</v>
      </c>
      <c r="D35" s="224" t="s">
        <v>375</v>
      </c>
      <c r="E35" s="225" t="str">
        <f t="shared" ca="1" si="8"/>
        <v>R</v>
      </c>
      <c r="F35" s="348"/>
      <c r="G35" s="349">
        <f t="shared" ca="1" si="1"/>
        <v>47</v>
      </c>
      <c r="H35" s="350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36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240</v>
      </c>
      <c r="AR35" s="207" t="s">
        <v>139</v>
      </c>
      <c r="AS35" s="207">
        <v>20</v>
      </c>
      <c r="AT35" s="207" t="s">
        <v>241</v>
      </c>
      <c r="AV35" s="168">
        <f t="shared" si="21"/>
        <v>3</v>
      </c>
      <c r="AW35" s="168">
        <f>COUNTIF( AV$7:AV35, AV35 )</f>
        <v>5</v>
      </c>
      <c r="AX35" s="208">
        <f t="shared" si="22"/>
        <v>3.5</v>
      </c>
      <c r="AY35" s="168">
        <f t="shared" si="23"/>
        <v>7</v>
      </c>
      <c r="AZ35" s="169"/>
      <c r="BA35" s="169"/>
      <c r="BC35" s="168">
        <f t="shared" ca="1" si="24"/>
        <v>29</v>
      </c>
      <c r="BD35" s="209">
        <f t="shared" ca="1" si="6"/>
        <v>44</v>
      </c>
      <c r="BF35" s="173" t="str">
        <f t="shared" ca="1" si="7"/>
        <v>TECO Energy, Inc.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TE</v>
      </c>
    </row>
    <row r="36" spans="1:61" ht="13.8" x14ac:dyDescent="0.25">
      <c r="A36" s="223" t="s">
        <v>295</v>
      </c>
      <c r="B36" s="224" t="s">
        <v>140</v>
      </c>
      <c r="C36" s="224">
        <v>19</v>
      </c>
      <c r="D36" s="224" t="s">
        <v>296</v>
      </c>
      <c r="E36" s="225" t="str">
        <f t="shared" ca="1" si="8"/>
        <v>R</v>
      </c>
      <c r="F36" s="348"/>
      <c r="G36" s="349">
        <f t="shared" ca="1" si="1"/>
        <v>48</v>
      </c>
      <c r="H36" s="350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37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273</v>
      </c>
      <c r="AR36" s="207" t="s">
        <v>140</v>
      </c>
      <c r="AS36" s="207">
        <v>19</v>
      </c>
      <c r="AT36" s="207" t="s">
        <v>274</v>
      </c>
      <c r="AV36" s="168">
        <f t="shared" si="21"/>
        <v>15</v>
      </c>
      <c r="AW36" s="168">
        <f>COUNTIF( AV$7:AV36, AV36 )</f>
        <v>10</v>
      </c>
      <c r="AX36" s="208">
        <f t="shared" si="22"/>
        <v>16</v>
      </c>
      <c r="AY36" s="168">
        <f t="shared" si="23"/>
        <v>24</v>
      </c>
      <c r="AZ36" s="169"/>
      <c r="BA36" s="169"/>
      <c r="BC36" s="168">
        <f t="shared" ca="1" si="24"/>
        <v>30</v>
      </c>
      <c r="BD36" s="209">
        <f t="shared" ca="1" si="6"/>
        <v>45</v>
      </c>
      <c r="BF36" s="173" t="str">
        <f t="shared" ca="1" si="7"/>
        <v>Unitil Corporation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*UTL</v>
      </c>
    </row>
    <row r="37" spans="1:61" ht="13.8" x14ac:dyDescent="0.25">
      <c r="A37" s="223" t="s">
        <v>354</v>
      </c>
      <c r="B37" s="224" t="s">
        <v>140</v>
      </c>
      <c r="C37" s="224">
        <v>19</v>
      </c>
      <c r="D37" s="224" t="s">
        <v>355</v>
      </c>
      <c r="E37" s="225" t="str">
        <f t="shared" ca="1" si="8"/>
        <v>R</v>
      </c>
      <c r="F37" s="348"/>
      <c r="G37" s="349">
        <f t="shared" ca="1" si="1"/>
        <v>51</v>
      </c>
      <c r="H37" s="350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38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297</v>
      </c>
      <c r="AR37" s="207" t="s">
        <v>141</v>
      </c>
      <c r="AS37" s="207">
        <v>18</v>
      </c>
      <c r="AT37" s="207" t="s">
        <v>298</v>
      </c>
      <c r="AV37" s="168">
        <f t="shared" si="21"/>
        <v>32</v>
      </c>
      <c r="AW37" s="168">
        <f>COUNTIF( AV$7:AV37, AV37 )</f>
        <v>10</v>
      </c>
      <c r="AX37" s="208">
        <f t="shared" si="22"/>
        <v>33</v>
      </c>
      <c r="AY37" s="168">
        <f t="shared" si="23"/>
        <v>41</v>
      </c>
      <c r="AZ37" s="169"/>
      <c r="BA37" s="169"/>
      <c r="BC37" s="168">
        <f t="shared" ca="1" si="24"/>
        <v>31</v>
      </c>
      <c r="BD37" s="209">
        <f t="shared" ca="1" si="6"/>
        <v>47</v>
      </c>
      <c r="BF37" s="173" t="str">
        <f t="shared" ca="1" si="7"/>
        <v>Westar Energy, Inc.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WR</v>
      </c>
    </row>
    <row r="38" spans="1:61" ht="13.8" x14ac:dyDescent="0.25">
      <c r="A38" s="223" t="s">
        <v>222</v>
      </c>
      <c r="B38" s="224" t="s">
        <v>141</v>
      </c>
      <c r="C38" s="224">
        <v>18</v>
      </c>
      <c r="D38" s="224" t="s">
        <v>223</v>
      </c>
      <c r="E38" s="225" t="str">
        <f t="shared" ca="1" si="8"/>
        <v>R</v>
      </c>
      <c r="F38" s="348"/>
      <c r="G38" s="349">
        <f t="shared" ca="1" si="1"/>
        <v>10</v>
      </c>
      <c r="H38" s="350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39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277</v>
      </c>
      <c r="AR38" s="207" t="s">
        <v>139</v>
      </c>
      <c r="AS38" s="207">
        <v>20</v>
      </c>
      <c r="AT38" s="207" t="s">
        <v>278</v>
      </c>
      <c r="AV38" s="168">
        <f t="shared" si="21"/>
        <v>3</v>
      </c>
      <c r="AW38" s="168">
        <f>COUNTIF( AV$7:AV38, AV38 )</f>
        <v>6</v>
      </c>
      <c r="AX38" s="208">
        <f t="shared" si="22"/>
        <v>3.6</v>
      </c>
      <c r="AY38" s="168">
        <f t="shared" si="23"/>
        <v>8</v>
      </c>
      <c r="AZ38" s="169"/>
      <c r="BA38" s="169"/>
      <c r="BC38" s="168">
        <f t="shared" ca="1" si="24"/>
        <v>32</v>
      </c>
      <c r="BD38" s="209">
        <f t="shared" ca="1" si="6"/>
        <v>4</v>
      </c>
      <c r="BF38" s="173" t="str">
        <f t="shared" ca="1" si="7"/>
        <v>American Electric Power Company, Inc.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AEP</v>
      </c>
    </row>
    <row r="39" spans="1:61" ht="13.8" x14ac:dyDescent="0.25">
      <c r="A39" s="223" t="s">
        <v>233</v>
      </c>
      <c r="B39" s="224" t="s">
        <v>141</v>
      </c>
      <c r="C39" s="224">
        <v>18</v>
      </c>
      <c r="D39" s="224" t="s">
        <v>234</v>
      </c>
      <c r="E39" s="225" t="str">
        <f t="shared" ca="1" si="8"/>
        <v>MR</v>
      </c>
      <c r="F39" s="348"/>
      <c r="G39" s="349">
        <f t="shared" ca="1" si="1"/>
        <v>11</v>
      </c>
      <c r="H39" s="350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40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299</v>
      </c>
      <c r="AR39" s="207" t="s">
        <v>141</v>
      </c>
      <c r="AS39" s="207">
        <v>18</v>
      </c>
      <c r="AT39" s="207" t="s">
        <v>300</v>
      </c>
      <c r="AV39" s="168">
        <f t="shared" si="21"/>
        <v>32</v>
      </c>
      <c r="AW39" s="168">
        <f>COUNTIF( AV$7:AV39, AV39 )</f>
        <v>11</v>
      </c>
      <c r="AX39" s="208">
        <f t="shared" si="22"/>
        <v>33.1</v>
      </c>
      <c r="AY39" s="168">
        <f t="shared" si="23"/>
        <v>42</v>
      </c>
      <c r="AZ39" s="169"/>
      <c r="BA39" s="169"/>
      <c r="BC39" s="168">
        <f t="shared" ca="1" si="24"/>
        <v>33</v>
      </c>
      <c r="BD39" s="209">
        <f t="shared" ca="1" si="6"/>
        <v>5</v>
      </c>
      <c r="BF39" s="173" t="str">
        <f t="shared" ref="BF39:BI63" ca="1" si="25">OFFSET( AQ$6, $BD39, 0 )</f>
        <v>AVANGRID, Inc.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AGR</v>
      </c>
    </row>
    <row r="40" spans="1:61" ht="13.8" x14ac:dyDescent="0.25">
      <c r="A40" s="223" t="s">
        <v>238</v>
      </c>
      <c r="B40" s="224" t="s">
        <v>141</v>
      </c>
      <c r="C40" s="224">
        <v>18</v>
      </c>
      <c r="D40" s="224" t="s">
        <v>239</v>
      </c>
      <c r="E40" s="225" t="str">
        <f t="shared" ca="1" si="8"/>
        <v>R</v>
      </c>
      <c r="F40" s="348"/>
      <c r="G40" s="349">
        <f t="shared" ca="1" si="1"/>
        <v>12</v>
      </c>
      <c r="H40" s="350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41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301</v>
      </c>
      <c r="AR40" s="207" t="s">
        <v>141</v>
      </c>
      <c r="AS40" s="207">
        <v>18</v>
      </c>
      <c r="AT40" s="207" t="s">
        <v>302</v>
      </c>
      <c r="AV40" s="168">
        <f t="shared" si="21"/>
        <v>32</v>
      </c>
      <c r="AW40" s="168">
        <f>COUNTIF( AV$7:AV40, AV40 )</f>
        <v>12</v>
      </c>
      <c r="AX40" s="208">
        <f t="shared" si="22"/>
        <v>33.200000000000003</v>
      </c>
      <c r="AY40" s="168">
        <f t="shared" si="23"/>
        <v>43</v>
      </c>
      <c r="AZ40" s="169"/>
      <c r="BA40" s="169"/>
      <c r="BC40" s="168">
        <f t="shared" ca="1" si="24"/>
        <v>34</v>
      </c>
      <c r="BD40" s="209">
        <f t="shared" ca="1" si="6"/>
        <v>6</v>
      </c>
      <c r="BF40" s="173" t="str">
        <f t="shared" ca="1" si="25"/>
        <v>Avista Corporation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AVA</v>
      </c>
    </row>
    <row r="41" spans="1:61" ht="13.8" x14ac:dyDescent="0.25">
      <c r="A41" s="223" t="s">
        <v>245</v>
      </c>
      <c r="B41" s="224" t="s">
        <v>141</v>
      </c>
      <c r="C41" s="224">
        <v>18</v>
      </c>
      <c r="D41" s="224" t="s">
        <v>246</v>
      </c>
      <c r="E41" s="225" t="str">
        <f t="shared" ca="1" si="8"/>
        <v>R</v>
      </c>
      <c r="F41" s="348"/>
      <c r="G41" s="349">
        <f t="shared" ca="1" si="1"/>
        <v>13</v>
      </c>
      <c r="H41" s="350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42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281</v>
      </c>
      <c r="AR41" s="207" t="s">
        <v>139</v>
      </c>
      <c r="AS41" s="207">
        <v>20</v>
      </c>
      <c r="AT41" s="207" t="s">
        <v>282</v>
      </c>
      <c r="AV41" s="168">
        <f t="shared" si="21"/>
        <v>3</v>
      </c>
      <c r="AW41" s="168">
        <f>COUNTIF( AV$7:AV41, AV41 )</f>
        <v>7</v>
      </c>
      <c r="AX41" s="208">
        <f t="shared" si="22"/>
        <v>3.7</v>
      </c>
      <c r="AY41" s="168">
        <f t="shared" si="23"/>
        <v>9</v>
      </c>
      <c r="AZ41" s="169"/>
      <c r="BA41" s="169"/>
      <c r="BC41" s="168">
        <f t="shared" ca="1" si="24"/>
        <v>35</v>
      </c>
      <c r="BD41" s="209">
        <f t="shared" ca="1" si="6"/>
        <v>8</v>
      </c>
      <c r="BF41" s="173" t="str">
        <f t="shared" ca="1" si="25"/>
        <v>Black Hills Corporation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BKH</v>
      </c>
    </row>
    <row r="42" spans="1:61" ht="13.8" x14ac:dyDescent="0.25">
      <c r="A42" s="223" t="s">
        <v>328</v>
      </c>
      <c r="B42" s="224" t="s">
        <v>141</v>
      </c>
      <c r="C42" s="224">
        <v>18</v>
      </c>
      <c r="D42" s="224" t="s">
        <v>331</v>
      </c>
      <c r="E42" s="225" t="str">
        <f t="shared" ca="1" si="8"/>
        <v>R</v>
      </c>
      <c r="F42" s="348"/>
      <c r="G42" s="349">
        <f t="shared" ca="1" si="1"/>
        <v>22</v>
      </c>
      <c r="H42" s="350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43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303</v>
      </c>
      <c r="AR42" s="207" t="s">
        <v>140</v>
      </c>
      <c r="AS42" s="207">
        <v>19</v>
      </c>
      <c r="AT42" s="207" t="s">
        <v>304</v>
      </c>
      <c r="AV42" s="168">
        <f t="shared" si="21"/>
        <v>15</v>
      </c>
      <c r="AW42" s="168">
        <f>COUNTIF( AV$7:AV42, AV42 )</f>
        <v>11</v>
      </c>
      <c r="AX42" s="208">
        <f t="shared" si="22"/>
        <v>16.100000000000001</v>
      </c>
      <c r="AY42" s="168">
        <f t="shared" si="23"/>
        <v>25</v>
      </c>
      <c r="AZ42" s="169"/>
      <c r="BA42" s="169"/>
      <c r="BC42" s="168">
        <f t="shared" ca="1" si="24"/>
        <v>36</v>
      </c>
      <c r="BD42" s="209">
        <f t="shared" ca="1" si="6"/>
        <v>18</v>
      </c>
      <c r="BF42" s="173" t="str">
        <f t="shared" ca="1" si="25"/>
        <v>El Paso Electric Company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EE</v>
      </c>
    </row>
    <row r="43" spans="1:61" ht="13.8" x14ac:dyDescent="0.25">
      <c r="A43" s="223" t="s">
        <v>367</v>
      </c>
      <c r="B43" s="224" t="s">
        <v>141</v>
      </c>
      <c r="C43" s="224">
        <v>18</v>
      </c>
      <c r="D43" s="224" t="s">
        <v>368</v>
      </c>
      <c r="E43" s="225" t="str">
        <f t="shared" ca="1" si="8"/>
        <v>R</v>
      </c>
      <c r="F43" s="348"/>
      <c r="G43" s="349">
        <f t="shared" ca="1" si="1"/>
        <v>23</v>
      </c>
      <c r="H43" s="350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44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285</v>
      </c>
      <c r="AR43" s="207" t="s">
        <v>141</v>
      </c>
      <c r="AS43" s="207">
        <v>18</v>
      </c>
      <c r="AT43" s="207" t="s">
        <v>286</v>
      </c>
      <c r="AV43" s="168">
        <f t="shared" si="21"/>
        <v>32</v>
      </c>
      <c r="AW43" s="168">
        <f>COUNTIF( AV$7:AV43, AV43 )</f>
        <v>13</v>
      </c>
      <c r="AX43" s="208">
        <f t="shared" si="22"/>
        <v>33.299999999999997</v>
      </c>
      <c r="AY43" s="168">
        <f t="shared" si="23"/>
        <v>44</v>
      </c>
      <c r="AZ43" s="169"/>
      <c r="BA43" s="169"/>
      <c r="BC43" s="168">
        <f t="shared" ca="1" si="24"/>
        <v>37</v>
      </c>
      <c r="BD43" s="209">
        <f t="shared" ca="1" si="6"/>
        <v>19</v>
      </c>
      <c r="BF43" s="173" t="str">
        <f t="shared" ca="1" si="25"/>
        <v>Empire District Electric Company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EDE</v>
      </c>
    </row>
    <row r="44" spans="1:61" ht="13.8" x14ac:dyDescent="0.25">
      <c r="A44" s="223" t="s">
        <v>267</v>
      </c>
      <c r="B44" s="224" t="s">
        <v>141</v>
      </c>
      <c r="C44" s="224">
        <v>18</v>
      </c>
      <c r="D44" s="224" t="s">
        <v>268</v>
      </c>
      <c r="E44" s="225" t="str">
        <f t="shared" ca="1" si="8"/>
        <v>R</v>
      </c>
      <c r="F44" s="348"/>
      <c r="G44" s="349">
        <f t="shared" ca="1" si="1"/>
        <v>24</v>
      </c>
      <c r="H44" s="350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45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243</v>
      </c>
      <c r="AR44" s="207" t="s">
        <v>139</v>
      </c>
      <c r="AS44" s="207">
        <v>20</v>
      </c>
      <c r="AT44" s="207" t="s">
        <v>244</v>
      </c>
      <c r="AV44" s="168">
        <f t="shared" si="21"/>
        <v>3</v>
      </c>
      <c r="AW44" s="168">
        <f>COUNTIF( AV$7:AV44, AV44 )</f>
        <v>8</v>
      </c>
      <c r="AX44" s="208">
        <f t="shared" si="22"/>
        <v>3.8</v>
      </c>
      <c r="AY44" s="168">
        <f t="shared" si="23"/>
        <v>10</v>
      </c>
      <c r="AZ44" s="169"/>
      <c r="BA44" s="169"/>
      <c r="BC44" s="168">
        <f t="shared" ca="1" si="24"/>
        <v>38</v>
      </c>
      <c r="BD44" s="209">
        <f t="shared" ca="1" si="6"/>
        <v>20</v>
      </c>
      <c r="BF44" s="173" t="str">
        <f t="shared" ca="1" si="25"/>
        <v>Entergy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ETR</v>
      </c>
    </row>
    <row r="45" spans="1:61" ht="13.8" x14ac:dyDescent="0.25">
      <c r="A45" s="223" t="s">
        <v>269</v>
      </c>
      <c r="B45" s="224" t="s">
        <v>141</v>
      </c>
      <c r="C45" s="224">
        <v>18</v>
      </c>
      <c r="D45" s="224" t="s">
        <v>270</v>
      </c>
      <c r="E45" s="225" t="str">
        <f t="shared" ca="1" si="8"/>
        <v>D</v>
      </c>
      <c r="F45" s="348"/>
      <c r="G45" s="349">
        <f t="shared" ca="1" si="1"/>
        <v>26</v>
      </c>
      <c r="H45" s="350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46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289</v>
      </c>
      <c r="AR45" s="207" t="s">
        <v>140</v>
      </c>
      <c r="AS45" s="207">
        <v>19</v>
      </c>
      <c r="AT45" s="207" t="s">
        <v>290</v>
      </c>
      <c r="AV45" s="168">
        <f t="shared" si="21"/>
        <v>15</v>
      </c>
      <c r="AW45" s="168">
        <f>COUNTIF( AV$7:AV45, AV45 )</f>
        <v>12</v>
      </c>
      <c r="AX45" s="208">
        <f t="shared" si="22"/>
        <v>16.2</v>
      </c>
      <c r="AY45" s="168">
        <f t="shared" si="23"/>
        <v>26</v>
      </c>
      <c r="AZ45" s="169"/>
      <c r="BA45" s="169"/>
      <c r="BC45" s="168">
        <f t="shared" ca="1" si="24"/>
        <v>39</v>
      </c>
      <c r="BD45" s="209">
        <f t="shared" ca="1" si="6"/>
        <v>22</v>
      </c>
      <c r="BF45" s="173" t="str">
        <f t="shared" ca="1" si="25"/>
        <v>Exelon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EXC</v>
      </c>
    </row>
    <row r="46" spans="1:61" ht="13.8" x14ac:dyDescent="0.25">
      <c r="A46" s="223" t="s">
        <v>283</v>
      </c>
      <c r="B46" s="224" t="s">
        <v>141</v>
      </c>
      <c r="C46" s="224">
        <v>18</v>
      </c>
      <c r="D46" s="224" t="s">
        <v>284</v>
      </c>
      <c r="E46" s="225" t="str">
        <f t="shared" ca="1" si="8"/>
        <v>R</v>
      </c>
      <c r="F46" s="348"/>
      <c r="G46" s="349">
        <f t="shared" ca="1" si="1"/>
        <v>30</v>
      </c>
      <c r="H46" s="350"/>
      <c r="I46" s="191"/>
      <c r="K46" s="191"/>
      <c r="N46" s="351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47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305</v>
      </c>
      <c r="AR46" s="207" t="s">
        <v>142</v>
      </c>
      <c r="AS46" s="207">
        <v>17</v>
      </c>
      <c r="AT46" s="207" t="s">
        <v>306</v>
      </c>
      <c r="AV46" s="168">
        <f t="shared" si="21"/>
        <v>45</v>
      </c>
      <c r="AW46" s="168">
        <f>COUNTIF( AV$7:AV46, AV46 )</f>
        <v>3</v>
      </c>
      <c r="AX46" s="208">
        <f t="shared" si="22"/>
        <v>45.3</v>
      </c>
      <c r="AY46" s="168">
        <f t="shared" si="23"/>
        <v>47</v>
      </c>
      <c r="AZ46" s="169"/>
      <c r="BA46" s="169"/>
      <c r="BC46" s="168">
        <f t="shared" ca="1" si="24"/>
        <v>40</v>
      </c>
      <c r="BD46" s="209">
        <f t="shared" ca="1" si="6"/>
        <v>26</v>
      </c>
      <c r="BF46" s="173" t="str">
        <f t="shared" ca="1" si="25"/>
        <v>IDACORP, Inc.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IDA</v>
      </c>
    </row>
    <row r="47" spans="1:61" ht="13.8" x14ac:dyDescent="0.25">
      <c r="A47" s="223" t="s">
        <v>297</v>
      </c>
      <c r="B47" s="224" t="s">
        <v>141</v>
      </c>
      <c r="C47" s="224">
        <v>18</v>
      </c>
      <c r="D47" s="224" t="s">
        <v>298</v>
      </c>
      <c r="E47" s="225" t="str">
        <f t="shared" ca="1" si="8"/>
        <v>R</v>
      </c>
      <c r="F47" s="348"/>
      <c r="G47" s="349">
        <f t="shared" ca="1" si="1"/>
        <v>35</v>
      </c>
      <c r="H47" s="350"/>
      <c r="I47" s="350"/>
      <c r="J47" s="187" t="s">
        <v>373</v>
      </c>
      <c r="K47" s="191"/>
      <c r="M47" s="351"/>
      <c r="N47" s="351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48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347</v>
      </c>
      <c r="AR47" s="207" t="s">
        <v>140</v>
      </c>
      <c r="AS47" s="207">
        <v>19</v>
      </c>
      <c r="AT47" s="207" t="s">
        <v>348</v>
      </c>
      <c r="AV47" s="168">
        <f t="shared" si="21"/>
        <v>15</v>
      </c>
      <c r="AW47" s="168">
        <f>COUNTIF( AV$7:AV47, AV47 )</f>
        <v>13</v>
      </c>
      <c r="AX47" s="208">
        <f t="shared" si="22"/>
        <v>16.3</v>
      </c>
      <c r="AY47" s="168">
        <f t="shared" si="23"/>
        <v>27</v>
      </c>
      <c r="AZ47" s="169"/>
      <c r="BA47" s="169"/>
      <c r="BC47" s="168">
        <f t="shared" ca="1" si="24"/>
        <v>41</v>
      </c>
      <c r="BD47" s="209">
        <f t="shared" ca="1" si="6"/>
        <v>31</v>
      </c>
      <c r="BF47" s="173" t="str">
        <f t="shared" ca="1" si="25"/>
        <v>NorthWestern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NWE</v>
      </c>
    </row>
    <row r="48" spans="1:61" ht="13.8" x14ac:dyDescent="0.25">
      <c r="A48" s="223" t="s">
        <v>299</v>
      </c>
      <c r="B48" s="224" t="s">
        <v>141</v>
      </c>
      <c r="C48" s="224">
        <v>18</v>
      </c>
      <c r="D48" s="224" t="s">
        <v>300</v>
      </c>
      <c r="E48" s="225" t="str">
        <f t="shared" ca="1" si="8"/>
        <v>R</v>
      </c>
      <c r="F48" s="348"/>
      <c r="G48" s="349">
        <f t="shared" ca="1" si="1"/>
        <v>37</v>
      </c>
      <c r="H48" s="350"/>
      <c r="I48" s="350"/>
      <c r="K48" s="191"/>
      <c r="M48" s="351"/>
      <c r="N48" s="351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49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291</v>
      </c>
      <c r="AR48" s="207" t="s">
        <v>140</v>
      </c>
      <c r="AS48" s="207">
        <v>19</v>
      </c>
      <c r="AT48" s="207" t="s">
        <v>292</v>
      </c>
      <c r="AV48" s="168">
        <f t="shared" si="21"/>
        <v>15</v>
      </c>
      <c r="AW48" s="168">
        <f>COUNTIF( AV$7:AV48, AV48 )</f>
        <v>14</v>
      </c>
      <c r="AX48" s="208">
        <f t="shared" si="22"/>
        <v>16.399999999999999</v>
      </c>
      <c r="AY48" s="168">
        <f t="shared" si="23"/>
        <v>28</v>
      </c>
      <c r="AZ48" s="169"/>
      <c r="BA48" s="169"/>
      <c r="BC48" s="168">
        <f t="shared" ca="1" si="24"/>
        <v>42</v>
      </c>
      <c r="BD48" s="209">
        <f t="shared" ca="1" si="6"/>
        <v>33</v>
      </c>
      <c r="BF48" s="173" t="str">
        <f t="shared" ca="1" si="25"/>
        <v>Otter Tail Corporation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OTTR</v>
      </c>
    </row>
    <row r="49" spans="1:61" ht="13.8" x14ac:dyDescent="0.25">
      <c r="A49" s="223" t="s">
        <v>301</v>
      </c>
      <c r="B49" s="224" t="s">
        <v>141</v>
      </c>
      <c r="C49" s="224">
        <v>18</v>
      </c>
      <c r="D49" s="224" t="s">
        <v>302</v>
      </c>
      <c r="E49" s="225" t="str">
        <f t="shared" ca="1" si="8"/>
        <v>R</v>
      </c>
      <c r="F49" s="348"/>
      <c r="G49" s="349">
        <f t="shared" ca="1" si="1"/>
        <v>38</v>
      </c>
      <c r="H49" s="350"/>
      <c r="I49" s="350"/>
      <c r="J49" s="191"/>
      <c r="K49" s="191"/>
      <c r="M49" s="351"/>
      <c r="N49" s="351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50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4"/>
        <v/>
      </c>
      <c r="AQ49" s="207" t="s">
        <v>293</v>
      </c>
      <c r="AR49" s="207" t="s">
        <v>139</v>
      </c>
      <c r="AS49" s="207">
        <v>20</v>
      </c>
      <c r="AT49" s="207" t="s">
        <v>294</v>
      </c>
      <c r="AV49" s="168">
        <f t="shared" si="21"/>
        <v>3</v>
      </c>
      <c r="AW49" s="168">
        <f>COUNTIF( AV$7:AV49, AV49 )</f>
        <v>9</v>
      </c>
      <c r="AX49" s="208">
        <f t="shared" si="22"/>
        <v>3.9</v>
      </c>
      <c r="AY49" s="168">
        <f t="shared" si="23"/>
        <v>11</v>
      </c>
      <c r="AZ49" s="169"/>
      <c r="BA49" s="169"/>
      <c r="BC49" s="168">
        <f t="shared" ca="1" si="24"/>
        <v>43</v>
      </c>
      <c r="BD49" s="209">
        <f t="shared" ca="1" si="6"/>
        <v>34</v>
      </c>
      <c r="BF49" s="173" t="str">
        <f t="shared" ca="1" si="25"/>
        <v>PG&amp;E Corporation</v>
      </c>
      <c r="BG49" s="173" t="str">
        <f t="shared" ca="1" si="25"/>
        <v>BBB</v>
      </c>
      <c r="BH49" s="173">
        <f t="shared" ca="1" si="25"/>
        <v>18</v>
      </c>
      <c r="BI49" s="173" t="str">
        <f t="shared" ca="1" si="25"/>
        <v>PCG</v>
      </c>
    </row>
    <row r="50" spans="1:61" ht="13.8" x14ac:dyDescent="0.25">
      <c r="A50" s="223" t="s">
        <v>285</v>
      </c>
      <c r="B50" s="224" t="s">
        <v>141</v>
      </c>
      <c r="C50" s="224">
        <v>18</v>
      </c>
      <c r="D50" s="224" t="s">
        <v>286</v>
      </c>
      <c r="E50" s="225" t="str">
        <f t="shared" ca="1" si="8"/>
        <v>R</v>
      </c>
      <c r="F50" s="348"/>
      <c r="G50" s="349">
        <f t="shared" ca="1" si="1"/>
        <v>41</v>
      </c>
      <c r="H50" s="350"/>
      <c r="I50" s="350"/>
      <c r="J50" s="191"/>
      <c r="K50" s="191"/>
      <c r="M50" s="351"/>
      <c r="N50" s="351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51</v>
      </c>
      <c r="AK50" s="169" t="str">
        <f t="shared" ca="1" si="20"/>
        <v>BBB</v>
      </c>
      <c r="AL50" s="169">
        <f t="shared" ca="1" si="20"/>
        <v>18</v>
      </c>
      <c r="AM50" s="169" t="str">
        <f t="shared" ca="1" si="4"/>
        <v/>
      </c>
      <c r="AQ50" s="207" t="s">
        <v>369</v>
      </c>
      <c r="AR50" s="207" t="s">
        <v>140</v>
      </c>
      <c r="AS50" s="207">
        <v>19</v>
      </c>
      <c r="AT50" s="207" t="s">
        <v>375</v>
      </c>
      <c r="AV50" s="168">
        <f t="shared" si="21"/>
        <v>15</v>
      </c>
      <c r="AW50" s="168">
        <f>COUNTIF( AV$7:AV50, AV50 )</f>
        <v>15</v>
      </c>
      <c r="AX50" s="208">
        <f t="shared" si="22"/>
        <v>16.5</v>
      </c>
      <c r="AY50" s="168">
        <f t="shared" si="23"/>
        <v>29</v>
      </c>
      <c r="AZ50" s="169"/>
      <c r="BA50" s="169"/>
      <c r="BC50" s="168">
        <f t="shared" ca="1" si="24"/>
        <v>44</v>
      </c>
      <c r="BD50" s="209">
        <f t="shared" ca="1" si="6"/>
        <v>37</v>
      </c>
      <c r="BF50" s="173" t="str">
        <f t="shared" ca="1" si="25"/>
        <v>Portland General Electric Company</v>
      </c>
      <c r="BG50" s="173" t="str">
        <f t="shared" ca="1" si="25"/>
        <v>BBB</v>
      </c>
      <c r="BH50" s="173">
        <f t="shared" ca="1" si="25"/>
        <v>18</v>
      </c>
      <c r="BI50" s="173" t="str">
        <f t="shared" ca="1" si="25"/>
        <v>POR</v>
      </c>
    </row>
    <row r="51" spans="1:61" ht="13.8" x14ac:dyDescent="0.25">
      <c r="A51" s="223" t="s">
        <v>275</v>
      </c>
      <c r="B51" s="224" t="s">
        <v>142</v>
      </c>
      <c r="C51" s="224">
        <v>17</v>
      </c>
      <c r="D51" s="224" t="s">
        <v>276</v>
      </c>
      <c r="E51" s="225" t="str">
        <f t="shared" ca="1" si="8"/>
        <v>MR</v>
      </c>
      <c r="F51" s="348"/>
      <c r="G51" s="349">
        <f t="shared" ca="1" si="1"/>
        <v>27</v>
      </c>
      <c r="H51" s="350"/>
      <c r="I51" s="350"/>
      <c r="J51" s="191"/>
      <c r="K51" s="191"/>
      <c r="M51" s="351"/>
      <c r="N51" s="351"/>
      <c r="AF51" s="169">
        <f t="shared" si="2"/>
        <v>1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52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4"/>
        <v/>
      </c>
      <c r="AQ51" s="207" t="s">
        <v>295</v>
      </c>
      <c r="AR51" s="207" t="s">
        <v>140</v>
      </c>
      <c r="AS51" s="207">
        <v>19</v>
      </c>
      <c r="AT51" s="207" t="s">
        <v>376</v>
      </c>
      <c r="AV51" s="168">
        <f t="shared" si="21"/>
        <v>15</v>
      </c>
      <c r="AW51" s="168">
        <f>COUNTIF( AV$7:AV51, AV51 )</f>
        <v>16</v>
      </c>
      <c r="AX51" s="208">
        <f t="shared" si="22"/>
        <v>16.600000000000001</v>
      </c>
      <c r="AY51" s="168">
        <f t="shared" si="23"/>
        <v>30</v>
      </c>
      <c r="AZ51" s="169"/>
      <c r="BA51" s="169"/>
      <c r="BC51" s="168">
        <f t="shared" ca="1" si="24"/>
        <v>45</v>
      </c>
      <c r="BD51" s="209">
        <f t="shared" ca="1" si="6"/>
        <v>23</v>
      </c>
      <c r="BF51" s="173" t="str">
        <f t="shared" ca="1" si="25"/>
        <v>FirstEnergy Corp.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FE</v>
      </c>
    </row>
    <row r="52" spans="1:61" ht="13.8" x14ac:dyDescent="0.25">
      <c r="A52" s="223" t="s">
        <v>279</v>
      </c>
      <c r="B52" s="224" t="s">
        <v>142</v>
      </c>
      <c r="C52" s="224">
        <v>17</v>
      </c>
      <c r="D52" s="224" t="s">
        <v>280</v>
      </c>
      <c r="E52" s="225" t="str">
        <f t="shared" ca="1" si="8"/>
        <v>D</v>
      </c>
      <c r="F52" s="348"/>
      <c r="G52" s="349">
        <f t="shared" ca="1" si="1"/>
        <v>29</v>
      </c>
      <c r="H52" s="350"/>
      <c r="I52" s="350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53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345</v>
      </c>
      <c r="AR52" s="207" t="s">
        <v>139</v>
      </c>
      <c r="AS52" s="207">
        <v>20</v>
      </c>
      <c r="AT52" s="207" t="s">
        <v>346</v>
      </c>
      <c r="AV52" s="168">
        <f t="shared" si="21"/>
        <v>3</v>
      </c>
      <c r="AW52" s="168">
        <f>COUNTIF( AV$7:AV52, AV52 )</f>
        <v>10</v>
      </c>
      <c r="AX52" s="208">
        <f t="shared" si="22"/>
        <v>4</v>
      </c>
      <c r="AY52" s="168">
        <f t="shared" si="23"/>
        <v>12</v>
      </c>
      <c r="AZ52" s="169"/>
      <c r="BA52" s="169"/>
      <c r="BC52" s="168">
        <f t="shared" ca="1" si="24"/>
        <v>46</v>
      </c>
      <c r="BD52" s="209">
        <f t="shared" ca="1" si="6"/>
        <v>25</v>
      </c>
      <c r="BF52" s="173" t="str">
        <f t="shared" ca="1" si="25"/>
        <v>Hawaiian Electric Industries, Inc.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HE</v>
      </c>
    </row>
    <row r="53" spans="1:61" ht="13.8" x14ac:dyDescent="0.25">
      <c r="A53" s="223" t="s">
        <v>305</v>
      </c>
      <c r="B53" s="224" t="s">
        <v>142</v>
      </c>
      <c r="C53" s="224">
        <v>17</v>
      </c>
      <c r="D53" s="224" t="s">
        <v>306</v>
      </c>
      <c r="E53" s="225" t="str">
        <f t="shared" ca="1" si="8"/>
        <v>R</v>
      </c>
      <c r="F53" s="348"/>
      <c r="G53" s="349">
        <f t="shared" ca="1" si="1"/>
        <v>61</v>
      </c>
      <c r="H53" s="350"/>
      <c r="I53" s="350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54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354</v>
      </c>
      <c r="AR53" s="207" t="s">
        <v>140</v>
      </c>
      <c r="AS53" s="207">
        <v>19</v>
      </c>
      <c r="AT53" s="207" t="s">
        <v>355</v>
      </c>
      <c r="AV53" s="168">
        <f t="shared" si="21"/>
        <v>15</v>
      </c>
      <c r="AW53" s="168">
        <f>COUNTIF( AV$7:AV53, AV53 )</f>
        <v>17</v>
      </c>
      <c r="AX53" s="208">
        <f t="shared" si="22"/>
        <v>16.7</v>
      </c>
      <c r="AY53" s="168">
        <f t="shared" si="23"/>
        <v>31</v>
      </c>
      <c r="AZ53" s="169"/>
      <c r="BA53" s="169"/>
      <c r="BC53" s="168">
        <f t="shared" ca="1" si="24"/>
        <v>47</v>
      </c>
      <c r="BD53" s="209">
        <f t="shared" ca="1" si="6"/>
        <v>40</v>
      </c>
      <c r="BF53" s="173" t="str">
        <f t="shared" ca="1" si="25"/>
        <v>Puget Energy,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**PSD</v>
      </c>
    </row>
    <row r="54" spans="1:61" ht="13.8" x14ac:dyDescent="0.25">
      <c r="A54" s="223" t="s">
        <v>287</v>
      </c>
      <c r="B54" s="224" t="s">
        <v>173</v>
      </c>
      <c r="C54" s="224">
        <v>16</v>
      </c>
      <c r="D54" s="224" t="s">
        <v>288</v>
      </c>
      <c r="E54" s="225" t="str">
        <f t="shared" ca="1" si="8"/>
        <v>R</v>
      </c>
      <c r="F54" s="348"/>
      <c r="G54" s="349">
        <f t="shared" ca="1" si="1"/>
        <v>59</v>
      </c>
      <c r="H54" s="350"/>
      <c r="I54" s="350"/>
      <c r="J54" s="191"/>
      <c r="K54" s="191"/>
      <c r="AF54" s="169">
        <f t="shared" si="2"/>
        <v>0</v>
      </c>
      <c r="AG54" s="169" t="str">
        <f t="shared" ca="1" si="3"/>
        <v/>
      </c>
      <c r="AH54" s="169" t="str">
        <f t="shared" ca="1" si="18"/>
        <v/>
      </c>
      <c r="AJ54" s="169">
        <f t="shared" ca="1" si="19"/>
        <v>55</v>
      </c>
      <c r="AK54" s="169" t="str">
        <f t="shared" ca="1" si="20"/>
        <v>BB+</v>
      </c>
      <c r="AL54" s="169">
        <f t="shared" ca="1" si="20"/>
        <v>16</v>
      </c>
      <c r="AM54" s="169" t="str">
        <f t="shared" ca="1" si="4"/>
        <v/>
      </c>
      <c r="AQ54" s="207" t="s">
        <v>247</v>
      </c>
      <c r="AR54" s="207" t="s">
        <v>139</v>
      </c>
      <c r="AS54" s="207">
        <v>20</v>
      </c>
      <c r="AT54" s="207" t="s">
        <v>248</v>
      </c>
      <c r="AV54" s="168">
        <f t="shared" si="21"/>
        <v>3</v>
      </c>
      <c r="AW54" s="168">
        <f>COUNTIF( AV$7:AV54, AV54 )</f>
        <v>11</v>
      </c>
      <c r="AX54" s="208">
        <f t="shared" si="22"/>
        <v>4.0999999999999996</v>
      </c>
      <c r="AY54" s="168">
        <f t="shared" si="23"/>
        <v>13</v>
      </c>
      <c r="AZ54" s="169"/>
      <c r="BA54" s="169"/>
      <c r="BC54" s="168">
        <f t="shared" ca="1" si="24"/>
        <v>48</v>
      </c>
      <c r="BD54" s="209">
        <f t="shared" ca="1" si="6"/>
        <v>27</v>
      </c>
      <c r="BF54" s="173" t="str">
        <f t="shared" ca="1" si="25"/>
        <v>IPALCO Enterprises, Inc.</v>
      </c>
      <c r="BG54" s="173" t="str">
        <f t="shared" ca="1" si="25"/>
        <v>BB+</v>
      </c>
      <c r="BH54" s="173">
        <f t="shared" ca="1" si="25"/>
        <v>16</v>
      </c>
      <c r="BI54" s="173" t="str">
        <f t="shared" ca="1" si="25"/>
        <v>**IPALCO</v>
      </c>
    </row>
    <row r="55" spans="1:61" ht="13.8" x14ac:dyDescent="0.25">
      <c r="A55" s="223" t="s">
        <v>259</v>
      </c>
      <c r="B55" s="224" t="s">
        <v>175</v>
      </c>
      <c r="C55" s="224">
        <v>15</v>
      </c>
      <c r="D55" s="224" t="s">
        <v>260</v>
      </c>
      <c r="E55" s="225" t="str">
        <f t="shared" ca="1" si="8"/>
        <v>MR</v>
      </c>
      <c r="F55" s="348"/>
      <c r="G55" s="349">
        <f t="shared" ca="1" si="1"/>
        <v>57</v>
      </c>
      <c r="H55" s="350"/>
      <c r="I55" s="350"/>
      <c r="J55" s="191"/>
      <c r="K55" s="191"/>
      <c r="AF55" s="169">
        <f t="shared" si="2"/>
        <v>1</v>
      </c>
      <c r="AG55" s="169" t="str">
        <f t="shared" ca="1" si="3"/>
        <v/>
      </c>
      <c r="AH55" s="169" t="str">
        <f t="shared" ca="1" si="18"/>
        <v/>
      </c>
      <c r="AJ55" s="169">
        <f t="shared" ca="1" si="19"/>
        <v>56</v>
      </c>
      <c r="AK55" s="169" t="str">
        <f t="shared" ca="1" si="20"/>
        <v>BB</v>
      </c>
      <c r="AL55" s="169">
        <f t="shared" ca="1" si="20"/>
        <v>15</v>
      </c>
      <c r="AM55" s="169" t="str">
        <f t="shared" ca="1" si="4"/>
        <v/>
      </c>
      <c r="AQ55" s="207" t="s">
        <v>251</v>
      </c>
      <c r="AR55" s="207" t="s">
        <v>139</v>
      </c>
      <c r="AS55" s="207">
        <v>20</v>
      </c>
      <c r="AT55" s="207" t="s">
        <v>252</v>
      </c>
      <c r="AV55" s="168">
        <f t="shared" si="21"/>
        <v>3</v>
      </c>
      <c r="AW55" s="168">
        <f>COUNTIF( AV$7:AV55, AV55 )</f>
        <v>12</v>
      </c>
      <c r="AX55" s="208">
        <f t="shared" si="22"/>
        <v>4.2</v>
      </c>
      <c r="AY55" s="168">
        <f t="shared" si="23"/>
        <v>14</v>
      </c>
      <c r="AZ55" s="169"/>
      <c r="BA55" s="169"/>
      <c r="BC55" s="168">
        <f t="shared" ca="1" si="24"/>
        <v>49</v>
      </c>
      <c r="BD55" s="209">
        <f t="shared" ca="1" si="6"/>
        <v>14</v>
      </c>
      <c r="BF55" s="173" t="str">
        <f t="shared" ca="1" si="25"/>
        <v>DPL Inc.</v>
      </c>
      <c r="BG55" s="173" t="str">
        <f t="shared" ca="1" si="25"/>
        <v>BB</v>
      </c>
      <c r="BH55" s="173">
        <f t="shared" ca="1" si="25"/>
        <v>15</v>
      </c>
      <c r="BI55" s="173" t="str">
        <f t="shared" ca="1" si="25"/>
        <v>**DPL</v>
      </c>
    </row>
    <row r="56" spans="1:61" ht="13.8" x14ac:dyDescent="0.25">
      <c r="A56" s="223"/>
      <c r="B56" s="224"/>
      <c r="C56" s="224"/>
      <c r="D56" s="224"/>
      <c r="E56" s="225"/>
      <c r="F56" s="348"/>
      <c r="G56" s="349" t="str">
        <f t="shared" ca="1" si="1"/>
        <v/>
      </c>
      <c r="H56" s="350"/>
      <c r="I56" s="350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1</v>
      </c>
      <c r="AX56" s="208">
        <f t="shared" si="22"/>
        <v>99.1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8" x14ac:dyDescent="0.25">
      <c r="A57" s="223"/>
      <c r="B57" s="224"/>
      <c r="C57" s="224"/>
      <c r="D57" s="224"/>
      <c r="E57" s="225"/>
      <c r="F57" s="348"/>
      <c r="G57" s="349" t="str">
        <f t="shared" ca="1" si="1"/>
        <v/>
      </c>
      <c r="H57" s="350"/>
      <c r="I57" s="350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2</v>
      </c>
      <c r="AX57" s="208">
        <f t="shared" si="22"/>
        <v>99.2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8" x14ac:dyDescent="0.25">
      <c r="A58" s="223"/>
      <c r="B58" s="224"/>
      <c r="C58" s="224"/>
      <c r="D58" s="224"/>
      <c r="E58" s="225"/>
      <c r="F58" s="348"/>
      <c r="G58" s="349" t="str">
        <f t="shared" ca="1" si="1"/>
        <v/>
      </c>
      <c r="H58" s="350"/>
      <c r="I58" s="350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3</v>
      </c>
      <c r="AX58" s="208">
        <f t="shared" si="22"/>
        <v>99.3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8" x14ac:dyDescent="0.25">
      <c r="A59" s="223"/>
      <c r="B59" s="224"/>
      <c r="C59" s="224"/>
      <c r="D59" s="224"/>
      <c r="E59" s="225" t="str">
        <f t="shared" ca="1" si="8"/>
        <v/>
      </c>
      <c r="F59" s="348"/>
      <c r="G59" s="349" t="str">
        <f t="shared" ca="1" si="1"/>
        <v/>
      </c>
      <c r="H59" s="350"/>
      <c r="I59" s="350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4</v>
      </c>
      <c r="AX59" s="208">
        <f t="shared" si="22"/>
        <v>99.4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" thickBot="1" x14ac:dyDescent="0.3">
      <c r="A60" s="192"/>
      <c r="B60" s="193"/>
      <c r="C60" s="193"/>
      <c r="D60" s="193"/>
      <c r="E60" s="194" t="str">
        <f t="shared" ca="1" si="8"/>
        <v/>
      </c>
      <c r="F60" s="350"/>
      <c r="G60" s="353" t="str">
        <f t="shared" ca="1" si="1"/>
        <v/>
      </c>
      <c r="H60" s="350"/>
      <c r="I60" s="350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5</v>
      </c>
      <c r="AX60" s="208">
        <f t="shared" si="22"/>
        <v>99.5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8" x14ac:dyDescent="0.25">
      <c r="A61" s="226" t="s">
        <v>308</v>
      </c>
      <c r="B61" s="227" t="s">
        <v>162</v>
      </c>
      <c r="C61" s="227">
        <v>23</v>
      </c>
      <c r="D61" s="227" t="s">
        <v>309</v>
      </c>
      <c r="E61" s="228" t="str">
        <f t="shared" ca="1" si="8"/>
        <v>MR</v>
      </c>
      <c r="F61" s="354"/>
      <c r="G61" s="355">
        <f t="shared" ca="1" si="1"/>
        <v>32</v>
      </c>
      <c r="H61" s="350"/>
      <c r="I61" s="350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6</v>
      </c>
      <c r="AX61" s="208">
        <f t="shared" si="22"/>
        <v>99.6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8" x14ac:dyDescent="0.25">
      <c r="A62" s="223" t="s">
        <v>371</v>
      </c>
      <c r="B62" s="224"/>
      <c r="C62" s="224"/>
      <c r="D62" s="224" t="s">
        <v>359</v>
      </c>
      <c r="E62" s="225" t="str">
        <f t="shared" ca="1" si="8"/>
        <v>R</v>
      </c>
      <c r="F62" s="348"/>
      <c r="G62" s="349">
        <f t="shared" ca="1" si="1"/>
        <v>58</v>
      </c>
      <c r="H62" s="350"/>
      <c r="I62" s="350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>
        <f t="shared" ca="1" si="19"/>
        <v>62</v>
      </c>
      <c r="AK62" s="169">
        <f t="shared" ca="1" si="20"/>
        <v>0</v>
      </c>
      <c r="AL62" s="169">
        <f t="shared" ca="1" si="20"/>
        <v>0</v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7</v>
      </c>
      <c r="AX62" s="208">
        <f t="shared" si="22"/>
        <v>99.7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/>
      <c r="B63" s="229"/>
      <c r="C63" s="224"/>
      <c r="D63" s="224"/>
      <c r="E63" s="225"/>
      <c r="F63" s="348"/>
      <c r="G63" s="349"/>
      <c r="H63" s="350"/>
      <c r="I63" s="350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8</v>
      </c>
      <c r="AX63" s="208">
        <f t="shared" si="22"/>
        <v>99.8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/>
      <c r="B64" s="229"/>
      <c r="C64" s="224"/>
      <c r="D64" s="224"/>
      <c r="E64" s="225"/>
      <c r="F64" s="348"/>
      <c r="G64" s="349"/>
      <c r="H64" s="350"/>
      <c r="I64" s="350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308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58" ht="13.8" x14ac:dyDescent="0.25">
      <c r="A65" s="223"/>
      <c r="B65" s="229"/>
      <c r="C65" s="224"/>
      <c r="D65" s="224"/>
      <c r="E65" s="225"/>
      <c r="F65" s="348"/>
      <c r="G65" s="349"/>
      <c r="H65" s="350"/>
      <c r="I65" s="350"/>
      <c r="N65" s="168" t="s">
        <v>310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 t="s">
        <v>371</v>
      </c>
      <c r="AR65" s="207"/>
      <c r="AS65" s="207"/>
      <c r="AT65" s="207" t="s">
        <v>359</v>
      </c>
      <c r="AU65" s="207"/>
      <c r="AZ65" s="169"/>
      <c r="BA65" s="169"/>
      <c r="BF65" s="169"/>
    </row>
    <row r="66" spans="1:58" ht="13.8" x14ac:dyDescent="0.25">
      <c r="A66" s="195"/>
      <c r="B66" s="196"/>
      <c r="C66" s="185"/>
      <c r="D66" s="185"/>
      <c r="E66" s="182"/>
      <c r="F66" s="350"/>
      <c r="H66" s="350"/>
      <c r="I66" s="350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50"/>
      <c r="H67" s="350"/>
      <c r="I67" s="350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8" x14ac:dyDescent="0.25">
      <c r="A68" s="200" t="s">
        <v>311</v>
      </c>
      <c r="B68" s="189" t="str">
        <f ca="1">OFFSET( Scale!$H$5, ROUND( C68, 0 ) - 1, 1 )</f>
        <v>BBB+</v>
      </c>
      <c r="C68" s="201">
        <f>AVERAGE(C7:C65)</f>
        <v>18.88</v>
      </c>
      <c r="D68" s="201"/>
      <c r="E68" s="201"/>
      <c r="F68" s="350"/>
      <c r="H68" s="350"/>
      <c r="I68" s="350"/>
      <c r="J68" s="351"/>
      <c r="K68" s="351"/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50"/>
      <c r="H69" s="350"/>
      <c r="I69" s="350"/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1"/>
      <c r="K70" s="351"/>
    </row>
    <row r="71" spans="1:58" x14ac:dyDescent="0.25">
      <c r="A71" s="203" t="s">
        <v>312</v>
      </c>
      <c r="F71" s="173"/>
      <c r="H71" s="173"/>
      <c r="I71" s="173"/>
    </row>
    <row r="72" spans="1:58" x14ac:dyDescent="0.25">
      <c r="A72" s="203" t="s">
        <v>313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314</v>
      </c>
      <c r="B73" s="173"/>
      <c r="D73" s="173"/>
      <c r="E73" s="173"/>
      <c r="F73" s="204"/>
      <c r="H73" s="204"/>
      <c r="I73" s="204"/>
    </row>
    <row r="74" spans="1:58" x14ac:dyDescent="0.25">
      <c r="A74" s="203" t="s">
        <v>315</v>
      </c>
      <c r="D74" s="204"/>
      <c r="F74" s="206"/>
      <c r="H74" s="206"/>
      <c r="I74" s="206"/>
      <c r="AQ74" s="207"/>
      <c r="AR74" s="207"/>
      <c r="AS74" s="207"/>
    </row>
    <row r="75" spans="1:58" x14ac:dyDescent="0.25">
      <c r="A75" s="203" t="s">
        <v>316</v>
      </c>
      <c r="D75" s="204"/>
      <c r="F75" s="206"/>
      <c r="H75" s="206"/>
      <c r="I75" s="206"/>
      <c r="AQ75" s="207"/>
      <c r="AR75" s="207"/>
      <c r="AS75" s="207"/>
    </row>
    <row r="76" spans="1:58" x14ac:dyDescent="0.25">
      <c r="A76" s="203"/>
      <c r="AQ76" s="207"/>
      <c r="AR76" s="207"/>
      <c r="AS76" s="207"/>
    </row>
    <row r="77" spans="1:58" x14ac:dyDescent="0.25">
      <c r="C77" s="190">
        <f>SUMPRODUCT( L8:L13, Y8:Y13 ) / L14</f>
        <v>18.86</v>
      </c>
      <c r="E77" s="191"/>
      <c r="G77" s="353"/>
      <c r="J77" s="173"/>
      <c r="K77" s="173"/>
      <c r="AQ77" s="207"/>
      <c r="AR77" s="207"/>
      <c r="AS77" s="207"/>
    </row>
    <row r="78" spans="1:58" s="173" customFormat="1" ht="13.8" x14ac:dyDescent="0.2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ref="AQ7:AT55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707" priority="28" stopIfTrue="1">
      <formula>IF( $AH7 = 1, TRUE, FALSE )</formula>
    </cfRule>
    <cfRule type="expression" dxfId="706" priority="29" stopIfTrue="1">
      <formula>IF( $AG7 = 1, TRUE, FALSE )</formula>
    </cfRule>
    <cfRule type="expression" dxfId="705" priority="30" stopIfTrue="1">
      <formula>IF( $AF7 = 1, TRUE, FALSE )</formula>
    </cfRule>
  </conditionalFormatting>
  <conditionalFormatting sqref="A67:E67">
    <cfRule type="expression" dxfId="704" priority="31" stopIfTrue="1">
      <formula>IF( $AH67 = 1, TRUE, FALSE )</formula>
    </cfRule>
    <cfRule type="expression" dxfId="703" priority="32" stopIfTrue="1">
      <formula>IF( $AG67 = 1, TRUE, FALSE )</formula>
    </cfRule>
    <cfRule type="expression" dxfId="702" priority="33" stopIfTrue="1">
      <formula>IF( $AF67 = 1, TRUE, FALSE )</formula>
    </cfRule>
  </conditionalFormatting>
  <conditionalFormatting sqref="A66:E66">
    <cfRule type="expression" dxfId="701" priority="25" stopIfTrue="1">
      <formula>IF( $AH66 = 1, TRUE, FALSE )</formula>
    </cfRule>
    <cfRule type="expression" dxfId="700" priority="26" stopIfTrue="1">
      <formula>IF( $AG66 = 1, TRUE, FALSE )</formula>
    </cfRule>
    <cfRule type="expression" dxfId="699" priority="27" stopIfTrue="1">
      <formula>IF( $AF66 = 1, TRUE, FALSE )</formula>
    </cfRule>
  </conditionalFormatting>
  <conditionalFormatting sqref="A8:D58 B7:D7">
    <cfRule type="expression" dxfId="698" priority="22" stopIfTrue="1">
      <formula>IF( $AH7 = 1, TRUE, FALSE )</formula>
    </cfRule>
    <cfRule type="expression" dxfId="697" priority="23" stopIfTrue="1">
      <formula>IF( $AG7 = 1, TRUE, FALSE )</formula>
    </cfRule>
    <cfRule type="expression" dxfId="696" priority="24" stopIfTrue="1">
      <formula>IF( $AF7 = 1, TRUE, FALSE )</formula>
    </cfRule>
  </conditionalFormatting>
  <conditionalFormatting sqref="A59:D59">
    <cfRule type="expression" dxfId="695" priority="19" stopIfTrue="1">
      <formula>IF( $AH59 = 1, TRUE, FALSE )</formula>
    </cfRule>
    <cfRule type="expression" dxfId="694" priority="20" stopIfTrue="1">
      <formula>IF( $AG59 = 1, TRUE, FALSE )</formula>
    </cfRule>
    <cfRule type="expression" dxfId="693" priority="21" stopIfTrue="1">
      <formula>IF( $AF59 = 1, TRUE, FALSE )</formula>
    </cfRule>
  </conditionalFormatting>
  <conditionalFormatting sqref="A61:D65">
    <cfRule type="expression" dxfId="692" priority="16" stopIfTrue="1">
      <formula>IF( $AH61 = 1, TRUE, FALSE )</formula>
    </cfRule>
    <cfRule type="expression" dxfId="691" priority="17" stopIfTrue="1">
      <formula>IF( $AG61 = 1, TRUE, FALSE )</formula>
    </cfRule>
    <cfRule type="expression" dxfId="690" priority="18" stopIfTrue="1">
      <formula>IF( $AF61 = 1, TRUE, FALSE )</formula>
    </cfRule>
  </conditionalFormatting>
  <conditionalFormatting sqref="U8:U12">
    <cfRule type="cellIs" dxfId="689" priority="15" operator="equal">
      <formula>0</formula>
    </cfRule>
  </conditionalFormatting>
  <conditionalFormatting sqref="O8:O12 Q8:Q12">
    <cfRule type="cellIs" dxfId="688" priority="14" operator="equal">
      <formula>0</formula>
    </cfRule>
  </conditionalFormatting>
  <conditionalFormatting sqref="V8:V12">
    <cfRule type="cellIs" dxfId="687" priority="13" operator="equal">
      <formula>0</formula>
    </cfRule>
  </conditionalFormatting>
  <conditionalFormatting sqref="S8:S12">
    <cfRule type="cellIs" dxfId="686" priority="11" operator="equal">
      <formula>0</formula>
    </cfRule>
  </conditionalFormatting>
  <conditionalFormatting sqref="R8:R12">
    <cfRule type="cellIs" dxfId="685" priority="12" operator="equal">
      <formula>0</formula>
    </cfRule>
  </conditionalFormatting>
  <conditionalFormatting sqref="P8:P12">
    <cfRule type="cellIs" dxfId="684" priority="10" operator="equal">
      <formula>0</formula>
    </cfRule>
  </conditionalFormatting>
  <conditionalFormatting sqref="M8:M12">
    <cfRule type="cellIs" dxfId="683" priority="9" operator="equal">
      <formula>0</formula>
    </cfRule>
  </conditionalFormatting>
  <conditionalFormatting sqref="T8:T12">
    <cfRule type="cellIs" dxfId="682" priority="8" operator="equal">
      <formula>0</formula>
    </cfRule>
  </conditionalFormatting>
  <conditionalFormatting sqref="N8:N12">
    <cfRule type="cellIs" dxfId="681" priority="7" operator="equal">
      <formula>0</formula>
    </cfRule>
  </conditionalFormatting>
  <conditionalFormatting sqref="K8:K12">
    <cfRule type="cellIs" dxfId="680" priority="6" operator="equal">
      <formula>0</formula>
    </cfRule>
  </conditionalFormatting>
  <conditionalFormatting sqref="I8:I12">
    <cfRule type="cellIs" dxfId="679" priority="5" operator="equal">
      <formula>0</formula>
    </cfRule>
  </conditionalFormatting>
  <conditionalFormatting sqref="W8:W12">
    <cfRule type="cellIs" dxfId="678" priority="4" operator="equal">
      <formula>0</formula>
    </cfRule>
  </conditionalFormatting>
  <conditionalFormatting sqref="A7">
    <cfRule type="expression" dxfId="677" priority="1" stopIfTrue="1">
      <formula>IF( $AH7 = 1, TRUE, FALSE )</formula>
    </cfRule>
    <cfRule type="expression" dxfId="676" priority="2" stopIfTrue="1">
      <formula>IF( $AG7 = 1, TRUE, FALSE )</formula>
    </cfRule>
    <cfRule type="expression" dxfId="675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customWidth="1"/>
    <col min="23" max="23" width="2" style="168" customWidth="1"/>
    <col min="24" max="24" width="4.109375" style="168" customWidth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15.88671875" style="169" hidden="1" customWidth="1" outlineLevel="1" collapsed="1"/>
    <col min="37" max="38" width="15.88671875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-- 2015 Q4</v>
      </c>
      <c r="G1" s="175" t="s">
        <v>195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 x14ac:dyDescent="0.25">
      <c r="A2" s="167"/>
      <c r="E2" s="171" t="str">
        <f>G2</f>
        <v>Reg_Percent_2014</v>
      </c>
      <c r="G2" s="172" t="s">
        <v>379</v>
      </c>
      <c r="AJ2" s="173" t="str">
        <f>AJ4 &amp; AJ3</f>
        <v>'Credit_2015Q3'!d:d</v>
      </c>
      <c r="AK2" s="173" t="str">
        <f>AK4 &amp; AK3</f>
        <v>'Credit_2015Q3'!b1</v>
      </c>
      <c r="AL2" s="173" t="str">
        <f>AL4 &amp; AL3</f>
        <v>'Credit_2015Q3'!c1</v>
      </c>
      <c r="AQ2" s="169"/>
    </row>
    <row r="3" spans="1:61" ht="18" hidden="1" outlineLevel="1" x14ac:dyDescent="0.25">
      <c r="A3" s="167"/>
      <c r="E3" s="174" t="str">
        <f>"'" &amp; E2 &amp; "'!"</f>
        <v>'Reg_Percent_2014'!</v>
      </c>
      <c r="G3" s="168" t="str">
        <f>"'" &amp; G2 &amp; "'!"</f>
        <v>'Reg_Percent_2014'!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205</v>
      </c>
      <c r="AK3" s="149" t="s">
        <v>206</v>
      </c>
      <c r="AL3" s="149" t="s">
        <v>207</v>
      </c>
      <c r="AQ3" s="169"/>
    </row>
    <row r="4" spans="1:61" ht="18" hidden="1" outlineLevel="1" x14ac:dyDescent="0.25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>$AQ$5</f>
        <v>'Credit_2015Q3'!</v>
      </c>
      <c r="AK4" s="169" t="str">
        <f t="shared" ref="AK4:AL4" si="0">$AQ$5</f>
        <v>'Credit_2015Q3'!</v>
      </c>
      <c r="AL4" s="169" t="str">
        <f t="shared" si="0"/>
        <v>'Credit_2015Q3'!</v>
      </c>
      <c r="AQ4" s="169"/>
    </row>
    <row r="5" spans="1:61" ht="13.8" collapsed="1" x14ac:dyDescent="0.25">
      <c r="E5" s="176" t="s">
        <v>209</v>
      </c>
      <c r="G5" s="170" t="s">
        <v>199</v>
      </c>
      <c r="I5" s="230"/>
      <c r="J5" s="389" t="s">
        <v>210</v>
      </c>
      <c r="K5" s="230"/>
      <c r="L5" s="391" t="str">
        <f>"All Companies" &amp; CHAR( 10 ) &amp; "("&amp; L14 &amp; ")"</f>
        <v>All Companies
(51)</v>
      </c>
      <c r="M5" s="391"/>
      <c r="N5" s="230"/>
      <c r="O5" s="389" t="str">
        <f ca="1">"Regulated" &amp; CHAR( 10 ) &amp; "(" &amp; O14 &amp; ")"</f>
        <v>Regulated
(36)</v>
      </c>
      <c r="P5" s="393"/>
      <c r="Q5" s="230"/>
      <c r="R5" s="389" t="str">
        <f ca="1">"Mostly Regulated" &amp; CHAR( 10 ) &amp; "(" &amp; R14 &amp; ")"</f>
        <v>Mostly Regulated
(13)</v>
      </c>
      <c r="S5" s="393"/>
      <c r="T5" s="230"/>
      <c r="U5" s="389" t="str">
        <f ca="1">"Diversified" &amp; CHAR( 10 ) &amp; "(" &amp; U14 &amp; ")"</f>
        <v>Diversified
(2)</v>
      </c>
      <c r="V5" s="393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380</v>
      </c>
    </row>
    <row r="6" spans="1:61" ht="28.5" customHeight="1" x14ac:dyDescent="0.25">
      <c r="A6" s="219" t="s">
        <v>212</v>
      </c>
      <c r="B6" s="220" t="s">
        <v>63</v>
      </c>
      <c r="C6" s="249" t="s">
        <v>214</v>
      </c>
      <c r="D6" s="221"/>
      <c r="E6" s="222">
        <f ca="1">INDIRECT( E3 &amp; G1 )</f>
        <v>42004</v>
      </c>
      <c r="I6" s="231"/>
      <c r="J6" s="390"/>
      <c r="K6" s="231"/>
      <c r="L6" s="392"/>
      <c r="M6" s="392"/>
      <c r="N6" s="231"/>
      <c r="O6" s="390"/>
      <c r="P6" s="390"/>
      <c r="Q6" s="231"/>
      <c r="R6" s="390" t="s">
        <v>136</v>
      </c>
      <c r="S6" s="390"/>
      <c r="T6" s="231"/>
      <c r="U6" s="390"/>
      <c r="V6" s="390"/>
      <c r="W6" s="231"/>
      <c r="AE6" s="178"/>
      <c r="AJ6" s="179"/>
    </row>
    <row r="7" spans="1:61" ht="13.8" x14ac:dyDescent="0.25">
      <c r="A7" s="223" t="s">
        <v>235</v>
      </c>
      <c r="B7" s="224" t="s">
        <v>166</v>
      </c>
      <c r="C7" s="224">
        <v>21</v>
      </c>
      <c r="D7" s="224" t="s">
        <v>236</v>
      </c>
      <c r="E7" s="225" t="str">
        <f ca="1">IF( LEN( $G7 ) = 0, "", OFFSET( INDIRECT( E$3 &amp; E$4 ), $G7 - 1, 0 ) )</f>
        <v>R</v>
      </c>
      <c r="F7" s="348"/>
      <c r="G7" s="349">
        <f t="shared" ref="G7:G62" ca="1" si="1">IF( LEN( $D7 ) = 0, "", MATCH( $D7, INDIRECT( G$3 &amp; G$4 ), 0 ) )</f>
        <v>34</v>
      </c>
      <c r="H7" s="350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217</v>
      </c>
      <c r="AR7" s="207" t="s">
        <v>140</v>
      </c>
      <c r="AS7" s="207">
        <v>19</v>
      </c>
      <c r="AT7" s="207" t="s">
        <v>218</v>
      </c>
      <c r="AV7" s="168">
        <f>IF( LEN( AS7 ) = 0, 99, RANK( AS7, $AS$7:$AS$63 ) )</f>
        <v>15</v>
      </c>
      <c r="AW7" s="168">
        <f>COUNTIF( AV7:AV$7, AV7 )</f>
        <v>1</v>
      </c>
      <c r="AX7" s="208">
        <f>AV7 + AW7 / 10</f>
        <v>15.1</v>
      </c>
      <c r="AY7" s="168">
        <f>RANK( AX7, $AX$7:$AX$63, 1 )</f>
        <v>15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21</v>
      </c>
      <c r="BF7" s="173" t="str">
        <f t="shared" ref="BF7:BI38" ca="1" si="7">OFFSET( AQ$6, $BD7, 0 )</f>
        <v>Eversource Energy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ES</v>
      </c>
    </row>
    <row r="8" spans="1:61" ht="13.8" x14ac:dyDescent="0.25">
      <c r="A8" s="223" t="s">
        <v>219</v>
      </c>
      <c r="B8" s="224" t="s">
        <v>139</v>
      </c>
      <c r="C8" s="224">
        <v>20</v>
      </c>
      <c r="D8" s="224" t="s">
        <v>220</v>
      </c>
      <c r="E8" s="225" t="str">
        <f t="shared" ref="E8:E62" ca="1" si="8">IF( LEN( $G8 ) = 0, "", OFFSET( INDIRECT( E$3 &amp; E$4 ), $G8 - 1, 0 ) )</f>
        <v>R</v>
      </c>
      <c r="F8" s="348"/>
      <c r="G8" s="349">
        <f t="shared" ca="1" si="1"/>
        <v>8</v>
      </c>
      <c r="H8" s="350"/>
      <c r="I8" s="233"/>
      <c r="J8" s="213" t="s">
        <v>137</v>
      </c>
      <c r="K8" s="233"/>
      <c r="L8" s="213">
        <f t="shared" ref="L8:L13" si="9">COUNTIF($C$7:$C$67,$X8)</f>
        <v>2</v>
      </c>
      <c r="M8" s="214">
        <f t="shared" ref="M8:M13" si="10">IF( L8 = 0, "", L8/L$14 )</f>
        <v>3.9215686274509803E-2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2.7777777777777776E-2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7.6923076923076927E-2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7">SUM(O8, R8, U8)</f>
        <v>2</v>
      </c>
      <c r="AC8" s="351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4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ref="AV8:AV63" si="21">IF( LEN( AS8 ) = 0, 99, RANK( AS8, $AS$7:$AS$63 ) )</f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ref="AY8:AY63" si="23">RANK( AX8, $AX$7:$AX$63, 1 )</f>
        <v>2</v>
      </c>
      <c r="AZ8" s="169"/>
      <c r="BA8" s="169"/>
      <c r="BC8" s="168">
        <f ca="1">OFFSET( BC8, -1, 0 ) + 1</f>
        <v>2</v>
      </c>
      <c r="BD8" s="209">
        <f t="shared" ca="1" si="6"/>
        <v>2</v>
      </c>
      <c r="BF8" s="173" t="str">
        <f t="shared" ca="1" si="7"/>
        <v>Alliant Energy Corporation</v>
      </c>
      <c r="BG8" s="173" t="str">
        <f t="shared" ca="1" si="7"/>
        <v>A-</v>
      </c>
      <c r="BH8" s="173">
        <f t="shared" ca="1" si="7"/>
        <v>20</v>
      </c>
      <c r="BI8" s="173" t="str">
        <f t="shared" ca="1" si="7"/>
        <v>LNT</v>
      </c>
    </row>
    <row r="9" spans="1:61" ht="13.8" x14ac:dyDescent="0.25">
      <c r="A9" s="223" t="s">
        <v>249</v>
      </c>
      <c r="B9" s="224" t="s">
        <v>139</v>
      </c>
      <c r="C9" s="224">
        <v>20</v>
      </c>
      <c r="D9" s="224" t="s">
        <v>250</v>
      </c>
      <c r="E9" s="225" t="str">
        <f t="shared" ca="1" si="8"/>
        <v>MR</v>
      </c>
      <c r="F9" s="348"/>
      <c r="G9" s="349">
        <f t="shared" ca="1" si="1"/>
        <v>13</v>
      </c>
      <c r="H9" s="350"/>
      <c r="I9" s="234"/>
      <c r="J9" s="215" t="s">
        <v>139</v>
      </c>
      <c r="K9" s="234"/>
      <c r="L9" s="215">
        <f t="shared" si="9"/>
        <v>13</v>
      </c>
      <c r="M9" s="216">
        <f t="shared" si="10"/>
        <v>0.25490196078431371</v>
      </c>
      <c r="N9" s="234"/>
      <c r="O9" s="215">
        <f t="shared" ca="1" si="11"/>
        <v>8</v>
      </c>
      <c r="P9" s="216">
        <f t="shared" ca="1" si="12"/>
        <v>0.22222222222222221</v>
      </c>
      <c r="Q9" s="234"/>
      <c r="R9" s="215">
        <f t="shared" ca="1" si="13"/>
        <v>5</v>
      </c>
      <c r="S9" s="216">
        <f t="shared" ca="1" si="14"/>
        <v>0.38461538461538464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7"/>
        <v>13</v>
      </c>
      <c r="AC9" s="351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si="21"/>
        <v>15</v>
      </c>
      <c r="AW9" s="168">
        <f>COUNTIF( AV$7:AV9, AV9 )</f>
        <v>2</v>
      </c>
      <c r="AX9" s="208">
        <f t="shared" si="22"/>
        <v>15.2</v>
      </c>
      <c r="AY9" s="168">
        <f t="shared" si="23"/>
        <v>16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9</v>
      </c>
      <c r="BF9" s="173" t="str">
        <f t="shared" ca="1" si="7"/>
        <v>CenterPoint Energy, Inc.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CNP</v>
      </c>
    </row>
    <row r="10" spans="1:61" ht="13.8" x14ac:dyDescent="0.25">
      <c r="A10" s="223" t="s">
        <v>227</v>
      </c>
      <c r="B10" s="224" t="s">
        <v>139</v>
      </c>
      <c r="C10" s="224">
        <v>20</v>
      </c>
      <c r="D10" s="224" t="s">
        <v>228</v>
      </c>
      <c r="E10" s="225" t="str">
        <f t="shared" ca="1" si="8"/>
        <v>R</v>
      </c>
      <c r="F10" s="348"/>
      <c r="G10" s="349">
        <f t="shared" ca="1" si="1"/>
        <v>16</v>
      </c>
      <c r="H10" s="350"/>
      <c r="I10" s="234"/>
      <c r="J10" s="215" t="s">
        <v>140</v>
      </c>
      <c r="K10" s="234"/>
      <c r="L10" s="215">
        <f t="shared" si="9"/>
        <v>18</v>
      </c>
      <c r="M10" s="216">
        <f t="shared" si="10"/>
        <v>0.35294117647058826</v>
      </c>
      <c r="N10" s="234"/>
      <c r="O10" s="215">
        <f t="shared" ca="1" si="11"/>
        <v>12</v>
      </c>
      <c r="P10" s="216">
        <f t="shared" ca="1" si="12"/>
        <v>0.33333333333333331</v>
      </c>
      <c r="Q10" s="234"/>
      <c r="R10" s="215">
        <f t="shared" ca="1" si="13"/>
        <v>5</v>
      </c>
      <c r="S10" s="216">
        <f t="shared" ca="1" si="14"/>
        <v>0.38461538461538464</v>
      </c>
      <c r="T10" s="234"/>
      <c r="U10" s="215">
        <f t="shared" ca="1" si="15"/>
        <v>1</v>
      </c>
      <c r="V10" s="216">
        <f t="shared" ca="1" si="16"/>
        <v>0.5</v>
      </c>
      <c r="W10" s="234"/>
      <c r="X10" s="186" t="s">
        <v>229</v>
      </c>
      <c r="Y10" s="186">
        <v>19</v>
      </c>
      <c r="Z10" s="186">
        <v>1</v>
      </c>
      <c r="AA10" s="185">
        <f t="shared" ca="1" si="17"/>
        <v>18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222</v>
      </c>
      <c r="AR10" s="207" t="s">
        <v>141</v>
      </c>
      <c r="AS10" s="207">
        <v>18</v>
      </c>
      <c r="AT10" s="207" t="s">
        <v>223</v>
      </c>
      <c r="AV10" s="168">
        <f t="shared" si="21"/>
        <v>33</v>
      </c>
      <c r="AW10" s="168">
        <f>COUNTIF( AV$7:AV10, AV10 )</f>
        <v>1</v>
      </c>
      <c r="AX10" s="208">
        <f t="shared" si="22"/>
        <v>33.1</v>
      </c>
      <c r="AY10" s="168">
        <f t="shared" si="23"/>
        <v>33</v>
      </c>
      <c r="AZ10" s="169"/>
      <c r="BA10" s="169"/>
      <c r="BC10" s="168">
        <f t="shared" ca="1" si="24"/>
        <v>4</v>
      </c>
      <c r="BD10" s="209">
        <f t="shared" ca="1" si="6"/>
        <v>12</v>
      </c>
      <c r="BF10" s="173" t="str">
        <f t="shared" ca="1" si="7"/>
        <v>Consolidated Edison,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ED</v>
      </c>
    </row>
    <row r="11" spans="1:61" ht="13.8" x14ac:dyDescent="0.25">
      <c r="A11" s="223" t="s">
        <v>361</v>
      </c>
      <c r="B11" s="224" t="s">
        <v>139</v>
      </c>
      <c r="C11" s="224">
        <v>20</v>
      </c>
      <c r="D11" s="224" t="s">
        <v>194</v>
      </c>
      <c r="E11" s="225" t="str">
        <f t="shared" ca="1" si="8"/>
        <v>MR</v>
      </c>
      <c r="F11" s="348"/>
      <c r="G11" s="349">
        <f t="shared" ca="1" si="1"/>
        <v>17</v>
      </c>
      <c r="H11" s="350"/>
      <c r="I11" s="234"/>
      <c r="J11" s="215" t="s">
        <v>141</v>
      </c>
      <c r="K11" s="234"/>
      <c r="L11" s="215">
        <f t="shared" si="9"/>
        <v>13</v>
      </c>
      <c r="M11" s="216">
        <f t="shared" si="10"/>
        <v>0.25490196078431371</v>
      </c>
      <c r="N11" s="234"/>
      <c r="O11" s="215">
        <f t="shared" ca="1" si="11"/>
        <v>12</v>
      </c>
      <c r="P11" s="216">
        <f t="shared" ca="1" si="12"/>
        <v>0.33333333333333331</v>
      </c>
      <c r="Q11" s="234"/>
      <c r="R11" s="215">
        <f t="shared" ca="1" si="13"/>
        <v>1</v>
      </c>
      <c r="S11" s="216">
        <f t="shared" ca="1" si="14"/>
        <v>7.6923076923076927E-2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7"/>
        <v>13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381</v>
      </c>
      <c r="AR11" s="207" t="s">
        <v>141</v>
      </c>
      <c r="AS11" s="207">
        <v>18</v>
      </c>
      <c r="AT11" s="207" t="s">
        <v>234</v>
      </c>
      <c r="AV11" s="168">
        <f t="shared" si="21"/>
        <v>33</v>
      </c>
      <c r="AW11" s="168">
        <f>COUNTIF( AV$7:AV11, AV11 )</f>
        <v>2</v>
      </c>
      <c r="AX11" s="208">
        <f t="shared" si="22"/>
        <v>33.200000000000003</v>
      </c>
      <c r="AY11" s="168">
        <f t="shared" si="23"/>
        <v>34</v>
      </c>
      <c r="AZ11" s="169"/>
      <c r="BA11" s="169"/>
      <c r="BC11" s="168">
        <f t="shared" ca="1" si="24"/>
        <v>5</v>
      </c>
      <c r="BD11" s="209">
        <f t="shared" ca="1" si="6"/>
        <v>13</v>
      </c>
      <c r="BF11" s="173" t="str">
        <f t="shared" ca="1" si="7"/>
        <v>Dominion Resources,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D</v>
      </c>
    </row>
    <row r="12" spans="1:61" ht="13.8" x14ac:dyDescent="0.25">
      <c r="A12" s="223" t="s">
        <v>263</v>
      </c>
      <c r="B12" s="224" t="s">
        <v>139</v>
      </c>
      <c r="C12" s="224">
        <v>20</v>
      </c>
      <c r="D12" s="224" t="s">
        <v>264</v>
      </c>
      <c r="E12" s="225" t="str">
        <f t="shared" ca="1" si="8"/>
        <v>R</v>
      </c>
      <c r="F12" s="348"/>
      <c r="G12" s="349">
        <f t="shared" ca="1" si="1"/>
        <v>19</v>
      </c>
      <c r="H12" s="350"/>
      <c r="I12" s="234"/>
      <c r="J12" s="215" t="s">
        <v>142</v>
      </c>
      <c r="K12" s="234"/>
      <c r="L12" s="215">
        <f t="shared" si="9"/>
        <v>3</v>
      </c>
      <c r="M12" s="216">
        <f t="shared" si="10"/>
        <v>5.8823529411764705E-2</v>
      </c>
      <c r="N12" s="234"/>
      <c r="O12" s="215">
        <f t="shared" ca="1" si="11"/>
        <v>1</v>
      </c>
      <c r="P12" s="216">
        <f t="shared" ca="1" si="12"/>
        <v>2.7777777777777776E-2</v>
      </c>
      <c r="Q12" s="234"/>
      <c r="R12" s="215">
        <f t="shared" ca="1" si="13"/>
        <v>1</v>
      </c>
      <c r="S12" s="216">
        <f t="shared" ca="1" si="14"/>
        <v>7.6923076923076927E-2</v>
      </c>
      <c r="T12" s="234"/>
      <c r="U12" s="215">
        <f t="shared" ca="1" si="15"/>
        <v>1</v>
      </c>
      <c r="V12" s="216">
        <f t="shared" ca="1" si="16"/>
        <v>0.5</v>
      </c>
      <c r="W12" s="234"/>
      <c r="X12" s="186" t="s">
        <v>237</v>
      </c>
      <c r="Y12" s="186">
        <v>17</v>
      </c>
      <c r="Z12" s="186">
        <v>1</v>
      </c>
      <c r="AA12" s="185">
        <f t="shared" ca="1" si="17"/>
        <v>3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238</v>
      </c>
      <c r="AR12" s="207" t="s">
        <v>141</v>
      </c>
      <c r="AS12" s="207">
        <v>18</v>
      </c>
      <c r="AT12" s="207" t="s">
        <v>239</v>
      </c>
      <c r="AV12" s="168">
        <f t="shared" si="21"/>
        <v>33</v>
      </c>
      <c r="AW12" s="168">
        <f>COUNTIF( AV$7:AV12, AV12 )</f>
        <v>3</v>
      </c>
      <c r="AX12" s="208">
        <f t="shared" si="22"/>
        <v>33.299999999999997</v>
      </c>
      <c r="AY12" s="168">
        <f t="shared" si="23"/>
        <v>35</v>
      </c>
      <c r="AZ12" s="169"/>
      <c r="BA12" s="169"/>
      <c r="BC12" s="168">
        <f t="shared" ca="1" si="24"/>
        <v>6</v>
      </c>
      <c r="BD12" s="209">
        <f t="shared" ca="1" si="6"/>
        <v>16</v>
      </c>
      <c r="BF12" s="173" t="str">
        <f t="shared" ca="1" si="7"/>
        <v>Duke Energy Corporation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DUK</v>
      </c>
    </row>
    <row r="13" spans="1:61" ht="13.8" x14ac:dyDescent="0.25">
      <c r="A13" s="223" t="s">
        <v>240</v>
      </c>
      <c r="B13" s="224" t="s">
        <v>139</v>
      </c>
      <c r="C13" s="224">
        <v>20</v>
      </c>
      <c r="D13" s="224" t="s">
        <v>241</v>
      </c>
      <c r="E13" s="225" t="str">
        <f t="shared" ca="1" si="8"/>
        <v>MR</v>
      </c>
      <c r="F13" s="348"/>
      <c r="G13" s="349">
        <f t="shared" ca="1" si="1"/>
        <v>32</v>
      </c>
      <c r="H13" s="350"/>
      <c r="I13" s="235"/>
      <c r="J13" s="217" t="s">
        <v>143</v>
      </c>
      <c r="K13" s="235"/>
      <c r="L13" s="217">
        <f t="shared" si="9"/>
        <v>2</v>
      </c>
      <c r="M13" s="218">
        <f t="shared" si="10"/>
        <v>3.9215686274509803E-2</v>
      </c>
      <c r="N13" s="235"/>
      <c r="O13" s="217">
        <f t="shared" ca="1" si="11"/>
        <v>2</v>
      </c>
      <c r="P13" s="218">
        <f t="shared" ca="1" si="12"/>
        <v>5.5555555555555552E-2</v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242</v>
      </c>
      <c r="Y13" s="186">
        <v>16</v>
      </c>
      <c r="Z13" s="186">
        <v>1</v>
      </c>
      <c r="AA13" s="188">
        <f t="shared" ca="1" si="17"/>
        <v>2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215</v>
      </c>
      <c r="AR13" s="207" t="s">
        <v>140</v>
      </c>
      <c r="AS13" s="207">
        <v>19</v>
      </c>
      <c r="AT13" s="207" t="s">
        <v>216</v>
      </c>
      <c r="AV13" s="168">
        <f t="shared" si="21"/>
        <v>15</v>
      </c>
      <c r="AW13" s="168">
        <f>COUNTIF( AV$7:AV13, AV13 )</f>
        <v>3</v>
      </c>
      <c r="AX13" s="208">
        <f t="shared" si="22"/>
        <v>15.3</v>
      </c>
      <c r="AY13" s="168">
        <f t="shared" si="23"/>
        <v>17</v>
      </c>
      <c r="AZ13" s="169"/>
      <c r="BA13" s="169"/>
      <c r="BC13" s="168">
        <f t="shared" ca="1" si="24"/>
        <v>7</v>
      </c>
      <c r="BD13" s="209">
        <f t="shared" ca="1" si="6"/>
        <v>29</v>
      </c>
      <c r="BF13" s="173" t="str">
        <f t="shared" ca="1" si="7"/>
        <v>NextEra Energy, Inc.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NEE</v>
      </c>
    </row>
    <row r="14" spans="1:61" ht="13.8" x14ac:dyDescent="0.25">
      <c r="A14" s="223" t="s">
        <v>277</v>
      </c>
      <c r="B14" s="224" t="s">
        <v>139</v>
      </c>
      <c r="C14" s="224">
        <v>20</v>
      </c>
      <c r="D14" s="224" t="s">
        <v>278</v>
      </c>
      <c r="E14" s="225" t="str">
        <f t="shared" ca="1" si="8"/>
        <v>R</v>
      </c>
      <c r="F14" s="348"/>
      <c r="G14" s="349">
        <f t="shared" ca="1" si="1"/>
        <v>36</v>
      </c>
      <c r="H14" s="350"/>
      <c r="I14" s="236"/>
      <c r="J14" s="211" t="s">
        <v>144</v>
      </c>
      <c r="K14" s="236"/>
      <c r="L14" s="211">
        <f>SUM(L8:L13)</f>
        <v>51</v>
      </c>
      <c r="M14" s="212">
        <f>L14/L$14</f>
        <v>1</v>
      </c>
      <c r="N14" s="236"/>
      <c r="O14" s="211">
        <f ca="1">SUM(O8:O13)</f>
        <v>36</v>
      </c>
      <c r="P14" s="212">
        <f ca="1">O14/O$14</f>
        <v>1</v>
      </c>
      <c r="Q14" s="236"/>
      <c r="R14" s="211">
        <f ca="1">SUM(R8:R13)</f>
        <v>13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18.843137254901961</v>
      </c>
      <c r="Z14" s="190"/>
      <c r="AA14" s="189">
        <f ca="1">SUM(AA8:AA13)</f>
        <v>51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245</v>
      </c>
      <c r="AR14" s="207" t="s">
        <v>141</v>
      </c>
      <c r="AS14" s="207">
        <v>18</v>
      </c>
      <c r="AT14" s="207" t="s">
        <v>246</v>
      </c>
      <c r="AV14" s="168">
        <f>IF( LEN( AS14 ) = 0, 99, RANK( AS14, $AS$7:$AS$63 ) )</f>
        <v>33</v>
      </c>
      <c r="AW14" s="168">
        <f>COUNTIF( AV$7:AV14, AV14 )</f>
        <v>4</v>
      </c>
      <c r="AX14" s="208">
        <f t="shared" si="22"/>
        <v>33.4</v>
      </c>
      <c r="AY14" s="168">
        <f t="shared" si="23"/>
        <v>36</v>
      </c>
      <c r="AZ14" s="169"/>
      <c r="BA14" s="169"/>
      <c r="BC14" s="168">
        <f t="shared" ca="1" si="24"/>
        <v>8</v>
      </c>
      <c r="BD14" s="209">
        <f t="shared" ca="1" si="6"/>
        <v>32</v>
      </c>
      <c r="BF14" s="173" t="str">
        <f t="shared" ca="1" si="7"/>
        <v>OGE Energy Corp.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OGE</v>
      </c>
    </row>
    <row r="15" spans="1:61" ht="13.8" x14ac:dyDescent="0.25">
      <c r="A15" s="223" t="s">
        <v>281</v>
      </c>
      <c r="B15" s="224" t="s">
        <v>139</v>
      </c>
      <c r="C15" s="224">
        <v>20</v>
      </c>
      <c r="D15" s="224" t="s">
        <v>282</v>
      </c>
      <c r="E15" s="225" t="str">
        <f t="shared" ca="1" si="8"/>
        <v>R</v>
      </c>
      <c r="F15" s="348"/>
      <c r="G15" s="349">
        <f t="shared" ca="1" si="1"/>
        <v>40</v>
      </c>
      <c r="H15" s="350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249</v>
      </c>
      <c r="AR15" s="207" t="s">
        <v>139</v>
      </c>
      <c r="AS15" s="207">
        <v>20</v>
      </c>
      <c r="AT15" s="207" t="s">
        <v>250</v>
      </c>
      <c r="AV15" s="168">
        <f t="shared" si="21"/>
        <v>2</v>
      </c>
      <c r="AW15" s="168">
        <f>COUNTIF( AV$7:AV15, AV15 )</f>
        <v>2</v>
      </c>
      <c r="AX15" s="208">
        <f t="shared" si="22"/>
        <v>2.2000000000000002</v>
      </c>
      <c r="AY15" s="168">
        <f t="shared" si="23"/>
        <v>3</v>
      </c>
      <c r="AZ15" s="169"/>
      <c r="BA15" s="169"/>
      <c r="BC15" s="168">
        <f t="shared" ca="1" si="24"/>
        <v>9</v>
      </c>
      <c r="BD15" s="209">
        <f t="shared" ca="1" si="6"/>
        <v>36</v>
      </c>
      <c r="BF15" s="173" t="str">
        <f t="shared" ca="1" si="7"/>
        <v>Pinnacle West Capital Corporation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PNW</v>
      </c>
    </row>
    <row r="16" spans="1:61" ht="13.8" x14ac:dyDescent="0.25">
      <c r="A16" s="223" t="s">
        <v>243</v>
      </c>
      <c r="B16" s="224" t="s">
        <v>139</v>
      </c>
      <c r="C16" s="224">
        <v>20</v>
      </c>
      <c r="D16" s="224" t="s">
        <v>244</v>
      </c>
      <c r="E16" s="225" t="str">
        <f t="shared" ca="1" si="8"/>
        <v>MR</v>
      </c>
      <c r="F16" s="348"/>
      <c r="G16" s="349">
        <f t="shared" ca="1" si="1"/>
        <v>43</v>
      </c>
      <c r="H16" s="350"/>
      <c r="I16" s="232"/>
      <c r="J16" s="210" t="s">
        <v>253</v>
      </c>
      <c r="K16" s="232"/>
      <c r="L16" s="386">
        <f t="array" ref="L16">SUM( IF( LEN( $C$7:$C$65 ) = 0, 0, $C$7:$C$65 ) ) / SUM( IF( LEN( $C$7:$C$65 ) = 0, 0, 1  ) )</f>
        <v>18.862745098039216</v>
      </c>
      <c r="M16" s="387"/>
      <c r="N16" s="232"/>
      <c r="O16" s="386">
        <f t="array" aca="1" ref="O16" ca="1">SUM( IF( LEN( $C$7:$C$65 ) = 0, 0, IF( $E$7:$E$65 = O3, $C$7:$C$65, 0 ) ) ) / SUM( IF( LEN( $C$7:$C$65 ) = 0, 0, IF( $E$7:$E$65 = O3, 1, 0 ) ) )</f>
        <v>18.694444444444443</v>
      </c>
      <c r="P16" s="387"/>
      <c r="Q16" s="232"/>
      <c r="R16" s="386">
        <f t="array" aca="1" ref="R16" ca="1">SUM( IF( LEN( $C$7:$C$65 ) = 0, 0, IF( $E$7:$E$65 = R3, $C$7:$C$65, 0 ) ) ) / SUM( IF( LEN( $C$7:$C$65 ) = 0, 0, IF( $E$7:$E$65 = R3, 1, 0 ) ) )</f>
        <v>19.46153846153846</v>
      </c>
      <c r="S16" s="387"/>
      <c r="T16" s="232"/>
      <c r="U16" s="386">
        <f t="array" aca="1" ref="U16" ca="1">SUM( IF( LEN( $C$7:$C$65 ) = 0, 0, IF( $E$7:$E$65 = U3, $C$7:$C$65, 0 ) ) ) / SUM( IF( LEN( $C$7:$C$65 ) = 0, 0, IF( $E$7:$E$65 = U3, 1, 0 ) ) )</f>
        <v>18</v>
      </c>
      <c r="V16" s="388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254</v>
      </c>
      <c r="AR16" s="207" t="s">
        <v>140</v>
      </c>
      <c r="AS16" s="207">
        <v>19</v>
      </c>
      <c r="AT16" s="207" t="s">
        <v>378</v>
      </c>
      <c r="AV16" s="168">
        <f t="shared" si="21"/>
        <v>15</v>
      </c>
      <c r="AW16" s="168">
        <f>COUNTIF( AV$7:AV16, AV16 )</f>
        <v>4</v>
      </c>
      <c r="AX16" s="208">
        <f t="shared" si="22"/>
        <v>15.4</v>
      </c>
      <c r="AY16" s="168">
        <f t="shared" si="23"/>
        <v>18</v>
      </c>
      <c r="AZ16" s="169"/>
      <c r="BA16" s="169"/>
      <c r="BC16" s="168">
        <f t="shared" ca="1" si="24"/>
        <v>10</v>
      </c>
      <c r="BD16" s="209">
        <f t="shared" ca="1" si="6"/>
        <v>39</v>
      </c>
      <c r="BF16" s="173" t="str">
        <f t="shared" ca="1" si="7"/>
        <v>PPL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PPL</v>
      </c>
    </row>
    <row r="17" spans="1:61" ht="13.8" x14ac:dyDescent="0.25">
      <c r="A17" s="223" t="s">
        <v>293</v>
      </c>
      <c r="B17" s="224" t="s">
        <v>139</v>
      </c>
      <c r="C17" s="224">
        <v>20</v>
      </c>
      <c r="D17" s="224" t="s">
        <v>294</v>
      </c>
      <c r="E17" s="225" t="str">
        <f t="shared" ca="1" si="8"/>
        <v>R</v>
      </c>
      <c r="F17" s="348"/>
      <c r="G17" s="349">
        <f t="shared" ca="1" si="1"/>
        <v>47</v>
      </c>
      <c r="H17" s="350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256</v>
      </c>
      <c r="AR17" s="207" t="s">
        <v>140</v>
      </c>
      <c r="AS17" s="207">
        <v>19</v>
      </c>
      <c r="AT17" s="207" t="s">
        <v>257</v>
      </c>
      <c r="AV17" s="168">
        <f t="shared" si="21"/>
        <v>15</v>
      </c>
      <c r="AW17" s="168">
        <f>COUNTIF( AV$7:AV17, AV17 )</f>
        <v>5</v>
      </c>
      <c r="AX17" s="208">
        <f t="shared" si="22"/>
        <v>15.5</v>
      </c>
      <c r="AY17" s="168">
        <f t="shared" si="23"/>
        <v>19</v>
      </c>
      <c r="AZ17" s="169"/>
      <c r="BA17" s="169"/>
      <c r="BC17" s="168">
        <f t="shared" ca="1" si="24"/>
        <v>11</v>
      </c>
      <c r="BD17" s="209">
        <f t="shared" ca="1" si="6"/>
        <v>44</v>
      </c>
      <c r="BF17" s="173" t="str">
        <f t="shared" ca="1" si="7"/>
        <v>Southern Company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SO</v>
      </c>
    </row>
    <row r="18" spans="1:61" ht="13.8" x14ac:dyDescent="0.25">
      <c r="A18" s="223" t="s">
        <v>345</v>
      </c>
      <c r="B18" s="224" t="s">
        <v>139</v>
      </c>
      <c r="C18" s="224">
        <v>20</v>
      </c>
      <c r="D18" s="224" t="s">
        <v>346</v>
      </c>
      <c r="E18" s="225" t="str">
        <f t="shared" ca="1" si="8"/>
        <v>MR</v>
      </c>
      <c r="F18" s="348"/>
      <c r="G18" s="349">
        <f t="shared" ca="1" si="1"/>
        <v>51</v>
      </c>
      <c r="H18" s="350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227</v>
      </c>
      <c r="AR18" s="207" t="s">
        <v>139</v>
      </c>
      <c r="AS18" s="207">
        <v>20</v>
      </c>
      <c r="AT18" s="207" t="s">
        <v>228</v>
      </c>
      <c r="AV18" s="168">
        <f t="shared" si="21"/>
        <v>2</v>
      </c>
      <c r="AW18" s="168">
        <f>COUNTIF( AV$7:AV18, AV18 )</f>
        <v>3</v>
      </c>
      <c r="AX18" s="208">
        <f t="shared" si="22"/>
        <v>2.2999999999999998</v>
      </c>
      <c r="AY18" s="168">
        <f t="shared" si="23"/>
        <v>4</v>
      </c>
      <c r="AZ18" s="169"/>
      <c r="BA18" s="169"/>
      <c r="BC18" s="168">
        <f t="shared" ca="1" si="24"/>
        <v>12</v>
      </c>
      <c r="BD18" s="209">
        <f t="shared" ca="1" si="6"/>
        <v>47</v>
      </c>
      <c r="BF18" s="173" t="str">
        <f t="shared" ca="1" si="7"/>
        <v>Vectren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VVC</v>
      </c>
    </row>
    <row r="19" spans="1:61" ht="13.8" x14ac:dyDescent="0.25">
      <c r="A19" s="223" t="s">
        <v>247</v>
      </c>
      <c r="B19" s="224" t="s">
        <v>139</v>
      </c>
      <c r="C19" s="224">
        <v>20</v>
      </c>
      <c r="D19" s="224" t="s">
        <v>248</v>
      </c>
      <c r="E19" s="225" t="str">
        <f t="shared" ca="1" si="8"/>
        <v>R</v>
      </c>
      <c r="F19" s="348"/>
      <c r="G19" s="349">
        <f t="shared" ca="1" si="1"/>
        <v>53</v>
      </c>
      <c r="H19" s="350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361</v>
      </c>
      <c r="AR19" s="207" t="s">
        <v>139</v>
      </c>
      <c r="AS19" s="207">
        <v>20</v>
      </c>
      <c r="AT19" s="207" t="s">
        <v>194</v>
      </c>
      <c r="AV19" s="168">
        <f t="shared" si="21"/>
        <v>2</v>
      </c>
      <c r="AW19" s="168">
        <f>COUNTIF( AV$7:AV19, AV19 )</f>
        <v>4</v>
      </c>
      <c r="AX19" s="208">
        <f t="shared" si="22"/>
        <v>2.4</v>
      </c>
      <c r="AY19" s="168">
        <f t="shared" si="23"/>
        <v>5</v>
      </c>
      <c r="AZ19" s="169"/>
      <c r="BA19" s="169"/>
      <c r="BC19" s="168">
        <f t="shared" ca="1" si="24"/>
        <v>13</v>
      </c>
      <c r="BD19" s="209">
        <f t="shared" ca="1" si="6"/>
        <v>49</v>
      </c>
      <c r="BF19" s="173" t="str">
        <f t="shared" ca="1" si="7"/>
        <v>Wisconsin Energy Corporation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WEC</v>
      </c>
    </row>
    <row r="20" spans="1:61" ht="13.8" x14ac:dyDescent="0.25">
      <c r="A20" s="223" t="s">
        <v>251</v>
      </c>
      <c r="B20" s="224" t="s">
        <v>139</v>
      </c>
      <c r="C20" s="224">
        <v>20</v>
      </c>
      <c r="D20" s="224" t="s">
        <v>252</v>
      </c>
      <c r="E20" s="225" t="str">
        <f t="shared" ca="1" si="8"/>
        <v>R</v>
      </c>
      <c r="F20" s="348"/>
      <c r="G20" s="349">
        <f t="shared" ca="1" si="1"/>
        <v>54</v>
      </c>
      <c r="H20" s="350"/>
      <c r="I20" s="352"/>
      <c r="K20" s="352"/>
      <c r="N20" s="352"/>
      <c r="O20" s="173"/>
      <c r="Q20" s="352"/>
      <c r="T20" s="352"/>
      <c r="W20" s="352"/>
      <c r="AE20" s="184"/>
      <c r="AF20" s="169">
        <f t="shared" si="2"/>
        <v>0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259</v>
      </c>
      <c r="AR20" s="207" t="s">
        <v>175</v>
      </c>
      <c r="AS20" s="207">
        <v>15</v>
      </c>
      <c r="AT20" s="207" t="s">
        <v>260</v>
      </c>
      <c r="AV20" s="168">
        <f t="shared" si="21"/>
        <v>50</v>
      </c>
      <c r="AW20" s="168">
        <f>COUNTIF( AV$7:AV20, AV20 )</f>
        <v>1</v>
      </c>
      <c r="AX20" s="208">
        <f t="shared" si="22"/>
        <v>50.1</v>
      </c>
      <c r="AY20" s="168">
        <f t="shared" si="23"/>
        <v>50</v>
      </c>
      <c r="AZ20" s="169"/>
      <c r="BA20" s="169"/>
      <c r="BC20" s="168">
        <f t="shared" ca="1" si="24"/>
        <v>14</v>
      </c>
      <c r="BD20" s="209">
        <f t="shared" ca="1" si="6"/>
        <v>50</v>
      </c>
      <c r="BF20" s="173" t="str">
        <f t="shared" ca="1" si="7"/>
        <v>Xcel Energy Inc.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XEL</v>
      </c>
    </row>
    <row r="21" spans="1:61" ht="13.8" x14ac:dyDescent="0.25">
      <c r="A21" s="223" t="s">
        <v>217</v>
      </c>
      <c r="B21" s="224" t="s">
        <v>140</v>
      </c>
      <c r="C21" s="224">
        <v>19</v>
      </c>
      <c r="D21" s="224" t="s">
        <v>218</v>
      </c>
      <c r="E21" s="225" t="str">
        <f t="shared" ca="1" si="8"/>
        <v>R</v>
      </c>
      <c r="F21" s="348"/>
      <c r="G21" s="349">
        <f t="shared" ca="1" si="1"/>
        <v>7</v>
      </c>
      <c r="H21" s="350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261</v>
      </c>
      <c r="AR21" s="207" t="s">
        <v>140</v>
      </c>
      <c r="AS21" s="207">
        <v>19</v>
      </c>
      <c r="AT21" s="207" t="s">
        <v>262</v>
      </c>
      <c r="AV21" s="168">
        <f t="shared" si="21"/>
        <v>15</v>
      </c>
      <c r="AW21" s="168">
        <f>COUNTIF( AV$7:AV21, AV21 )</f>
        <v>6</v>
      </c>
      <c r="AX21" s="208">
        <f t="shared" si="22"/>
        <v>15.6</v>
      </c>
      <c r="AY21" s="168">
        <f t="shared" si="23"/>
        <v>20</v>
      </c>
      <c r="AZ21" s="169"/>
      <c r="BA21" s="169"/>
      <c r="BC21" s="168">
        <f t="shared" ca="1" si="24"/>
        <v>15</v>
      </c>
      <c r="BD21" s="209">
        <f t="shared" ca="1" si="6"/>
        <v>1</v>
      </c>
      <c r="BF21" s="173" t="str">
        <f t="shared" ca="1" si="7"/>
        <v>ALLETE, Inc.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ALE</v>
      </c>
    </row>
    <row r="22" spans="1:61" ht="13.8" x14ac:dyDescent="0.25">
      <c r="A22" s="223" t="s">
        <v>225</v>
      </c>
      <c r="B22" s="224" t="s">
        <v>140</v>
      </c>
      <c r="C22" s="224">
        <v>19</v>
      </c>
      <c r="D22" s="224" t="s">
        <v>226</v>
      </c>
      <c r="E22" s="225" t="str">
        <f t="shared" ca="1" si="8"/>
        <v>R</v>
      </c>
      <c r="F22" s="348"/>
      <c r="G22" s="349">
        <f t="shared" ca="1" si="1"/>
        <v>9</v>
      </c>
      <c r="H22" s="350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263</v>
      </c>
      <c r="AR22" s="207" t="s">
        <v>139</v>
      </c>
      <c r="AS22" s="207">
        <v>20</v>
      </c>
      <c r="AT22" s="207" t="s">
        <v>264</v>
      </c>
      <c r="AV22" s="168">
        <f t="shared" si="21"/>
        <v>2</v>
      </c>
      <c r="AW22" s="168">
        <f>COUNTIF( AV$7:AV22, AV22 )</f>
        <v>5</v>
      </c>
      <c r="AX22" s="208">
        <f t="shared" si="22"/>
        <v>2.5</v>
      </c>
      <c r="AY22" s="168">
        <f t="shared" si="23"/>
        <v>6</v>
      </c>
      <c r="AZ22" s="169"/>
      <c r="BA22" s="169"/>
      <c r="BC22" s="168">
        <f t="shared" ca="1" si="24"/>
        <v>16</v>
      </c>
      <c r="BD22" s="209">
        <f t="shared" ca="1" si="6"/>
        <v>3</v>
      </c>
      <c r="BF22" s="173" t="str">
        <f t="shared" ca="1" si="7"/>
        <v>Ameren Corporation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AEE</v>
      </c>
    </row>
    <row r="23" spans="1:61" ht="13.8" x14ac:dyDescent="0.25">
      <c r="A23" s="223" t="s">
        <v>215</v>
      </c>
      <c r="B23" s="224" t="s">
        <v>140</v>
      </c>
      <c r="C23" s="224">
        <v>19</v>
      </c>
      <c r="D23" s="224" t="s">
        <v>216</v>
      </c>
      <c r="E23" s="225" t="str">
        <f t="shared" ca="1" si="8"/>
        <v>MR</v>
      </c>
      <c r="F23" s="348"/>
      <c r="G23" s="349">
        <f t="shared" ca="1" si="1"/>
        <v>60</v>
      </c>
      <c r="H23" s="350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265</v>
      </c>
      <c r="AR23" s="207" t="s">
        <v>140</v>
      </c>
      <c r="AS23" s="207">
        <v>19</v>
      </c>
      <c r="AT23" s="207" t="s">
        <v>266</v>
      </c>
      <c r="AV23" s="168">
        <f t="shared" si="21"/>
        <v>15</v>
      </c>
      <c r="AW23" s="168">
        <f>COUNTIF( AV$7:AV23, AV23 )</f>
        <v>7</v>
      </c>
      <c r="AX23" s="208">
        <f t="shared" si="22"/>
        <v>15.7</v>
      </c>
      <c r="AY23" s="168">
        <f t="shared" si="23"/>
        <v>21</v>
      </c>
      <c r="AZ23" s="169"/>
      <c r="BA23" s="169"/>
      <c r="BC23" s="168">
        <f t="shared" ca="1" si="24"/>
        <v>17</v>
      </c>
      <c r="BD23" s="209">
        <f t="shared" ca="1" si="6"/>
        <v>7</v>
      </c>
      <c r="BF23" s="173" t="str">
        <f t="shared" ca="1" si="7"/>
        <v>Berkshire Energy Holdings Company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**BRK</v>
      </c>
    </row>
    <row r="24" spans="1:61" ht="13.8" x14ac:dyDescent="0.25">
      <c r="A24" s="223" t="s">
        <v>254</v>
      </c>
      <c r="B24" s="224" t="s">
        <v>140</v>
      </c>
      <c r="C24" s="224">
        <v>19</v>
      </c>
      <c r="D24" s="224" t="s">
        <v>378</v>
      </c>
      <c r="E24" s="225" t="str">
        <f t="shared" ca="1" si="8"/>
        <v>R</v>
      </c>
      <c r="F24" s="348"/>
      <c r="G24" s="349">
        <f t="shared" ca="1" si="1"/>
        <v>14</v>
      </c>
      <c r="H24" s="350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328</v>
      </c>
      <c r="AR24" s="207" t="s">
        <v>141</v>
      </c>
      <c r="AS24" s="207">
        <v>18</v>
      </c>
      <c r="AT24" s="207" t="s">
        <v>331</v>
      </c>
      <c r="AV24" s="168">
        <f t="shared" si="21"/>
        <v>33</v>
      </c>
      <c r="AW24" s="168">
        <f>COUNTIF( AV$7:AV24, AV24 )</f>
        <v>5</v>
      </c>
      <c r="AX24" s="208">
        <f t="shared" si="22"/>
        <v>33.5</v>
      </c>
      <c r="AY24" s="168">
        <f t="shared" si="23"/>
        <v>37</v>
      </c>
      <c r="AZ24" s="169"/>
      <c r="BA24" s="169"/>
      <c r="BC24" s="168">
        <f t="shared" ca="1" si="24"/>
        <v>18</v>
      </c>
      <c r="BD24" s="209">
        <f t="shared" ca="1" si="6"/>
        <v>10</v>
      </c>
      <c r="BF24" s="173" t="str">
        <f t="shared" ca="1" si="7"/>
        <v>Cleco Corporation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CNL</v>
      </c>
    </row>
    <row r="25" spans="1:61" ht="13.8" x14ac:dyDescent="0.25">
      <c r="A25" s="223" t="s">
        <v>256</v>
      </c>
      <c r="B25" s="224" t="s">
        <v>140</v>
      </c>
      <c r="C25" s="224">
        <v>19</v>
      </c>
      <c r="D25" s="224" t="s">
        <v>257</v>
      </c>
      <c r="E25" s="225" t="str">
        <f t="shared" ca="1" si="8"/>
        <v>R</v>
      </c>
      <c r="F25" s="348"/>
      <c r="G25" s="349">
        <f t="shared" ca="1" si="1"/>
        <v>15</v>
      </c>
      <c r="H25" s="350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367</v>
      </c>
      <c r="AR25" s="207" t="s">
        <v>141</v>
      </c>
      <c r="AS25" s="207">
        <v>18</v>
      </c>
      <c r="AT25" s="207" t="s">
        <v>368</v>
      </c>
      <c r="AV25" s="168">
        <f t="shared" si="21"/>
        <v>33</v>
      </c>
      <c r="AW25" s="168">
        <f>COUNTIF( AV$7:AV25, AV25 )</f>
        <v>6</v>
      </c>
      <c r="AX25" s="208">
        <f t="shared" si="22"/>
        <v>33.6</v>
      </c>
      <c r="AY25" s="168">
        <f t="shared" si="23"/>
        <v>38</v>
      </c>
      <c r="AZ25" s="169"/>
      <c r="BA25" s="169"/>
      <c r="BC25" s="168">
        <f t="shared" ca="1" si="24"/>
        <v>19</v>
      </c>
      <c r="BD25" s="209">
        <f t="shared" ca="1" si="6"/>
        <v>11</v>
      </c>
      <c r="BF25" s="173" t="str">
        <f t="shared" ca="1" si="7"/>
        <v>CMS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CMS</v>
      </c>
    </row>
    <row r="26" spans="1:61" ht="13.8" x14ac:dyDescent="0.25">
      <c r="A26" s="223" t="s">
        <v>261</v>
      </c>
      <c r="B26" s="224" t="s">
        <v>140</v>
      </c>
      <c r="C26" s="224">
        <v>19</v>
      </c>
      <c r="D26" s="224" t="s">
        <v>262</v>
      </c>
      <c r="E26" s="225" t="str">
        <f t="shared" ca="1" si="8"/>
        <v>R</v>
      </c>
      <c r="F26" s="348"/>
      <c r="G26" s="349">
        <f t="shared" ca="1" si="1"/>
        <v>18</v>
      </c>
      <c r="H26" s="350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267</v>
      </c>
      <c r="AR26" s="207" t="s">
        <v>141</v>
      </c>
      <c r="AS26" s="207">
        <v>18</v>
      </c>
      <c r="AT26" s="207" t="s">
        <v>268</v>
      </c>
      <c r="AV26" s="168">
        <f t="shared" si="21"/>
        <v>33</v>
      </c>
      <c r="AW26" s="168">
        <f>COUNTIF( AV$7:AV26, AV26 )</f>
        <v>7</v>
      </c>
      <c r="AX26" s="208">
        <f t="shared" si="22"/>
        <v>33.700000000000003</v>
      </c>
      <c r="AY26" s="168">
        <f t="shared" si="23"/>
        <v>39</v>
      </c>
      <c r="AZ26" s="169"/>
      <c r="BA26" s="169"/>
      <c r="BC26" s="168">
        <f t="shared" ca="1" si="24"/>
        <v>20</v>
      </c>
      <c r="BD26" s="209">
        <f t="shared" ca="1" si="6"/>
        <v>15</v>
      </c>
      <c r="BF26" s="173" t="str">
        <f t="shared" ca="1" si="7"/>
        <v>DTE Energy Company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DTE</v>
      </c>
    </row>
    <row r="27" spans="1:61" ht="13.8" x14ac:dyDescent="0.25">
      <c r="A27" s="223" t="s">
        <v>265</v>
      </c>
      <c r="B27" s="224" t="s">
        <v>140</v>
      </c>
      <c r="C27" s="224">
        <v>19</v>
      </c>
      <c r="D27" s="224" t="s">
        <v>266</v>
      </c>
      <c r="E27" s="225" t="str">
        <f t="shared" ca="1" si="8"/>
        <v>R</v>
      </c>
      <c r="F27" s="348"/>
      <c r="G27" s="349">
        <f t="shared" ca="1" si="1"/>
        <v>20</v>
      </c>
      <c r="H27" s="350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235</v>
      </c>
      <c r="AR27" s="207" t="s">
        <v>166</v>
      </c>
      <c r="AS27" s="207">
        <v>21</v>
      </c>
      <c r="AT27" s="207" t="s">
        <v>236</v>
      </c>
      <c r="AV27" s="168">
        <f t="shared" si="21"/>
        <v>1</v>
      </c>
      <c r="AW27" s="168">
        <f>COUNTIF( AV$7:AV27, AV27 )</f>
        <v>1</v>
      </c>
      <c r="AX27" s="208">
        <f t="shared" si="22"/>
        <v>1.1000000000000001</v>
      </c>
      <c r="AY27" s="168">
        <f t="shared" si="23"/>
        <v>1</v>
      </c>
      <c r="AZ27" s="169"/>
      <c r="BA27" s="169"/>
      <c r="BC27" s="168">
        <f t="shared" ca="1" si="24"/>
        <v>21</v>
      </c>
      <c r="BD27" s="209">
        <f t="shared" ca="1" si="6"/>
        <v>17</v>
      </c>
      <c r="BF27" s="173" t="str">
        <f t="shared" ca="1" si="7"/>
        <v>Edison International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EIX</v>
      </c>
    </row>
    <row r="28" spans="1:61" ht="13.8" x14ac:dyDescent="0.25">
      <c r="A28" s="223" t="s">
        <v>352</v>
      </c>
      <c r="B28" s="224" t="s">
        <v>140</v>
      </c>
      <c r="C28" s="224">
        <v>19</v>
      </c>
      <c r="D28" s="224" t="s">
        <v>353</v>
      </c>
      <c r="E28" s="225" t="str">
        <f t="shared" ca="1" si="8"/>
        <v>R</v>
      </c>
      <c r="F28" s="348"/>
      <c r="G28" s="349">
        <f t="shared" ca="1" si="1"/>
        <v>26</v>
      </c>
      <c r="H28" s="350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269</v>
      </c>
      <c r="AR28" s="207" t="s">
        <v>141</v>
      </c>
      <c r="AS28" s="207">
        <v>18</v>
      </c>
      <c r="AT28" s="207" t="s">
        <v>270</v>
      </c>
      <c r="AV28" s="168">
        <f t="shared" si="21"/>
        <v>33</v>
      </c>
      <c r="AW28" s="168">
        <f>COUNTIF( AV$7:AV28, AV28 )</f>
        <v>8</v>
      </c>
      <c r="AX28" s="208">
        <f t="shared" si="22"/>
        <v>33.799999999999997</v>
      </c>
      <c r="AY28" s="168">
        <f t="shared" si="23"/>
        <v>40</v>
      </c>
      <c r="AZ28" s="169"/>
      <c r="BA28" s="169"/>
      <c r="BC28" s="168">
        <f t="shared" ca="1" si="24"/>
        <v>22</v>
      </c>
      <c r="BD28" s="209">
        <f t="shared" ca="1" si="6"/>
        <v>24</v>
      </c>
      <c r="BF28" s="173" t="str">
        <f t="shared" ca="1" si="7"/>
        <v>Great Plains Energy Inc.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GXP</v>
      </c>
    </row>
    <row r="29" spans="1:61" ht="13.8" x14ac:dyDescent="0.25">
      <c r="A29" s="223" t="s">
        <v>271</v>
      </c>
      <c r="B29" s="224" t="s">
        <v>140</v>
      </c>
      <c r="C29" s="224">
        <v>19</v>
      </c>
      <c r="D29" s="224" t="s">
        <v>272</v>
      </c>
      <c r="E29" s="225" t="str">
        <f t="shared" ca="1" si="8"/>
        <v>D</v>
      </c>
      <c r="F29" s="348"/>
      <c r="G29" s="349">
        <f t="shared" ca="1" si="1"/>
        <v>30</v>
      </c>
      <c r="H29" s="350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275</v>
      </c>
      <c r="AR29" s="207" t="s">
        <v>142</v>
      </c>
      <c r="AS29" s="207">
        <v>17</v>
      </c>
      <c r="AT29" s="207" t="s">
        <v>276</v>
      </c>
      <c r="AV29" s="168">
        <f t="shared" si="21"/>
        <v>46</v>
      </c>
      <c r="AW29" s="168">
        <f>COUNTIF( AV$7:AV29, AV29 )</f>
        <v>1</v>
      </c>
      <c r="AX29" s="208">
        <f t="shared" si="22"/>
        <v>46.1</v>
      </c>
      <c r="AY29" s="168">
        <f t="shared" si="23"/>
        <v>46</v>
      </c>
      <c r="AZ29" s="169"/>
      <c r="BA29" s="169"/>
      <c r="BC29" s="168">
        <f t="shared" ca="1" si="24"/>
        <v>23</v>
      </c>
      <c r="BD29" s="209">
        <f t="shared" ca="1" si="6"/>
        <v>28</v>
      </c>
      <c r="BF29" s="173" t="str">
        <f t="shared" ca="1" si="7"/>
        <v>MDU Resources Group, Inc.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MDU</v>
      </c>
    </row>
    <row r="30" spans="1:61" ht="13.8" x14ac:dyDescent="0.25">
      <c r="A30" s="223" t="s">
        <v>273</v>
      </c>
      <c r="B30" s="224" t="s">
        <v>140</v>
      </c>
      <c r="C30" s="224">
        <v>19</v>
      </c>
      <c r="D30" s="224" t="s">
        <v>274</v>
      </c>
      <c r="E30" s="225" t="str">
        <f t="shared" ca="1" si="8"/>
        <v>MR</v>
      </c>
      <c r="F30" s="348"/>
      <c r="G30" s="349">
        <f t="shared" ca="1" si="1"/>
        <v>33</v>
      </c>
      <c r="H30" s="350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352</v>
      </c>
      <c r="AR30" s="207" t="s">
        <v>140</v>
      </c>
      <c r="AS30" s="207">
        <v>19</v>
      </c>
      <c r="AT30" s="207" t="s">
        <v>353</v>
      </c>
      <c r="AV30" s="168">
        <f t="shared" si="21"/>
        <v>15</v>
      </c>
      <c r="AW30" s="168">
        <f>COUNTIF( AV$7:AV30, AV30 )</f>
        <v>8</v>
      </c>
      <c r="AX30" s="208">
        <f t="shared" si="22"/>
        <v>15.8</v>
      </c>
      <c r="AY30" s="168">
        <f t="shared" si="23"/>
        <v>22</v>
      </c>
      <c r="AZ30" s="169"/>
      <c r="BA30" s="169"/>
      <c r="BC30" s="168">
        <f t="shared" ca="1" si="24"/>
        <v>24</v>
      </c>
      <c r="BD30" s="209">
        <f t="shared" ca="1" si="6"/>
        <v>30</v>
      </c>
      <c r="BF30" s="173" t="str">
        <f t="shared" ca="1" si="7"/>
        <v>NiSource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NI</v>
      </c>
    </row>
    <row r="31" spans="1:61" ht="13.8" x14ac:dyDescent="0.25">
      <c r="A31" s="223" t="s">
        <v>382</v>
      </c>
      <c r="B31" s="224" t="s">
        <v>140</v>
      </c>
      <c r="C31" s="224">
        <v>19</v>
      </c>
      <c r="D31" s="224" t="s">
        <v>383</v>
      </c>
      <c r="E31" s="225" t="str">
        <f t="shared" ca="1" si="8"/>
        <v>R</v>
      </c>
      <c r="F31" s="348"/>
      <c r="G31" s="349">
        <f t="shared" ca="1" si="1"/>
        <v>38</v>
      </c>
      <c r="H31" s="350"/>
      <c r="I31" s="237"/>
      <c r="J31" s="191"/>
      <c r="K31" s="237"/>
      <c r="N31" s="237"/>
      <c r="O31" s="351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279</v>
      </c>
      <c r="AR31" s="207" t="s">
        <v>142</v>
      </c>
      <c r="AS31" s="207">
        <v>17</v>
      </c>
      <c r="AT31" s="207" t="s">
        <v>280</v>
      </c>
      <c r="AV31" s="168">
        <f t="shared" si="21"/>
        <v>46</v>
      </c>
      <c r="AW31" s="168">
        <f>COUNTIF( AV$7:AV31, AV31 )</f>
        <v>2</v>
      </c>
      <c r="AX31" s="208">
        <f t="shared" si="22"/>
        <v>46.2</v>
      </c>
      <c r="AY31" s="168">
        <f t="shared" si="23"/>
        <v>47</v>
      </c>
      <c r="AZ31" s="169"/>
      <c r="BA31" s="169"/>
      <c r="BC31" s="168">
        <f t="shared" ca="1" si="24"/>
        <v>25</v>
      </c>
      <c r="BD31" s="209">
        <f t="shared" ca="1" si="6"/>
        <v>34</v>
      </c>
      <c r="BF31" s="173" t="str">
        <f t="shared" ca="1" si="7"/>
        <v>Pepco Holdings,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POM</v>
      </c>
    </row>
    <row r="32" spans="1:61" ht="13.8" x14ac:dyDescent="0.25">
      <c r="A32" s="223" t="s">
        <v>303</v>
      </c>
      <c r="B32" s="224" t="s">
        <v>140</v>
      </c>
      <c r="C32" s="224">
        <v>19</v>
      </c>
      <c r="D32" s="224" t="s">
        <v>304</v>
      </c>
      <c r="E32" s="225" t="str">
        <f t="shared" ca="1" si="8"/>
        <v>R</v>
      </c>
      <c r="F32" s="348"/>
      <c r="G32" s="349">
        <f t="shared" ca="1" si="1"/>
        <v>41</v>
      </c>
      <c r="H32" s="350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>
        <f t="shared" ca="1" si="3"/>
        <v>1</v>
      </c>
      <c r="AH32" s="169" t="str">
        <f t="shared" ca="1" si="18"/>
        <v/>
      </c>
      <c r="AJ32" s="169">
        <f t="shared" ca="1" si="19"/>
        <v>50</v>
      </c>
      <c r="AK32" s="169" t="str">
        <f t="shared" ca="1" si="20"/>
        <v>BBB</v>
      </c>
      <c r="AL32" s="169">
        <f t="shared" ca="1" si="20"/>
        <v>18</v>
      </c>
      <c r="AM32" s="169" t="str">
        <f t="shared" ca="1" si="4"/>
        <v>Change</v>
      </c>
      <c r="AQ32" s="207" t="s">
        <v>283</v>
      </c>
      <c r="AR32" s="207" t="s">
        <v>141</v>
      </c>
      <c r="AS32" s="207">
        <v>18</v>
      </c>
      <c r="AT32" s="207" t="s">
        <v>284</v>
      </c>
      <c r="AV32" s="168">
        <f t="shared" si="21"/>
        <v>33</v>
      </c>
      <c r="AW32" s="168">
        <f>COUNTIF( AV$7:AV32, AV32 )</f>
        <v>9</v>
      </c>
      <c r="AX32" s="208">
        <f t="shared" si="22"/>
        <v>33.9</v>
      </c>
      <c r="AY32" s="168">
        <f t="shared" si="23"/>
        <v>41</v>
      </c>
      <c r="AZ32" s="169"/>
      <c r="BA32" s="169"/>
      <c r="BC32" s="168">
        <f t="shared" ca="1" si="24"/>
        <v>26</v>
      </c>
      <c r="BD32" s="209">
        <f t="shared" ca="1" si="6"/>
        <v>37</v>
      </c>
      <c r="BF32" s="173" t="str">
        <f t="shared" ca="1" si="7"/>
        <v>PNM Resources, Inc.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PNM</v>
      </c>
    </row>
    <row r="33" spans="1:61" ht="13.8" x14ac:dyDescent="0.25">
      <c r="A33" s="223" t="s">
        <v>289</v>
      </c>
      <c r="B33" s="224" t="s">
        <v>140</v>
      </c>
      <c r="C33" s="224">
        <v>19</v>
      </c>
      <c r="D33" s="224" t="s">
        <v>290</v>
      </c>
      <c r="E33" s="225" t="str">
        <f t="shared" ca="1" si="8"/>
        <v>MR</v>
      </c>
      <c r="F33" s="348"/>
      <c r="G33" s="349">
        <f t="shared" ca="1" si="1"/>
        <v>44</v>
      </c>
      <c r="H33" s="350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32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287</v>
      </c>
      <c r="AR33" s="207" t="s">
        <v>173</v>
      </c>
      <c r="AS33" s="207">
        <v>16</v>
      </c>
      <c r="AT33" s="207" t="s">
        <v>288</v>
      </c>
      <c r="AV33" s="168">
        <f t="shared" si="21"/>
        <v>49</v>
      </c>
      <c r="AW33" s="168">
        <f>COUNTIF( AV$7:AV33, AV33 )</f>
        <v>1</v>
      </c>
      <c r="AX33" s="208">
        <f t="shared" si="22"/>
        <v>49.1</v>
      </c>
      <c r="AY33" s="168">
        <f t="shared" si="23"/>
        <v>49</v>
      </c>
      <c r="AZ33" s="169"/>
      <c r="BA33" s="169"/>
      <c r="BC33" s="168">
        <f t="shared" ca="1" si="24"/>
        <v>27</v>
      </c>
      <c r="BD33" s="209">
        <f t="shared" ca="1" si="6"/>
        <v>40</v>
      </c>
      <c r="BF33" s="173" t="str">
        <f t="shared" ca="1" si="7"/>
        <v>Public Service Enterprise Group Incorporated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PEG</v>
      </c>
    </row>
    <row r="34" spans="1:61" ht="13.8" x14ac:dyDescent="0.25">
      <c r="A34" s="223" t="s">
        <v>347</v>
      </c>
      <c r="B34" s="224" t="s">
        <v>140</v>
      </c>
      <c r="C34" s="224">
        <v>19</v>
      </c>
      <c r="D34" s="224" t="s">
        <v>348</v>
      </c>
      <c r="E34" s="225" t="str">
        <f t="shared" ca="1" si="8"/>
        <v>MR</v>
      </c>
      <c r="F34" s="348"/>
      <c r="G34" s="349">
        <f t="shared" ca="1" si="1"/>
        <v>45</v>
      </c>
      <c r="H34" s="350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33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271</v>
      </c>
      <c r="AR34" s="207" t="s">
        <v>140</v>
      </c>
      <c r="AS34" s="207">
        <v>19</v>
      </c>
      <c r="AT34" s="207" t="s">
        <v>272</v>
      </c>
      <c r="AV34" s="168">
        <f t="shared" si="21"/>
        <v>15</v>
      </c>
      <c r="AW34" s="168">
        <f>COUNTIF( AV$7:AV34, AV34 )</f>
        <v>9</v>
      </c>
      <c r="AX34" s="208">
        <f t="shared" si="22"/>
        <v>15.9</v>
      </c>
      <c r="AY34" s="168">
        <f t="shared" si="23"/>
        <v>23</v>
      </c>
      <c r="AZ34" s="169"/>
      <c r="BA34" s="169"/>
      <c r="BC34" s="168">
        <f t="shared" ca="1" si="24"/>
        <v>28</v>
      </c>
      <c r="BD34" s="209">
        <f t="shared" ca="1" si="6"/>
        <v>42</v>
      </c>
      <c r="BF34" s="173" t="str">
        <f t="shared" ca="1" si="7"/>
        <v>SCANA Corporation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SCG</v>
      </c>
    </row>
    <row r="35" spans="1:61" ht="13.8" x14ac:dyDescent="0.25">
      <c r="A35" s="223" t="s">
        <v>291</v>
      </c>
      <c r="B35" s="224" t="s">
        <v>140</v>
      </c>
      <c r="C35" s="224">
        <v>19</v>
      </c>
      <c r="D35" s="224" t="s">
        <v>292</v>
      </c>
      <c r="E35" s="225" t="str">
        <f t="shared" ca="1" si="8"/>
        <v>MR</v>
      </c>
      <c r="F35" s="348"/>
      <c r="G35" s="349">
        <f t="shared" ca="1" si="1"/>
        <v>46</v>
      </c>
      <c r="H35" s="350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34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240</v>
      </c>
      <c r="AR35" s="207" t="s">
        <v>139</v>
      </c>
      <c r="AS35" s="207">
        <v>20</v>
      </c>
      <c r="AT35" s="207" t="s">
        <v>241</v>
      </c>
      <c r="AV35" s="168">
        <f t="shared" si="21"/>
        <v>2</v>
      </c>
      <c r="AW35" s="168">
        <f>COUNTIF( AV$7:AV35, AV35 )</f>
        <v>6</v>
      </c>
      <c r="AX35" s="208">
        <f t="shared" si="22"/>
        <v>2.6</v>
      </c>
      <c r="AY35" s="168">
        <f t="shared" si="23"/>
        <v>7</v>
      </c>
      <c r="AZ35" s="169"/>
      <c r="BA35" s="169"/>
      <c r="BC35" s="168">
        <f t="shared" ca="1" si="24"/>
        <v>29</v>
      </c>
      <c r="BD35" s="209">
        <f t="shared" ca="1" si="6"/>
        <v>43</v>
      </c>
      <c r="BF35" s="173" t="str">
        <f t="shared" ca="1" si="7"/>
        <v>Sempra Energy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SRE</v>
      </c>
    </row>
    <row r="36" spans="1:61" ht="13.8" x14ac:dyDescent="0.25">
      <c r="A36" s="223" t="s">
        <v>369</v>
      </c>
      <c r="B36" s="224" t="s">
        <v>140</v>
      </c>
      <c r="C36" s="224">
        <v>19</v>
      </c>
      <c r="D36" s="224" t="s">
        <v>375</v>
      </c>
      <c r="E36" s="225" t="str">
        <f t="shared" ca="1" si="8"/>
        <v>R</v>
      </c>
      <c r="F36" s="348"/>
      <c r="G36" s="349">
        <f t="shared" ca="1" si="1"/>
        <v>48</v>
      </c>
      <c r="H36" s="350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35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273</v>
      </c>
      <c r="AR36" s="207" t="s">
        <v>140</v>
      </c>
      <c r="AS36" s="207">
        <v>19</v>
      </c>
      <c r="AT36" s="207" t="s">
        <v>274</v>
      </c>
      <c r="AV36" s="168">
        <f t="shared" si="21"/>
        <v>15</v>
      </c>
      <c r="AW36" s="168">
        <f>COUNTIF( AV$7:AV36, AV36 )</f>
        <v>10</v>
      </c>
      <c r="AX36" s="208">
        <f t="shared" si="22"/>
        <v>16</v>
      </c>
      <c r="AY36" s="168">
        <f t="shared" si="23"/>
        <v>24</v>
      </c>
      <c r="AZ36" s="169"/>
      <c r="BA36" s="169"/>
      <c r="BC36" s="168">
        <f t="shared" ca="1" si="24"/>
        <v>30</v>
      </c>
      <c r="BD36" s="209">
        <f t="shared" ca="1" si="6"/>
        <v>45</v>
      </c>
      <c r="BF36" s="173" t="str">
        <f t="shared" ca="1" si="7"/>
        <v>TECO Energy, Inc.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TE</v>
      </c>
    </row>
    <row r="37" spans="1:61" ht="13.8" x14ac:dyDescent="0.25">
      <c r="A37" s="223" t="s">
        <v>295</v>
      </c>
      <c r="B37" s="224" t="s">
        <v>140</v>
      </c>
      <c r="C37" s="224">
        <v>19</v>
      </c>
      <c r="D37" s="224" t="s">
        <v>296</v>
      </c>
      <c r="E37" s="225" t="str">
        <f t="shared" ca="1" si="8"/>
        <v>R</v>
      </c>
      <c r="F37" s="348"/>
      <c r="G37" s="349">
        <f t="shared" ca="1" si="1"/>
        <v>50</v>
      </c>
      <c r="H37" s="350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36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297</v>
      </c>
      <c r="AR37" s="207" t="s">
        <v>141</v>
      </c>
      <c r="AS37" s="207">
        <v>18</v>
      </c>
      <c r="AT37" s="207" t="s">
        <v>298</v>
      </c>
      <c r="AV37" s="168">
        <f t="shared" si="21"/>
        <v>33</v>
      </c>
      <c r="AW37" s="168">
        <f>COUNTIF( AV$7:AV37, AV37 )</f>
        <v>10</v>
      </c>
      <c r="AX37" s="208">
        <f t="shared" si="22"/>
        <v>34</v>
      </c>
      <c r="AY37" s="168">
        <f t="shared" si="23"/>
        <v>42</v>
      </c>
      <c r="AZ37" s="169"/>
      <c r="BA37" s="169"/>
      <c r="BC37" s="168">
        <f t="shared" ca="1" si="24"/>
        <v>31</v>
      </c>
      <c r="BD37" s="209">
        <f t="shared" ca="1" si="6"/>
        <v>46</v>
      </c>
      <c r="BF37" s="173" t="str">
        <f t="shared" ca="1" si="7"/>
        <v>Unitil Corporation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*UTL</v>
      </c>
    </row>
    <row r="38" spans="1:61" ht="13.8" x14ac:dyDescent="0.25">
      <c r="A38" s="223" t="s">
        <v>354</v>
      </c>
      <c r="B38" s="224" t="s">
        <v>140</v>
      </c>
      <c r="C38" s="224">
        <v>19</v>
      </c>
      <c r="D38" s="224" t="s">
        <v>355</v>
      </c>
      <c r="E38" s="225" t="str">
        <f t="shared" ca="1" si="8"/>
        <v>R</v>
      </c>
      <c r="F38" s="348"/>
      <c r="G38" s="349">
        <f t="shared" ca="1" si="1"/>
        <v>52</v>
      </c>
      <c r="H38" s="350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1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37</v>
      </c>
      <c r="AK38" s="169" t="str">
        <f t="shared" ca="1" si="20"/>
        <v>BBB+</v>
      </c>
      <c r="AL38" s="169">
        <f t="shared" ca="1" si="20"/>
        <v>19</v>
      </c>
      <c r="AM38" s="169" t="str">
        <f t="shared" ca="1" si="4"/>
        <v/>
      </c>
      <c r="AQ38" s="207" t="s">
        <v>277</v>
      </c>
      <c r="AR38" s="207" t="s">
        <v>139</v>
      </c>
      <c r="AS38" s="207">
        <v>20</v>
      </c>
      <c r="AT38" s="207" t="s">
        <v>278</v>
      </c>
      <c r="AV38" s="168">
        <f t="shared" si="21"/>
        <v>2</v>
      </c>
      <c r="AW38" s="168">
        <f>COUNTIF( AV$7:AV38, AV38 )</f>
        <v>7</v>
      </c>
      <c r="AX38" s="208">
        <f t="shared" si="22"/>
        <v>2.7</v>
      </c>
      <c r="AY38" s="168">
        <f t="shared" si="23"/>
        <v>8</v>
      </c>
      <c r="AZ38" s="169"/>
      <c r="BA38" s="169"/>
      <c r="BC38" s="168">
        <f t="shared" ca="1" si="24"/>
        <v>32</v>
      </c>
      <c r="BD38" s="209">
        <f t="shared" ca="1" si="6"/>
        <v>48</v>
      </c>
      <c r="BF38" s="173" t="str">
        <f t="shared" ca="1" si="7"/>
        <v>Westar Energy, Inc.</v>
      </c>
      <c r="BG38" s="173" t="str">
        <f t="shared" ca="1" si="7"/>
        <v>BBB+</v>
      </c>
      <c r="BH38" s="173">
        <f t="shared" ca="1" si="7"/>
        <v>19</v>
      </c>
      <c r="BI38" s="173" t="str">
        <f t="shared" ca="1" si="7"/>
        <v>WR</v>
      </c>
    </row>
    <row r="39" spans="1:61" ht="13.8" x14ac:dyDescent="0.25">
      <c r="A39" s="223" t="s">
        <v>222</v>
      </c>
      <c r="B39" s="224" t="s">
        <v>141</v>
      </c>
      <c r="C39" s="224">
        <v>18</v>
      </c>
      <c r="D39" s="224" t="s">
        <v>223</v>
      </c>
      <c r="E39" s="225" t="str">
        <f t="shared" ca="1" si="8"/>
        <v>R</v>
      </c>
      <c r="F39" s="348"/>
      <c r="G39" s="349">
        <f t="shared" ca="1" si="1"/>
        <v>10</v>
      </c>
      <c r="H39" s="350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38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299</v>
      </c>
      <c r="AR39" s="207" t="s">
        <v>141</v>
      </c>
      <c r="AS39" s="207">
        <v>18</v>
      </c>
      <c r="AT39" s="207" t="s">
        <v>300</v>
      </c>
      <c r="AV39" s="168">
        <f t="shared" si="21"/>
        <v>33</v>
      </c>
      <c r="AW39" s="168">
        <f>COUNTIF( AV$7:AV39, AV39 )</f>
        <v>11</v>
      </c>
      <c r="AX39" s="208">
        <f t="shared" si="22"/>
        <v>34.1</v>
      </c>
      <c r="AY39" s="168">
        <f t="shared" si="23"/>
        <v>43</v>
      </c>
      <c r="AZ39" s="169"/>
      <c r="BA39" s="169"/>
      <c r="BC39" s="168">
        <f t="shared" ca="1" si="24"/>
        <v>33</v>
      </c>
      <c r="BD39" s="209">
        <f t="shared" ca="1" si="6"/>
        <v>4</v>
      </c>
      <c r="BF39" s="173" t="str">
        <f t="shared" ref="BF39:BI63" ca="1" si="25">OFFSET( AQ$6, $BD39, 0 )</f>
        <v>American Electric Power Company, Inc.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AEP</v>
      </c>
    </row>
    <row r="40" spans="1:61" ht="13.8" x14ac:dyDescent="0.25">
      <c r="A40" s="223" t="s">
        <v>381</v>
      </c>
      <c r="B40" s="224" t="s">
        <v>141</v>
      </c>
      <c r="C40" s="224">
        <v>18</v>
      </c>
      <c r="D40" s="224" t="s">
        <v>234</v>
      </c>
      <c r="E40" s="225" t="str">
        <f t="shared" ca="1" si="8"/>
        <v>R</v>
      </c>
      <c r="F40" s="348"/>
      <c r="G40" s="349">
        <f t="shared" ca="1" si="1"/>
        <v>56</v>
      </c>
      <c r="H40" s="350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45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382</v>
      </c>
      <c r="AR40" s="207" t="s">
        <v>140</v>
      </c>
      <c r="AS40" s="207">
        <v>19</v>
      </c>
      <c r="AT40" s="207" t="s">
        <v>383</v>
      </c>
      <c r="AV40" s="168">
        <f t="shared" si="21"/>
        <v>15</v>
      </c>
      <c r="AW40" s="168">
        <f>COUNTIF( AV$7:AV40, AV40 )</f>
        <v>11</v>
      </c>
      <c r="AX40" s="208">
        <f t="shared" si="22"/>
        <v>16.100000000000001</v>
      </c>
      <c r="AY40" s="168">
        <f t="shared" si="23"/>
        <v>25</v>
      </c>
      <c r="AZ40" s="169"/>
      <c r="BA40" s="169"/>
      <c r="BC40" s="168">
        <f t="shared" ca="1" si="24"/>
        <v>34</v>
      </c>
      <c r="BD40" s="209">
        <f t="shared" ca="1" si="6"/>
        <v>5</v>
      </c>
      <c r="BF40" s="173" t="str">
        <f t="shared" ca="1" si="25"/>
        <v xml:space="preserve">AVANGRID, Inc. 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AGR</v>
      </c>
    </row>
    <row r="41" spans="1:61" ht="13.8" x14ac:dyDescent="0.25">
      <c r="A41" s="223" t="s">
        <v>238</v>
      </c>
      <c r="B41" s="224" t="s">
        <v>141</v>
      </c>
      <c r="C41" s="224">
        <v>18</v>
      </c>
      <c r="D41" s="224" t="s">
        <v>239</v>
      </c>
      <c r="E41" s="225" t="str">
        <f t="shared" ca="1" si="8"/>
        <v>R</v>
      </c>
      <c r="F41" s="348"/>
      <c r="G41" s="349">
        <f t="shared" ca="1" si="1"/>
        <v>11</v>
      </c>
      <c r="H41" s="350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39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301</v>
      </c>
      <c r="AR41" s="207" t="s">
        <v>141</v>
      </c>
      <c r="AS41" s="207">
        <v>18</v>
      </c>
      <c r="AT41" s="207" t="s">
        <v>302</v>
      </c>
      <c r="AV41" s="168">
        <f t="shared" si="21"/>
        <v>33</v>
      </c>
      <c r="AW41" s="168">
        <f>COUNTIF( AV$7:AV41, AV41 )</f>
        <v>12</v>
      </c>
      <c r="AX41" s="208">
        <f t="shared" si="22"/>
        <v>34.200000000000003</v>
      </c>
      <c r="AY41" s="168">
        <f t="shared" si="23"/>
        <v>44</v>
      </c>
      <c r="AZ41" s="169"/>
      <c r="BA41" s="169"/>
      <c r="BC41" s="168">
        <f t="shared" ca="1" si="24"/>
        <v>35</v>
      </c>
      <c r="BD41" s="209">
        <f t="shared" ca="1" si="6"/>
        <v>6</v>
      </c>
      <c r="BF41" s="173" t="str">
        <f t="shared" ca="1" si="25"/>
        <v>Avista Corporation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AVA</v>
      </c>
    </row>
    <row r="42" spans="1:61" ht="13.8" x14ac:dyDescent="0.25">
      <c r="A42" s="223" t="s">
        <v>245</v>
      </c>
      <c r="B42" s="224" t="s">
        <v>141</v>
      </c>
      <c r="C42" s="224">
        <v>18</v>
      </c>
      <c r="D42" s="224" t="s">
        <v>246</v>
      </c>
      <c r="E42" s="225" t="str">
        <f t="shared" ca="1" si="8"/>
        <v>R</v>
      </c>
      <c r="F42" s="348"/>
      <c r="G42" s="349">
        <f t="shared" ca="1" si="1"/>
        <v>12</v>
      </c>
      <c r="H42" s="350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40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281</v>
      </c>
      <c r="AR42" s="207" t="s">
        <v>139</v>
      </c>
      <c r="AS42" s="207">
        <v>20</v>
      </c>
      <c r="AT42" s="207" t="s">
        <v>282</v>
      </c>
      <c r="AV42" s="168">
        <f t="shared" si="21"/>
        <v>2</v>
      </c>
      <c r="AW42" s="168">
        <f>COUNTIF( AV$7:AV42, AV42 )</f>
        <v>8</v>
      </c>
      <c r="AX42" s="208">
        <f t="shared" si="22"/>
        <v>2.8</v>
      </c>
      <c r="AY42" s="168">
        <f t="shared" si="23"/>
        <v>9</v>
      </c>
      <c r="AZ42" s="169"/>
      <c r="BA42" s="169"/>
      <c r="BC42" s="168">
        <f t="shared" ca="1" si="24"/>
        <v>36</v>
      </c>
      <c r="BD42" s="209">
        <f t="shared" ca="1" si="6"/>
        <v>8</v>
      </c>
      <c r="BF42" s="173" t="str">
        <f t="shared" ca="1" si="25"/>
        <v>Black Hills Corporation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BKH</v>
      </c>
    </row>
    <row r="43" spans="1:61" ht="13.8" x14ac:dyDescent="0.25">
      <c r="A43" s="223" t="s">
        <v>328</v>
      </c>
      <c r="B43" s="224" t="s">
        <v>141</v>
      </c>
      <c r="C43" s="224">
        <v>18</v>
      </c>
      <c r="D43" s="224" t="s">
        <v>331</v>
      </c>
      <c r="E43" s="225" t="str">
        <f t="shared" ca="1" si="8"/>
        <v>R</v>
      </c>
      <c r="F43" s="348"/>
      <c r="G43" s="349">
        <f t="shared" ca="1" si="1"/>
        <v>21</v>
      </c>
      <c r="H43" s="350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41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303</v>
      </c>
      <c r="AR43" s="207" t="s">
        <v>140</v>
      </c>
      <c r="AS43" s="207">
        <v>19</v>
      </c>
      <c r="AT43" s="207" t="s">
        <v>304</v>
      </c>
      <c r="AV43" s="168">
        <f t="shared" si="21"/>
        <v>15</v>
      </c>
      <c r="AW43" s="168">
        <f>COUNTIF( AV$7:AV43, AV43 )</f>
        <v>12</v>
      </c>
      <c r="AX43" s="208">
        <f t="shared" si="22"/>
        <v>16.2</v>
      </c>
      <c r="AY43" s="168">
        <f t="shared" si="23"/>
        <v>26</v>
      </c>
      <c r="AZ43" s="169"/>
      <c r="BA43" s="169"/>
      <c r="BC43" s="168">
        <f t="shared" ca="1" si="24"/>
        <v>37</v>
      </c>
      <c r="BD43" s="209">
        <f t="shared" ca="1" si="6"/>
        <v>18</v>
      </c>
      <c r="BF43" s="173" t="str">
        <f t="shared" ca="1" si="25"/>
        <v>El Paso Electric Company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EE</v>
      </c>
    </row>
    <row r="44" spans="1:61" ht="13.8" x14ac:dyDescent="0.25">
      <c r="A44" s="223" t="s">
        <v>367</v>
      </c>
      <c r="B44" s="224" t="s">
        <v>141</v>
      </c>
      <c r="C44" s="224">
        <v>18</v>
      </c>
      <c r="D44" s="224" t="s">
        <v>368</v>
      </c>
      <c r="E44" s="225" t="str">
        <f t="shared" ca="1" si="8"/>
        <v>R</v>
      </c>
      <c r="F44" s="348"/>
      <c r="G44" s="349">
        <f t="shared" ca="1" si="1"/>
        <v>22</v>
      </c>
      <c r="H44" s="350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42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285</v>
      </c>
      <c r="AR44" s="207" t="s">
        <v>141</v>
      </c>
      <c r="AS44" s="207">
        <v>18</v>
      </c>
      <c r="AT44" s="207" t="s">
        <v>286</v>
      </c>
      <c r="AV44" s="168">
        <f t="shared" si="21"/>
        <v>33</v>
      </c>
      <c r="AW44" s="168">
        <f>COUNTIF( AV$7:AV44, AV44 )</f>
        <v>13</v>
      </c>
      <c r="AX44" s="208">
        <f t="shared" si="22"/>
        <v>34.299999999999997</v>
      </c>
      <c r="AY44" s="168">
        <f t="shared" si="23"/>
        <v>45</v>
      </c>
      <c r="AZ44" s="169"/>
      <c r="BA44" s="169"/>
      <c r="BC44" s="168">
        <f t="shared" ca="1" si="24"/>
        <v>38</v>
      </c>
      <c r="BD44" s="209">
        <f t="shared" ca="1" si="6"/>
        <v>19</v>
      </c>
      <c r="BF44" s="173" t="str">
        <f t="shared" ca="1" si="25"/>
        <v>Empire District Electric Company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EDE</v>
      </c>
    </row>
    <row r="45" spans="1:61" ht="13.8" x14ac:dyDescent="0.25">
      <c r="A45" s="223" t="s">
        <v>267</v>
      </c>
      <c r="B45" s="224" t="s">
        <v>141</v>
      </c>
      <c r="C45" s="224">
        <v>18</v>
      </c>
      <c r="D45" s="224" t="s">
        <v>268</v>
      </c>
      <c r="E45" s="225" t="str">
        <f t="shared" ca="1" si="8"/>
        <v>R</v>
      </c>
      <c r="F45" s="348"/>
      <c r="G45" s="349">
        <f t="shared" ca="1" si="1"/>
        <v>23</v>
      </c>
      <c r="H45" s="350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43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243</v>
      </c>
      <c r="AR45" s="207" t="s">
        <v>139</v>
      </c>
      <c r="AS45" s="207">
        <v>20</v>
      </c>
      <c r="AT45" s="207" t="s">
        <v>244</v>
      </c>
      <c r="AV45" s="168">
        <f t="shared" si="21"/>
        <v>2</v>
      </c>
      <c r="AW45" s="168">
        <f>COUNTIF( AV$7:AV45, AV45 )</f>
        <v>9</v>
      </c>
      <c r="AX45" s="208">
        <f t="shared" si="22"/>
        <v>2.9</v>
      </c>
      <c r="AY45" s="168">
        <f t="shared" si="23"/>
        <v>10</v>
      </c>
      <c r="AZ45" s="169"/>
      <c r="BA45" s="169"/>
      <c r="BC45" s="168">
        <f t="shared" ca="1" si="24"/>
        <v>39</v>
      </c>
      <c r="BD45" s="209">
        <f t="shared" ca="1" si="6"/>
        <v>20</v>
      </c>
      <c r="BF45" s="173" t="str">
        <f t="shared" ca="1" si="25"/>
        <v>Entergy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ETR</v>
      </c>
    </row>
    <row r="46" spans="1:61" ht="13.8" x14ac:dyDescent="0.25">
      <c r="A46" s="223" t="s">
        <v>269</v>
      </c>
      <c r="B46" s="224" t="s">
        <v>141</v>
      </c>
      <c r="C46" s="224">
        <v>18</v>
      </c>
      <c r="D46" s="224" t="s">
        <v>270</v>
      </c>
      <c r="E46" s="225" t="str">
        <f t="shared" ca="1" si="8"/>
        <v>MR</v>
      </c>
      <c r="F46" s="348"/>
      <c r="G46" s="349">
        <f t="shared" ca="1" si="1"/>
        <v>24</v>
      </c>
      <c r="H46" s="350"/>
      <c r="I46" s="191"/>
      <c r="K46" s="191"/>
      <c r="N46" s="351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44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289</v>
      </c>
      <c r="AR46" s="207" t="s">
        <v>140</v>
      </c>
      <c r="AS46" s="207">
        <v>19</v>
      </c>
      <c r="AT46" s="207" t="s">
        <v>290</v>
      </c>
      <c r="AV46" s="168">
        <f t="shared" si="21"/>
        <v>15</v>
      </c>
      <c r="AW46" s="168">
        <f>COUNTIF( AV$7:AV46, AV46 )</f>
        <v>13</v>
      </c>
      <c r="AX46" s="208">
        <f t="shared" si="22"/>
        <v>16.3</v>
      </c>
      <c r="AY46" s="168">
        <f t="shared" si="23"/>
        <v>27</v>
      </c>
      <c r="AZ46" s="169"/>
      <c r="BA46" s="169"/>
      <c r="BC46" s="168">
        <f t="shared" ca="1" si="24"/>
        <v>40</v>
      </c>
      <c r="BD46" s="209">
        <f t="shared" ca="1" si="6"/>
        <v>22</v>
      </c>
      <c r="BF46" s="173" t="str">
        <f t="shared" ca="1" si="25"/>
        <v>Exelon Corporation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EXC</v>
      </c>
    </row>
    <row r="47" spans="1:61" ht="13.8" x14ac:dyDescent="0.25">
      <c r="A47" s="223" t="s">
        <v>283</v>
      </c>
      <c r="B47" s="224" t="s">
        <v>141</v>
      </c>
      <c r="C47" s="224">
        <v>18</v>
      </c>
      <c r="D47" s="224" t="s">
        <v>284</v>
      </c>
      <c r="E47" s="225" t="str">
        <f t="shared" ca="1" si="8"/>
        <v>R</v>
      </c>
      <c r="F47" s="348"/>
      <c r="G47" s="349">
        <f t="shared" ca="1" si="1"/>
        <v>28</v>
      </c>
      <c r="H47" s="350"/>
      <c r="I47" s="350"/>
      <c r="J47" s="187" t="s">
        <v>373</v>
      </c>
      <c r="K47" s="191"/>
      <c r="M47" s="351"/>
      <c r="N47" s="351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46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305</v>
      </c>
      <c r="AR47" s="207" t="s">
        <v>142</v>
      </c>
      <c r="AS47" s="207">
        <v>17</v>
      </c>
      <c r="AT47" s="207" t="s">
        <v>306</v>
      </c>
      <c r="AV47" s="168">
        <f t="shared" si="21"/>
        <v>46</v>
      </c>
      <c r="AW47" s="168">
        <f>COUNTIF( AV$7:AV47, AV47 )</f>
        <v>3</v>
      </c>
      <c r="AX47" s="208">
        <f t="shared" si="22"/>
        <v>46.3</v>
      </c>
      <c r="AY47" s="168">
        <f t="shared" si="23"/>
        <v>48</v>
      </c>
      <c r="AZ47" s="169"/>
      <c r="BA47" s="169"/>
      <c r="BC47" s="168">
        <f t="shared" ca="1" si="24"/>
        <v>41</v>
      </c>
      <c r="BD47" s="209">
        <f t="shared" ca="1" si="6"/>
        <v>26</v>
      </c>
      <c r="BF47" s="173" t="str">
        <f t="shared" ca="1" si="25"/>
        <v>IDACORP, Inc.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IDA</v>
      </c>
    </row>
    <row r="48" spans="1:61" ht="13.8" x14ac:dyDescent="0.25">
      <c r="A48" s="223" t="s">
        <v>297</v>
      </c>
      <c r="B48" s="224" t="s">
        <v>141</v>
      </c>
      <c r="C48" s="224">
        <v>18</v>
      </c>
      <c r="D48" s="224" t="s">
        <v>298</v>
      </c>
      <c r="E48" s="225" t="str">
        <f t="shared" ca="1" si="8"/>
        <v>R</v>
      </c>
      <c r="F48" s="348"/>
      <c r="G48" s="349">
        <f t="shared" ca="1" si="1"/>
        <v>35</v>
      </c>
      <c r="H48" s="350"/>
      <c r="I48" s="350"/>
      <c r="K48" s="191"/>
      <c r="M48" s="351"/>
      <c r="N48" s="351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47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347</v>
      </c>
      <c r="AR48" s="207" t="s">
        <v>140</v>
      </c>
      <c r="AS48" s="207">
        <v>19</v>
      </c>
      <c r="AT48" s="207" t="s">
        <v>348</v>
      </c>
      <c r="AV48" s="168">
        <f t="shared" si="21"/>
        <v>15</v>
      </c>
      <c r="AW48" s="168">
        <f>COUNTIF( AV$7:AV48, AV48 )</f>
        <v>14</v>
      </c>
      <c r="AX48" s="208">
        <f t="shared" si="22"/>
        <v>16.399999999999999</v>
      </c>
      <c r="AY48" s="168">
        <f t="shared" si="23"/>
        <v>28</v>
      </c>
      <c r="AZ48" s="169"/>
      <c r="BA48" s="169"/>
      <c r="BC48" s="168">
        <f t="shared" ca="1" si="24"/>
        <v>42</v>
      </c>
      <c r="BD48" s="209">
        <f t="shared" ca="1" si="6"/>
        <v>31</v>
      </c>
      <c r="BF48" s="173" t="str">
        <f t="shared" ca="1" si="25"/>
        <v>NorthWestern Corporation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NWE</v>
      </c>
    </row>
    <row r="49" spans="1:61" ht="13.8" x14ac:dyDescent="0.25">
      <c r="A49" s="223" t="s">
        <v>299</v>
      </c>
      <c r="B49" s="224" t="s">
        <v>141</v>
      </c>
      <c r="C49" s="224">
        <v>18</v>
      </c>
      <c r="D49" s="224" t="s">
        <v>300</v>
      </c>
      <c r="E49" s="225" t="str">
        <f t="shared" ca="1" si="8"/>
        <v>R</v>
      </c>
      <c r="F49" s="348"/>
      <c r="G49" s="349">
        <f t="shared" ca="1" si="1"/>
        <v>37</v>
      </c>
      <c r="H49" s="350"/>
      <c r="I49" s="350"/>
      <c r="J49" s="191"/>
      <c r="K49" s="191"/>
      <c r="M49" s="351"/>
      <c r="N49" s="351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48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4"/>
        <v/>
      </c>
      <c r="AQ49" s="207" t="s">
        <v>291</v>
      </c>
      <c r="AR49" s="207" t="s">
        <v>140</v>
      </c>
      <c r="AS49" s="207">
        <v>19</v>
      </c>
      <c r="AT49" s="207" t="s">
        <v>292</v>
      </c>
      <c r="AV49" s="168">
        <f t="shared" si="21"/>
        <v>15</v>
      </c>
      <c r="AW49" s="168">
        <f>COUNTIF( AV$7:AV49, AV49 )</f>
        <v>15</v>
      </c>
      <c r="AX49" s="208">
        <f t="shared" si="22"/>
        <v>16.5</v>
      </c>
      <c r="AY49" s="168">
        <f t="shared" si="23"/>
        <v>29</v>
      </c>
      <c r="AZ49" s="169"/>
      <c r="BA49" s="169"/>
      <c r="BC49" s="168">
        <f t="shared" ca="1" si="24"/>
        <v>43</v>
      </c>
      <c r="BD49" s="209">
        <f t="shared" ca="1" si="6"/>
        <v>33</v>
      </c>
      <c r="BF49" s="173" t="str">
        <f t="shared" ca="1" si="25"/>
        <v>Otter Tail Corporation</v>
      </c>
      <c r="BG49" s="173" t="str">
        <f t="shared" ca="1" si="25"/>
        <v>BBB</v>
      </c>
      <c r="BH49" s="173">
        <f t="shared" ca="1" si="25"/>
        <v>18</v>
      </c>
      <c r="BI49" s="173" t="str">
        <f t="shared" ca="1" si="25"/>
        <v>OTTR</v>
      </c>
    </row>
    <row r="50" spans="1:61" ht="13.8" x14ac:dyDescent="0.25">
      <c r="A50" s="223" t="s">
        <v>301</v>
      </c>
      <c r="B50" s="224" t="s">
        <v>141</v>
      </c>
      <c r="C50" s="224">
        <v>18</v>
      </c>
      <c r="D50" s="224" t="s">
        <v>302</v>
      </c>
      <c r="E50" s="225" t="str">
        <f t="shared" ca="1" si="8"/>
        <v>R</v>
      </c>
      <c r="F50" s="348"/>
      <c r="G50" s="349">
        <f t="shared" ca="1" si="1"/>
        <v>39</v>
      </c>
      <c r="H50" s="350"/>
      <c r="I50" s="350"/>
      <c r="J50" s="191"/>
      <c r="K50" s="191"/>
      <c r="M50" s="351"/>
      <c r="N50" s="351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49</v>
      </c>
      <c r="AK50" s="169" t="str">
        <f t="shared" ca="1" si="20"/>
        <v>BBB</v>
      </c>
      <c r="AL50" s="169">
        <f t="shared" ca="1" si="20"/>
        <v>18</v>
      </c>
      <c r="AM50" s="169" t="str">
        <f t="shared" ca="1" si="4"/>
        <v/>
      </c>
      <c r="AQ50" s="207" t="s">
        <v>293</v>
      </c>
      <c r="AR50" s="207" t="s">
        <v>139</v>
      </c>
      <c r="AS50" s="207">
        <v>20</v>
      </c>
      <c r="AT50" s="207" t="s">
        <v>294</v>
      </c>
      <c r="AV50" s="168">
        <f t="shared" si="21"/>
        <v>2</v>
      </c>
      <c r="AW50" s="168">
        <f>COUNTIF( AV$7:AV50, AV50 )</f>
        <v>10</v>
      </c>
      <c r="AX50" s="208">
        <f t="shared" si="22"/>
        <v>3</v>
      </c>
      <c r="AY50" s="168">
        <f t="shared" si="23"/>
        <v>11</v>
      </c>
      <c r="AZ50" s="169"/>
      <c r="BA50" s="169"/>
      <c r="BC50" s="168">
        <f t="shared" ca="1" si="24"/>
        <v>44</v>
      </c>
      <c r="BD50" s="209">
        <f t="shared" ca="1" si="6"/>
        <v>35</v>
      </c>
      <c r="BF50" s="173" t="str">
        <f t="shared" ca="1" si="25"/>
        <v>PG&amp;E Corporation</v>
      </c>
      <c r="BG50" s="173" t="str">
        <f t="shared" ca="1" si="25"/>
        <v>BBB</v>
      </c>
      <c r="BH50" s="173">
        <f t="shared" ca="1" si="25"/>
        <v>18</v>
      </c>
      <c r="BI50" s="173" t="str">
        <f t="shared" ca="1" si="25"/>
        <v>PCG</v>
      </c>
    </row>
    <row r="51" spans="1:61" ht="13.8" x14ac:dyDescent="0.25">
      <c r="A51" s="223" t="s">
        <v>285</v>
      </c>
      <c r="B51" s="224" t="s">
        <v>141</v>
      </c>
      <c r="C51" s="224">
        <v>18</v>
      </c>
      <c r="D51" s="224" t="s">
        <v>286</v>
      </c>
      <c r="E51" s="225" t="str">
        <f t="shared" ca="1" si="8"/>
        <v>R</v>
      </c>
      <c r="F51" s="348"/>
      <c r="G51" s="349">
        <f t="shared" ca="1" si="1"/>
        <v>42</v>
      </c>
      <c r="H51" s="350"/>
      <c r="I51" s="350"/>
      <c r="J51" s="191"/>
      <c r="K51" s="191"/>
      <c r="M51" s="351"/>
      <c r="N51" s="351"/>
      <c r="AF51" s="169">
        <f t="shared" si="2"/>
        <v>0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51</v>
      </c>
      <c r="AK51" s="169" t="str">
        <f t="shared" ca="1" si="20"/>
        <v>BBB</v>
      </c>
      <c r="AL51" s="169">
        <f t="shared" ca="1" si="20"/>
        <v>18</v>
      </c>
      <c r="AM51" s="169" t="str">
        <f t="shared" ca="1" si="4"/>
        <v/>
      </c>
      <c r="AQ51" s="207" t="s">
        <v>369</v>
      </c>
      <c r="AR51" s="207" t="s">
        <v>140</v>
      </c>
      <c r="AS51" s="207">
        <v>19</v>
      </c>
      <c r="AT51" s="207" t="s">
        <v>375</v>
      </c>
      <c r="AV51" s="168">
        <f t="shared" si="21"/>
        <v>15</v>
      </c>
      <c r="AW51" s="168">
        <f>COUNTIF( AV$7:AV51, AV51 )</f>
        <v>16</v>
      </c>
      <c r="AX51" s="208">
        <f t="shared" si="22"/>
        <v>16.600000000000001</v>
      </c>
      <c r="AY51" s="168">
        <f t="shared" si="23"/>
        <v>30</v>
      </c>
      <c r="AZ51" s="169"/>
      <c r="BA51" s="169"/>
      <c r="BC51" s="168">
        <f t="shared" ca="1" si="24"/>
        <v>45</v>
      </c>
      <c r="BD51" s="209">
        <f t="shared" ca="1" si="6"/>
        <v>38</v>
      </c>
      <c r="BF51" s="173" t="str">
        <f t="shared" ca="1" si="25"/>
        <v>Portland General Electric Company</v>
      </c>
      <c r="BG51" s="173" t="str">
        <f t="shared" ca="1" si="25"/>
        <v>BBB</v>
      </c>
      <c r="BH51" s="173">
        <f t="shared" ca="1" si="25"/>
        <v>18</v>
      </c>
      <c r="BI51" s="173" t="str">
        <f t="shared" ca="1" si="25"/>
        <v>POR</v>
      </c>
    </row>
    <row r="52" spans="1:61" ht="13.8" x14ac:dyDescent="0.25">
      <c r="A52" s="223" t="s">
        <v>275</v>
      </c>
      <c r="B52" s="224" t="s">
        <v>142</v>
      </c>
      <c r="C52" s="224">
        <v>17</v>
      </c>
      <c r="D52" s="224" t="s">
        <v>276</v>
      </c>
      <c r="E52" s="225" t="str">
        <f t="shared" ca="1" si="8"/>
        <v>MR</v>
      </c>
      <c r="F52" s="348"/>
      <c r="G52" s="349">
        <f t="shared" ca="1" si="1"/>
        <v>25</v>
      </c>
      <c r="H52" s="350"/>
      <c r="I52" s="350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53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295</v>
      </c>
      <c r="AR52" s="207" t="s">
        <v>140</v>
      </c>
      <c r="AS52" s="207">
        <v>19</v>
      </c>
      <c r="AT52" s="207" t="s">
        <v>376</v>
      </c>
      <c r="AV52" s="168">
        <f t="shared" si="21"/>
        <v>15</v>
      </c>
      <c r="AW52" s="168">
        <f>COUNTIF( AV$7:AV52, AV52 )</f>
        <v>17</v>
      </c>
      <c r="AX52" s="208">
        <f t="shared" si="22"/>
        <v>16.7</v>
      </c>
      <c r="AY52" s="168">
        <f t="shared" si="23"/>
        <v>31</v>
      </c>
      <c r="AZ52" s="169"/>
      <c r="BA52" s="169"/>
      <c r="BC52" s="168">
        <f t="shared" ca="1" si="24"/>
        <v>46</v>
      </c>
      <c r="BD52" s="209">
        <f t="shared" ca="1" si="6"/>
        <v>23</v>
      </c>
      <c r="BF52" s="173" t="str">
        <f t="shared" ca="1" si="25"/>
        <v>FirstEnergy Corp.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FE</v>
      </c>
    </row>
    <row r="53" spans="1:61" ht="13.8" x14ac:dyDescent="0.25">
      <c r="A53" s="223" t="s">
        <v>279</v>
      </c>
      <c r="B53" s="224" t="s">
        <v>142</v>
      </c>
      <c r="C53" s="224">
        <v>17</v>
      </c>
      <c r="D53" s="224" t="s">
        <v>280</v>
      </c>
      <c r="E53" s="225" t="str">
        <f t="shared" ca="1" si="8"/>
        <v>D</v>
      </c>
      <c r="F53" s="348"/>
      <c r="G53" s="349">
        <f t="shared" ca="1" si="1"/>
        <v>27</v>
      </c>
      <c r="H53" s="350"/>
      <c r="I53" s="350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54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345</v>
      </c>
      <c r="AR53" s="207" t="s">
        <v>139</v>
      </c>
      <c r="AS53" s="207">
        <v>20</v>
      </c>
      <c r="AT53" s="207" t="s">
        <v>346</v>
      </c>
      <c r="AV53" s="168">
        <f t="shared" si="21"/>
        <v>2</v>
      </c>
      <c r="AW53" s="168">
        <f>COUNTIF( AV$7:AV53, AV53 )</f>
        <v>11</v>
      </c>
      <c r="AX53" s="208">
        <f t="shared" si="22"/>
        <v>3.1</v>
      </c>
      <c r="AY53" s="168">
        <f t="shared" si="23"/>
        <v>12</v>
      </c>
      <c r="AZ53" s="169"/>
      <c r="BA53" s="169"/>
      <c r="BC53" s="168">
        <f t="shared" ca="1" si="24"/>
        <v>47</v>
      </c>
      <c r="BD53" s="209">
        <f t="shared" ca="1" si="6"/>
        <v>25</v>
      </c>
      <c r="BF53" s="173" t="str">
        <f t="shared" ca="1" si="25"/>
        <v>Hawaiian Electric Industries,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HE</v>
      </c>
    </row>
    <row r="54" spans="1:61" ht="13.8" x14ac:dyDescent="0.25">
      <c r="A54" s="223" t="s">
        <v>305</v>
      </c>
      <c r="B54" s="224" t="s">
        <v>142</v>
      </c>
      <c r="C54" s="224">
        <v>17</v>
      </c>
      <c r="D54" s="224" t="s">
        <v>306</v>
      </c>
      <c r="E54" s="225" t="str">
        <f t="shared" ca="1" si="8"/>
        <v>R</v>
      </c>
      <c r="F54" s="348"/>
      <c r="G54" s="349">
        <f t="shared" ca="1" si="1"/>
        <v>61</v>
      </c>
      <c r="H54" s="350"/>
      <c r="I54" s="350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8"/>
        <v/>
      </c>
      <c r="AJ54" s="169">
        <f t="shared" ca="1" si="19"/>
        <v>55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4"/>
        <v/>
      </c>
      <c r="AQ54" s="207" t="s">
        <v>354</v>
      </c>
      <c r="AR54" s="207" t="s">
        <v>140</v>
      </c>
      <c r="AS54" s="207">
        <v>19</v>
      </c>
      <c r="AT54" s="207" t="s">
        <v>355</v>
      </c>
      <c r="AV54" s="168">
        <f t="shared" si="21"/>
        <v>15</v>
      </c>
      <c r="AW54" s="168">
        <f>COUNTIF( AV$7:AV54, AV54 )</f>
        <v>18</v>
      </c>
      <c r="AX54" s="208">
        <f t="shared" si="22"/>
        <v>16.8</v>
      </c>
      <c r="AY54" s="168">
        <f t="shared" si="23"/>
        <v>32</v>
      </c>
      <c r="AZ54" s="169"/>
      <c r="BA54" s="169"/>
      <c r="BC54" s="168">
        <f t="shared" ca="1" si="24"/>
        <v>48</v>
      </c>
      <c r="BD54" s="209">
        <f t="shared" ca="1" si="6"/>
        <v>41</v>
      </c>
      <c r="BF54" s="173" t="str">
        <f t="shared" ca="1" si="25"/>
        <v>Puget Energy, Inc.</v>
      </c>
      <c r="BG54" s="173" t="str">
        <f t="shared" ca="1" si="25"/>
        <v>BBB-</v>
      </c>
      <c r="BH54" s="173">
        <f t="shared" ca="1" si="25"/>
        <v>17</v>
      </c>
      <c r="BI54" s="173" t="str">
        <f t="shared" ca="1" si="25"/>
        <v>**PSD</v>
      </c>
    </row>
    <row r="55" spans="1:61" ht="13.8" x14ac:dyDescent="0.25">
      <c r="A55" s="223" t="s">
        <v>287</v>
      </c>
      <c r="B55" s="224" t="s">
        <v>173</v>
      </c>
      <c r="C55" s="224">
        <v>16</v>
      </c>
      <c r="D55" s="224" t="s">
        <v>288</v>
      </c>
      <c r="E55" s="225" t="str">
        <f t="shared" ca="1" si="8"/>
        <v>R</v>
      </c>
      <c r="F55" s="348"/>
      <c r="G55" s="349">
        <f t="shared" ca="1" si="1"/>
        <v>59</v>
      </c>
      <c r="H55" s="350"/>
      <c r="I55" s="350"/>
      <c r="J55" s="191"/>
      <c r="K55" s="191"/>
      <c r="AF55" s="169">
        <f t="shared" si="2"/>
        <v>0</v>
      </c>
      <c r="AG55" s="169" t="str">
        <f t="shared" ca="1" si="3"/>
        <v/>
      </c>
      <c r="AH55" s="169" t="str">
        <f t="shared" ca="1" si="18"/>
        <v/>
      </c>
      <c r="AJ55" s="169">
        <f t="shared" ca="1" si="19"/>
        <v>56</v>
      </c>
      <c r="AK55" s="169" t="str">
        <f t="shared" ca="1" si="20"/>
        <v>BB+</v>
      </c>
      <c r="AL55" s="169">
        <f t="shared" ca="1" si="20"/>
        <v>16</v>
      </c>
      <c r="AM55" s="169" t="str">
        <f t="shared" ca="1" si="4"/>
        <v/>
      </c>
      <c r="AQ55" s="207" t="s">
        <v>247</v>
      </c>
      <c r="AR55" s="207" t="s">
        <v>139</v>
      </c>
      <c r="AS55" s="207">
        <v>20</v>
      </c>
      <c r="AT55" s="207" t="s">
        <v>248</v>
      </c>
      <c r="AV55" s="168">
        <f t="shared" si="21"/>
        <v>2</v>
      </c>
      <c r="AW55" s="168">
        <f>COUNTIF( AV$7:AV55, AV55 )</f>
        <v>12</v>
      </c>
      <c r="AX55" s="208">
        <f t="shared" si="22"/>
        <v>3.2</v>
      </c>
      <c r="AY55" s="168">
        <f t="shared" si="23"/>
        <v>13</v>
      </c>
      <c r="AZ55" s="169"/>
      <c r="BA55" s="169"/>
      <c r="BC55" s="168">
        <f t="shared" ca="1" si="24"/>
        <v>49</v>
      </c>
      <c r="BD55" s="209">
        <f t="shared" ca="1" si="6"/>
        <v>27</v>
      </c>
      <c r="BF55" s="173" t="str">
        <f t="shared" ca="1" si="25"/>
        <v>IPALCO Enterprises, Inc.</v>
      </c>
      <c r="BG55" s="173" t="str">
        <f t="shared" ca="1" si="25"/>
        <v>BB+</v>
      </c>
      <c r="BH55" s="173">
        <f t="shared" ca="1" si="25"/>
        <v>16</v>
      </c>
      <c r="BI55" s="173" t="str">
        <f t="shared" ca="1" si="25"/>
        <v>**IPALCO</v>
      </c>
    </row>
    <row r="56" spans="1:61" ht="13.8" x14ac:dyDescent="0.25">
      <c r="A56" s="223" t="s">
        <v>259</v>
      </c>
      <c r="B56" s="224" t="s">
        <v>175</v>
      </c>
      <c r="C56" s="224">
        <v>15</v>
      </c>
      <c r="D56" s="224" t="s">
        <v>260</v>
      </c>
      <c r="E56" s="225" t="str">
        <f t="shared" ca="1" si="8"/>
        <v>R</v>
      </c>
      <c r="F56" s="348"/>
      <c r="G56" s="349">
        <f t="shared" ca="1" si="1"/>
        <v>57</v>
      </c>
      <c r="H56" s="350"/>
      <c r="I56" s="350"/>
      <c r="J56" s="191"/>
      <c r="K56" s="191"/>
      <c r="AF56" s="169">
        <f t="shared" si="2"/>
        <v>1</v>
      </c>
      <c r="AG56" s="169" t="str">
        <f t="shared" ca="1" si="3"/>
        <v/>
      </c>
      <c r="AH56" s="169" t="str">
        <f t="shared" ca="1" si="18"/>
        <v/>
      </c>
      <c r="AJ56" s="169">
        <f t="shared" ca="1" si="19"/>
        <v>57</v>
      </c>
      <c r="AK56" s="169" t="str">
        <f t="shared" ca="1" si="20"/>
        <v>BB</v>
      </c>
      <c r="AL56" s="169">
        <f t="shared" ca="1" si="20"/>
        <v>15</v>
      </c>
      <c r="AM56" s="169" t="str">
        <f t="shared" ca="1" si="4"/>
        <v/>
      </c>
      <c r="AQ56" s="207" t="s">
        <v>251</v>
      </c>
      <c r="AR56" s="207" t="s">
        <v>139</v>
      </c>
      <c r="AS56" s="207">
        <v>20</v>
      </c>
      <c r="AT56" s="207" t="s">
        <v>252</v>
      </c>
      <c r="AV56" s="168">
        <f t="shared" si="21"/>
        <v>2</v>
      </c>
      <c r="AW56" s="168">
        <f>COUNTIF( AV$7:AV56, AV56 )</f>
        <v>13</v>
      </c>
      <c r="AX56" s="208">
        <f t="shared" si="22"/>
        <v>3.3</v>
      </c>
      <c r="AY56" s="168">
        <f t="shared" si="23"/>
        <v>14</v>
      </c>
      <c r="AZ56" s="169"/>
      <c r="BA56" s="169"/>
      <c r="BC56" s="168">
        <f t="shared" ca="1" si="24"/>
        <v>50</v>
      </c>
      <c r="BD56" s="209">
        <f t="shared" ca="1" si="6"/>
        <v>14</v>
      </c>
      <c r="BF56" s="173" t="str">
        <f t="shared" ca="1" si="25"/>
        <v>DPL Inc.</v>
      </c>
      <c r="BG56" s="173" t="str">
        <f t="shared" ca="1" si="25"/>
        <v>BB</v>
      </c>
      <c r="BH56" s="173">
        <f t="shared" ca="1" si="25"/>
        <v>15</v>
      </c>
      <c r="BI56" s="173" t="str">
        <f t="shared" ca="1" si="25"/>
        <v>**DPL</v>
      </c>
    </row>
    <row r="57" spans="1:61" ht="13.8" x14ac:dyDescent="0.25">
      <c r="A57" s="223"/>
      <c r="B57" s="224"/>
      <c r="C57" s="224"/>
      <c r="D57" s="224"/>
      <c r="E57" s="225"/>
      <c r="F57" s="348"/>
      <c r="G57" s="349" t="str">
        <f t="shared" ca="1" si="1"/>
        <v/>
      </c>
      <c r="H57" s="350"/>
      <c r="I57" s="350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1</v>
      </c>
      <c r="AX57" s="208">
        <f t="shared" si="22"/>
        <v>99.1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8" x14ac:dyDescent="0.25">
      <c r="A58" s="223"/>
      <c r="B58" s="224"/>
      <c r="C58" s="224"/>
      <c r="D58" s="224"/>
      <c r="E58" s="225"/>
      <c r="F58" s="348"/>
      <c r="G58" s="349" t="str">
        <f t="shared" ca="1" si="1"/>
        <v/>
      </c>
      <c r="H58" s="350"/>
      <c r="I58" s="350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2</v>
      </c>
      <c r="AX58" s="208">
        <f t="shared" si="22"/>
        <v>99.2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8" x14ac:dyDescent="0.25">
      <c r="A59" s="223"/>
      <c r="B59" s="224"/>
      <c r="C59" s="224"/>
      <c r="D59" s="224"/>
      <c r="E59" s="225" t="str">
        <f t="shared" ca="1" si="8"/>
        <v/>
      </c>
      <c r="F59" s="348"/>
      <c r="G59" s="349" t="str">
        <f t="shared" ca="1" si="1"/>
        <v/>
      </c>
      <c r="H59" s="350"/>
      <c r="I59" s="350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3</v>
      </c>
      <c r="AX59" s="208">
        <f t="shared" si="22"/>
        <v>99.3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" thickBot="1" x14ac:dyDescent="0.3">
      <c r="A60" s="192"/>
      <c r="B60" s="193"/>
      <c r="C60" s="193"/>
      <c r="D60" s="193"/>
      <c r="E60" s="194" t="str">
        <f t="shared" ca="1" si="8"/>
        <v/>
      </c>
      <c r="F60" s="350"/>
      <c r="G60" s="353" t="str">
        <f t="shared" ca="1" si="1"/>
        <v/>
      </c>
      <c r="H60" s="350"/>
      <c r="I60" s="350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4</v>
      </c>
      <c r="AX60" s="208">
        <f t="shared" si="22"/>
        <v>99.4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8" x14ac:dyDescent="0.25">
      <c r="A61" s="226" t="s">
        <v>384</v>
      </c>
      <c r="B61" s="227" t="s">
        <v>162</v>
      </c>
      <c r="C61" s="227">
        <v>23</v>
      </c>
      <c r="D61" s="227" t="s">
        <v>309</v>
      </c>
      <c r="E61" s="228" t="str">
        <f t="shared" ca="1" si="8"/>
        <v>MR</v>
      </c>
      <c r="F61" s="354"/>
      <c r="G61" s="355">
        <f t="shared" ca="1" si="1"/>
        <v>31</v>
      </c>
      <c r="H61" s="350"/>
      <c r="I61" s="350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5</v>
      </c>
      <c r="AX61" s="208">
        <f t="shared" si="22"/>
        <v>99.5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8" x14ac:dyDescent="0.25">
      <c r="A62" s="223" t="s">
        <v>371</v>
      </c>
      <c r="B62" s="224"/>
      <c r="C62" s="224"/>
      <c r="D62" s="224" t="s">
        <v>359</v>
      </c>
      <c r="E62" s="225" t="str">
        <f t="shared" ca="1" si="8"/>
        <v>D</v>
      </c>
      <c r="F62" s="348"/>
      <c r="G62" s="349">
        <f t="shared" ca="1" si="1"/>
        <v>58</v>
      </c>
      <c r="H62" s="350"/>
      <c r="I62" s="350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>
        <f t="shared" ca="1" si="19"/>
        <v>62</v>
      </c>
      <c r="AK62" s="169">
        <f t="shared" ca="1" si="20"/>
        <v>0</v>
      </c>
      <c r="AL62" s="169">
        <f t="shared" ca="1" si="20"/>
        <v>0</v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6</v>
      </c>
      <c r="AX62" s="208">
        <f t="shared" si="22"/>
        <v>99.6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/>
      <c r="B63" s="229"/>
      <c r="C63" s="224"/>
      <c r="D63" s="224"/>
      <c r="E63" s="225"/>
      <c r="F63" s="348"/>
      <c r="G63" s="349"/>
      <c r="H63" s="350"/>
      <c r="I63" s="350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7</v>
      </c>
      <c r="AX63" s="208">
        <f t="shared" si="22"/>
        <v>99.7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/>
      <c r="B64" s="229"/>
      <c r="C64" s="224"/>
      <c r="D64" s="224"/>
      <c r="E64" s="225"/>
      <c r="F64" s="348"/>
      <c r="G64" s="349"/>
      <c r="H64" s="350"/>
      <c r="I64" s="350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308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58" ht="13.8" x14ac:dyDescent="0.25">
      <c r="A65" s="223"/>
      <c r="B65" s="229"/>
      <c r="C65" s="224"/>
      <c r="D65" s="224"/>
      <c r="E65" s="225"/>
      <c r="F65" s="348"/>
      <c r="G65" s="349"/>
      <c r="H65" s="350"/>
      <c r="I65" s="350"/>
      <c r="N65" s="168" t="s">
        <v>310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 t="s">
        <v>371</v>
      </c>
      <c r="AR65" s="207"/>
      <c r="AS65" s="207"/>
      <c r="AT65" s="207" t="s">
        <v>359</v>
      </c>
      <c r="AU65" s="207"/>
      <c r="AZ65" s="169"/>
      <c r="BA65" s="169"/>
      <c r="BF65" s="169"/>
    </row>
    <row r="66" spans="1:58" ht="13.8" x14ac:dyDescent="0.25">
      <c r="A66" s="195"/>
      <c r="B66" s="196"/>
      <c r="C66" s="185"/>
      <c r="D66" s="185"/>
      <c r="E66" s="182"/>
      <c r="F66" s="350"/>
      <c r="H66" s="350"/>
      <c r="I66" s="350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50"/>
      <c r="H67" s="350"/>
      <c r="I67" s="350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8" x14ac:dyDescent="0.25">
      <c r="A68" s="200" t="s">
        <v>311</v>
      </c>
      <c r="B68" s="189" t="str">
        <f ca="1">OFFSET( Scale!$H$5, ROUND( C68, 0 ) - 1, 1 )</f>
        <v>BBB+</v>
      </c>
      <c r="C68" s="201">
        <f>AVERAGE(C7:C65)</f>
        <v>18.862745098039216</v>
      </c>
      <c r="D68" s="201"/>
      <c r="E68" s="201"/>
      <c r="F68" s="350"/>
      <c r="H68" s="350"/>
      <c r="I68" s="350"/>
      <c r="J68" s="351"/>
      <c r="K68" s="351"/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50"/>
      <c r="H69" s="350"/>
      <c r="I69" s="350"/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1"/>
      <c r="K70" s="351"/>
    </row>
    <row r="71" spans="1:58" x14ac:dyDescent="0.25">
      <c r="A71" s="203" t="s">
        <v>312</v>
      </c>
      <c r="F71" s="173"/>
      <c r="H71" s="173"/>
      <c r="I71" s="173"/>
    </row>
    <row r="72" spans="1:58" x14ac:dyDescent="0.25">
      <c r="A72" s="203" t="s">
        <v>313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314</v>
      </c>
      <c r="B73" s="173"/>
      <c r="D73" s="173"/>
      <c r="E73" s="173"/>
      <c r="F73" s="204"/>
      <c r="H73" s="204"/>
      <c r="I73" s="204"/>
    </row>
    <row r="74" spans="1:58" x14ac:dyDescent="0.25">
      <c r="A74" s="203" t="s">
        <v>315</v>
      </c>
      <c r="D74" s="204"/>
      <c r="F74" s="206"/>
      <c r="H74" s="206"/>
      <c r="I74" s="206"/>
      <c r="AQ74" s="207"/>
      <c r="AR74" s="207"/>
      <c r="AS74" s="207"/>
    </row>
    <row r="75" spans="1:58" x14ac:dyDescent="0.25">
      <c r="A75" s="203" t="s">
        <v>316</v>
      </c>
      <c r="D75" s="204"/>
      <c r="F75" s="206"/>
      <c r="H75" s="206"/>
      <c r="I75" s="206"/>
      <c r="AQ75" s="207"/>
      <c r="AR75" s="207"/>
      <c r="AS75" s="207"/>
    </row>
    <row r="76" spans="1:58" x14ac:dyDescent="0.25">
      <c r="A76" s="203"/>
      <c r="AQ76" s="207"/>
      <c r="AR76" s="207"/>
      <c r="AS76" s="207"/>
    </row>
    <row r="77" spans="1:58" x14ac:dyDescent="0.25">
      <c r="C77" s="190">
        <f>SUMPRODUCT( L8:L13, Y8:Y13 ) / L14</f>
        <v>18.843137254901961</v>
      </c>
      <c r="E77" s="191"/>
      <c r="G77" s="353"/>
      <c r="J77" s="173"/>
      <c r="K77" s="173"/>
      <c r="AQ77" s="207"/>
      <c r="AR77" s="207"/>
      <c r="AS77" s="207"/>
    </row>
    <row r="78" spans="1:58" s="173" customFormat="1" ht="13.8" x14ac:dyDescent="0.2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ref="AQ7:AT56">
    <sortCondition ref="AQ7:AQ56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674" priority="28" stopIfTrue="1">
      <formula>IF( $AH7 = 1, TRUE, FALSE )</formula>
    </cfRule>
    <cfRule type="expression" dxfId="673" priority="29" stopIfTrue="1">
      <formula>IF( $AG7 = 1, TRUE, FALSE )</formula>
    </cfRule>
    <cfRule type="expression" dxfId="672" priority="30" stopIfTrue="1">
      <formula>IF( $AF7 = 1, TRUE, FALSE )</formula>
    </cfRule>
  </conditionalFormatting>
  <conditionalFormatting sqref="A67:E67">
    <cfRule type="expression" dxfId="671" priority="31" stopIfTrue="1">
      <formula>IF( $AH67 = 1, TRUE, FALSE )</formula>
    </cfRule>
    <cfRule type="expression" dxfId="670" priority="32" stopIfTrue="1">
      <formula>IF( $AG67 = 1, TRUE, FALSE )</formula>
    </cfRule>
    <cfRule type="expression" dxfId="669" priority="33" stopIfTrue="1">
      <formula>IF( $AF67 = 1, TRUE, FALSE )</formula>
    </cfRule>
  </conditionalFormatting>
  <conditionalFormatting sqref="A66:E66">
    <cfRule type="expression" dxfId="668" priority="25" stopIfTrue="1">
      <formula>IF( $AH66 = 1, TRUE, FALSE )</formula>
    </cfRule>
    <cfRule type="expression" dxfId="667" priority="26" stopIfTrue="1">
      <formula>IF( $AG66 = 1, TRUE, FALSE )</formula>
    </cfRule>
    <cfRule type="expression" dxfId="666" priority="27" stopIfTrue="1">
      <formula>IF( $AF66 = 1, TRUE, FALSE )</formula>
    </cfRule>
  </conditionalFormatting>
  <conditionalFormatting sqref="A8:D58 B7:D7">
    <cfRule type="expression" dxfId="665" priority="22" stopIfTrue="1">
      <formula>IF( $AH7 = 1, TRUE, FALSE )</formula>
    </cfRule>
    <cfRule type="expression" dxfId="664" priority="23" stopIfTrue="1">
      <formula>IF( $AG7 = 1, TRUE, FALSE )</formula>
    </cfRule>
    <cfRule type="expression" dxfId="663" priority="24" stopIfTrue="1">
      <formula>IF( $AF7 = 1, TRUE, FALSE )</formula>
    </cfRule>
  </conditionalFormatting>
  <conditionalFormatting sqref="A59:D59">
    <cfRule type="expression" dxfId="662" priority="19" stopIfTrue="1">
      <formula>IF( $AH59 = 1, TRUE, FALSE )</formula>
    </cfRule>
    <cfRule type="expression" dxfId="661" priority="20" stopIfTrue="1">
      <formula>IF( $AG59 = 1, TRUE, FALSE )</formula>
    </cfRule>
    <cfRule type="expression" dxfId="660" priority="21" stopIfTrue="1">
      <formula>IF( $AF59 = 1, TRUE, FALSE )</formula>
    </cfRule>
  </conditionalFormatting>
  <conditionalFormatting sqref="A61:D65">
    <cfRule type="expression" dxfId="659" priority="16" stopIfTrue="1">
      <formula>IF( $AH61 = 1, TRUE, FALSE )</formula>
    </cfRule>
    <cfRule type="expression" dxfId="658" priority="17" stopIfTrue="1">
      <formula>IF( $AG61 = 1, TRUE, FALSE )</formula>
    </cfRule>
    <cfRule type="expression" dxfId="657" priority="18" stopIfTrue="1">
      <formula>IF( $AF61 = 1, TRUE, FALSE )</formula>
    </cfRule>
  </conditionalFormatting>
  <conditionalFormatting sqref="U8:U12">
    <cfRule type="cellIs" dxfId="656" priority="15" operator="equal">
      <formula>0</formula>
    </cfRule>
  </conditionalFormatting>
  <conditionalFormatting sqref="O8:O12 Q8:Q12">
    <cfRule type="cellIs" dxfId="655" priority="14" operator="equal">
      <formula>0</formula>
    </cfRule>
  </conditionalFormatting>
  <conditionalFormatting sqref="V8:V12">
    <cfRule type="cellIs" dxfId="654" priority="13" operator="equal">
      <formula>0</formula>
    </cfRule>
  </conditionalFormatting>
  <conditionalFormatting sqref="S8:S12">
    <cfRule type="cellIs" dxfId="653" priority="11" operator="equal">
      <formula>0</formula>
    </cfRule>
  </conditionalFormatting>
  <conditionalFormatting sqref="R8:R12">
    <cfRule type="cellIs" dxfId="652" priority="12" operator="equal">
      <formula>0</formula>
    </cfRule>
  </conditionalFormatting>
  <conditionalFormatting sqref="P8:P12">
    <cfRule type="cellIs" dxfId="651" priority="10" operator="equal">
      <formula>0</formula>
    </cfRule>
  </conditionalFormatting>
  <conditionalFormatting sqref="M8:M12">
    <cfRule type="cellIs" dxfId="650" priority="9" operator="equal">
      <formula>0</formula>
    </cfRule>
  </conditionalFormatting>
  <conditionalFormatting sqref="T8:T12">
    <cfRule type="cellIs" dxfId="649" priority="8" operator="equal">
      <formula>0</formula>
    </cfRule>
  </conditionalFormatting>
  <conditionalFormatting sqref="N8:N12">
    <cfRule type="cellIs" dxfId="648" priority="7" operator="equal">
      <formula>0</formula>
    </cfRule>
  </conditionalFormatting>
  <conditionalFormatting sqref="K8:K12">
    <cfRule type="cellIs" dxfId="647" priority="6" operator="equal">
      <formula>0</formula>
    </cfRule>
  </conditionalFormatting>
  <conditionalFormatting sqref="I8:I12">
    <cfRule type="cellIs" dxfId="646" priority="5" operator="equal">
      <formula>0</formula>
    </cfRule>
  </conditionalFormatting>
  <conditionalFormatting sqref="W8:W12">
    <cfRule type="cellIs" dxfId="645" priority="4" operator="equal">
      <formula>0</formula>
    </cfRule>
  </conditionalFormatting>
  <conditionalFormatting sqref="A7">
    <cfRule type="expression" dxfId="644" priority="1" stopIfTrue="1">
      <formula>IF( $AH7 = 1, TRUE, FALSE )</formula>
    </cfRule>
    <cfRule type="expression" dxfId="643" priority="2" stopIfTrue="1">
      <formula>IF( $AG7 = 1, TRUE, FALSE )</formula>
    </cfRule>
    <cfRule type="expression" dxfId="642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customWidth="1"/>
    <col min="23" max="23" width="2" style="168" customWidth="1"/>
    <col min="24" max="24" width="4.109375" style="168" customWidth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15.88671875" style="169" hidden="1" customWidth="1" outlineLevel="1" collapsed="1"/>
    <col min="37" max="38" width="15.88671875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-- 2015 Q3</v>
      </c>
      <c r="G1" s="175" t="s">
        <v>195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 x14ac:dyDescent="0.25">
      <c r="A2" s="167"/>
      <c r="E2" s="171" t="str">
        <f>G2</f>
        <v>Reg_Percent_2014</v>
      </c>
      <c r="G2" s="172" t="s">
        <v>379</v>
      </c>
      <c r="AJ2" s="173" t="str">
        <f>AJ4 &amp; AJ3</f>
        <v>'Credit_2015Q2'!d:d</v>
      </c>
      <c r="AK2" s="173" t="str">
        <f>AK4 &amp; AK3</f>
        <v>'Credit_2015Q2'!b1</v>
      </c>
      <c r="AL2" s="173" t="str">
        <f>AL4 &amp; AL3</f>
        <v>'Credit_2015Q2'!c1</v>
      </c>
      <c r="AQ2" s="169"/>
    </row>
    <row r="3" spans="1:61" ht="18" hidden="1" outlineLevel="1" x14ac:dyDescent="0.25">
      <c r="A3" s="167"/>
      <c r="E3" s="174" t="str">
        <f>"'" &amp; E2 &amp; "'!"</f>
        <v>'Reg_Percent_2014'!</v>
      </c>
      <c r="G3" s="168" t="str">
        <f>"'" &amp; G2 &amp; "'!"</f>
        <v>'Reg_Percent_2014'!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205</v>
      </c>
      <c r="AK3" s="149" t="s">
        <v>206</v>
      </c>
      <c r="AL3" s="149" t="s">
        <v>207</v>
      </c>
      <c r="AQ3" s="169"/>
    </row>
    <row r="4" spans="1:61" ht="18" hidden="1" outlineLevel="1" x14ac:dyDescent="0.25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>$AQ$5</f>
        <v>'Credit_2015Q2'!</v>
      </c>
      <c r="AK4" s="169" t="str">
        <f t="shared" ref="AK4:AL4" si="0">$AQ$5</f>
        <v>'Credit_2015Q2'!</v>
      </c>
      <c r="AL4" s="169" t="str">
        <f t="shared" si="0"/>
        <v>'Credit_2015Q2'!</v>
      </c>
      <c r="AQ4" s="169"/>
    </row>
    <row r="5" spans="1:61" ht="13.8" collapsed="1" x14ac:dyDescent="0.25">
      <c r="E5" s="176" t="s">
        <v>209</v>
      </c>
      <c r="G5" s="170" t="s">
        <v>199</v>
      </c>
      <c r="I5" s="230"/>
      <c r="J5" s="389" t="s">
        <v>210</v>
      </c>
      <c r="K5" s="230"/>
      <c r="L5" s="391" t="str">
        <f>"All Companies" &amp; CHAR( 10 ) &amp; "("&amp; L14 &amp; ")"</f>
        <v>All Companies
(52)</v>
      </c>
      <c r="M5" s="391"/>
      <c r="N5" s="230"/>
      <c r="O5" s="389" t="str">
        <f ca="1">"Regulated" &amp; CHAR( 10 ) &amp; "(" &amp; O14 &amp; ")"</f>
        <v>Regulated
(37)</v>
      </c>
      <c r="P5" s="393"/>
      <c r="Q5" s="230"/>
      <c r="R5" s="389" t="str">
        <f ca="1">"Mostly Regulated" &amp; CHAR( 10 ) &amp; "(" &amp; R14 &amp; ")"</f>
        <v>Mostly Regulated
(13)</v>
      </c>
      <c r="S5" s="393"/>
      <c r="T5" s="230"/>
      <c r="U5" s="389" t="str">
        <f ca="1">"Diversified" &amp; CHAR( 10 ) &amp; "(" &amp; U14 &amp; ")"</f>
        <v>Diversified
(2)</v>
      </c>
      <c r="V5" s="393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385</v>
      </c>
    </row>
    <row r="6" spans="1:61" ht="28.5" customHeight="1" x14ac:dyDescent="0.25">
      <c r="A6" s="219" t="s">
        <v>212</v>
      </c>
      <c r="B6" s="220" t="s">
        <v>62</v>
      </c>
      <c r="C6" s="249" t="s">
        <v>214</v>
      </c>
      <c r="D6" s="221"/>
      <c r="E6" s="222">
        <f ca="1">INDIRECT( E3 &amp; G1 )</f>
        <v>42004</v>
      </c>
      <c r="I6" s="231"/>
      <c r="J6" s="390"/>
      <c r="K6" s="231"/>
      <c r="L6" s="392"/>
      <c r="M6" s="392"/>
      <c r="N6" s="231"/>
      <c r="O6" s="390"/>
      <c r="P6" s="390"/>
      <c r="Q6" s="231"/>
      <c r="R6" s="390" t="s">
        <v>136</v>
      </c>
      <c r="S6" s="390"/>
      <c r="T6" s="231"/>
      <c r="U6" s="390"/>
      <c r="V6" s="390"/>
      <c r="W6" s="231"/>
      <c r="AE6" s="178"/>
      <c r="AJ6" s="179"/>
    </row>
    <row r="7" spans="1:61" ht="13.8" x14ac:dyDescent="0.25">
      <c r="A7" s="223" t="s">
        <v>235</v>
      </c>
      <c r="B7" s="224" t="s">
        <v>166</v>
      </c>
      <c r="C7" s="224">
        <v>21</v>
      </c>
      <c r="D7" s="224" t="s">
        <v>236</v>
      </c>
      <c r="E7" s="225" t="str">
        <f ca="1">IF( LEN( $G7 ) = 0, "", OFFSET( INDIRECT( E$3 &amp; E$4 ), $G7 - 1, 0 ) )</f>
        <v>R</v>
      </c>
      <c r="F7" s="348"/>
      <c r="G7" s="349">
        <f t="shared" ref="G7:G62" ca="1" si="1">IF( LEN( $D7 ) = 0, "", MATCH( $D7, INDIRECT( G$3 &amp; G$4 ), 0 ) )</f>
        <v>34</v>
      </c>
      <c r="H7" s="350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217</v>
      </c>
      <c r="AR7" s="207" t="s">
        <v>140</v>
      </c>
      <c r="AS7" s="207">
        <v>19</v>
      </c>
      <c r="AT7" s="207" t="s">
        <v>218</v>
      </c>
      <c r="AV7" s="168">
        <f>IF( LEN( AS7 ) = 0, 99, RANK( AS7, $AS$7:$AS$63 ) )</f>
        <v>15</v>
      </c>
      <c r="AW7" s="168">
        <f>COUNTIF( AV7:AV$7, AV7 )</f>
        <v>1</v>
      </c>
      <c r="AX7" s="208">
        <f>AV7 + AW7 / 10</f>
        <v>15.1</v>
      </c>
      <c r="AY7" s="168">
        <f>RANK( AX7, $AX$7:$AX$63, 1 )</f>
        <v>15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20</v>
      </c>
      <c r="BF7" s="173" t="str">
        <f t="shared" ref="BF7:BI38" ca="1" si="7">OFFSET( AQ$6, $BD7, 0 )</f>
        <v>Eversource Energy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ES</v>
      </c>
    </row>
    <row r="8" spans="1:61" ht="13.8" x14ac:dyDescent="0.25">
      <c r="A8" s="223" t="s">
        <v>219</v>
      </c>
      <c r="B8" s="224" t="s">
        <v>139</v>
      </c>
      <c r="C8" s="224">
        <v>20</v>
      </c>
      <c r="D8" s="224" t="s">
        <v>220</v>
      </c>
      <c r="E8" s="225" t="str">
        <f t="shared" ref="E8:E62" ca="1" si="8">IF( LEN( $G8 ) = 0, "", OFFSET( INDIRECT( E$3 &amp; E$4 ), $G8 - 1, 0 ) )</f>
        <v>R</v>
      </c>
      <c r="F8" s="348"/>
      <c r="G8" s="349">
        <f t="shared" ca="1" si="1"/>
        <v>8</v>
      </c>
      <c r="H8" s="350"/>
      <c r="I8" s="233"/>
      <c r="J8" s="213" t="s">
        <v>137</v>
      </c>
      <c r="K8" s="233"/>
      <c r="L8" s="213">
        <f t="shared" ref="L8:L13" si="9">COUNTIF($C$7:$C$67,$X8)</f>
        <v>2</v>
      </c>
      <c r="M8" s="214">
        <f t="shared" ref="M8:M13" si="10">IF( L8 = 0, "", L8/L$14 )</f>
        <v>3.8461538461538464E-2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2.7027027027027029E-2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7.6923076923076927E-2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7">SUM(O8, R8, U8)</f>
        <v>2</v>
      </c>
      <c r="AC8" s="351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9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4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ref="AV8:AV63" si="21">IF( LEN( AS8 ) = 0, 99, RANK( AS8, $AS$7:$AS$63 ) )</f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ref="AY8:AY63" si="23">RANK( AX8, $AX$7:$AX$63, 1 )</f>
        <v>2</v>
      </c>
      <c r="AZ8" s="169"/>
      <c r="BA8" s="169"/>
      <c r="BC8" s="168">
        <f ca="1">OFFSET( BC8, -1, 0 ) + 1</f>
        <v>2</v>
      </c>
      <c r="BD8" s="209">
        <f t="shared" ca="1" si="6"/>
        <v>2</v>
      </c>
      <c r="BF8" s="173" t="str">
        <f t="shared" ca="1" si="7"/>
        <v>Alliant Energy Corporation</v>
      </c>
      <c r="BG8" s="173" t="str">
        <f t="shared" ca="1" si="7"/>
        <v>A-</v>
      </c>
      <c r="BH8" s="173">
        <f t="shared" ca="1" si="7"/>
        <v>20</v>
      </c>
      <c r="BI8" s="173" t="str">
        <f t="shared" ca="1" si="7"/>
        <v>LNT</v>
      </c>
    </row>
    <row r="9" spans="1:61" ht="13.8" x14ac:dyDescent="0.25">
      <c r="A9" s="223" t="s">
        <v>249</v>
      </c>
      <c r="B9" s="224" t="s">
        <v>139</v>
      </c>
      <c r="C9" s="224">
        <v>20</v>
      </c>
      <c r="D9" s="224" t="s">
        <v>250</v>
      </c>
      <c r="E9" s="225" t="str">
        <f t="shared" ca="1" si="8"/>
        <v>MR</v>
      </c>
      <c r="F9" s="348"/>
      <c r="G9" s="349">
        <f t="shared" ca="1" si="1"/>
        <v>13</v>
      </c>
      <c r="H9" s="350"/>
      <c r="I9" s="234"/>
      <c r="J9" s="215" t="s">
        <v>139</v>
      </c>
      <c r="K9" s="234"/>
      <c r="L9" s="215">
        <f t="shared" si="9"/>
        <v>13</v>
      </c>
      <c r="M9" s="216">
        <f t="shared" si="10"/>
        <v>0.25</v>
      </c>
      <c r="N9" s="234"/>
      <c r="O9" s="215">
        <f t="shared" ca="1" si="11"/>
        <v>8</v>
      </c>
      <c r="P9" s="216">
        <f t="shared" ca="1" si="12"/>
        <v>0.21621621621621623</v>
      </c>
      <c r="Q9" s="234"/>
      <c r="R9" s="215">
        <f t="shared" ca="1" si="13"/>
        <v>5</v>
      </c>
      <c r="S9" s="216">
        <f t="shared" ca="1" si="14"/>
        <v>0.38461538461538464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7"/>
        <v>13</v>
      </c>
      <c r="AC9" s="351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10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si="21"/>
        <v>15</v>
      </c>
      <c r="AW9" s="168">
        <f>COUNTIF( AV$7:AV9, AV9 )</f>
        <v>2</v>
      </c>
      <c r="AX9" s="208">
        <f t="shared" si="22"/>
        <v>15.2</v>
      </c>
      <c r="AY9" s="168">
        <f t="shared" si="23"/>
        <v>16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8</v>
      </c>
      <c r="BF9" s="173" t="str">
        <f t="shared" ca="1" si="7"/>
        <v>CenterPoint Energy, Inc.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CNP</v>
      </c>
    </row>
    <row r="10" spans="1:61" ht="13.8" x14ac:dyDescent="0.25">
      <c r="A10" s="223" t="s">
        <v>227</v>
      </c>
      <c r="B10" s="224" t="s">
        <v>139</v>
      </c>
      <c r="C10" s="224">
        <v>20</v>
      </c>
      <c r="D10" s="224" t="s">
        <v>228</v>
      </c>
      <c r="E10" s="225" t="str">
        <f t="shared" ca="1" si="8"/>
        <v>R</v>
      </c>
      <c r="F10" s="348"/>
      <c r="G10" s="349">
        <f t="shared" ca="1" si="1"/>
        <v>16</v>
      </c>
      <c r="H10" s="350"/>
      <c r="I10" s="234"/>
      <c r="J10" s="215" t="s">
        <v>140</v>
      </c>
      <c r="K10" s="234"/>
      <c r="L10" s="215">
        <f t="shared" si="9"/>
        <v>17</v>
      </c>
      <c r="M10" s="216">
        <f t="shared" si="10"/>
        <v>0.32692307692307693</v>
      </c>
      <c r="N10" s="234"/>
      <c r="O10" s="215">
        <f t="shared" ca="1" si="11"/>
        <v>11</v>
      </c>
      <c r="P10" s="216">
        <f t="shared" ca="1" si="12"/>
        <v>0.29729729729729731</v>
      </c>
      <c r="Q10" s="234"/>
      <c r="R10" s="215">
        <f t="shared" ca="1" si="13"/>
        <v>5</v>
      </c>
      <c r="S10" s="216">
        <f t="shared" ca="1" si="14"/>
        <v>0.38461538461538464</v>
      </c>
      <c r="T10" s="234"/>
      <c r="U10" s="215">
        <f t="shared" ca="1" si="15"/>
        <v>1</v>
      </c>
      <c r="V10" s="216">
        <f t="shared" ca="1" si="16"/>
        <v>0.5</v>
      </c>
      <c r="W10" s="234"/>
      <c r="X10" s="186" t="s">
        <v>229</v>
      </c>
      <c r="Y10" s="186">
        <v>19</v>
      </c>
      <c r="Z10" s="186">
        <v>1</v>
      </c>
      <c r="AA10" s="185">
        <f t="shared" ca="1" si="17"/>
        <v>17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11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222</v>
      </c>
      <c r="AR10" s="207" t="s">
        <v>141</v>
      </c>
      <c r="AS10" s="207">
        <v>18</v>
      </c>
      <c r="AT10" s="207" t="s">
        <v>223</v>
      </c>
      <c r="AV10" s="168">
        <f t="shared" si="21"/>
        <v>32</v>
      </c>
      <c r="AW10" s="168">
        <f>COUNTIF( AV$7:AV10, AV10 )</f>
        <v>1</v>
      </c>
      <c r="AX10" s="208">
        <f t="shared" si="22"/>
        <v>32.1</v>
      </c>
      <c r="AY10" s="168">
        <f t="shared" si="23"/>
        <v>32</v>
      </c>
      <c r="AZ10" s="169"/>
      <c r="BA10" s="169"/>
      <c r="BC10" s="168">
        <f t="shared" ca="1" si="24"/>
        <v>4</v>
      </c>
      <c r="BD10" s="209">
        <f t="shared" ca="1" si="6"/>
        <v>11</v>
      </c>
      <c r="BF10" s="173" t="str">
        <f t="shared" ca="1" si="7"/>
        <v>Consolidated Edison,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ED</v>
      </c>
    </row>
    <row r="11" spans="1:61" ht="13.8" x14ac:dyDescent="0.25">
      <c r="A11" s="223" t="s">
        <v>361</v>
      </c>
      <c r="B11" s="224" t="s">
        <v>139</v>
      </c>
      <c r="C11" s="224">
        <v>20</v>
      </c>
      <c r="D11" s="224" t="s">
        <v>194</v>
      </c>
      <c r="E11" s="225" t="str">
        <f t="shared" ca="1" si="8"/>
        <v>MR</v>
      </c>
      <c r="F11" s="348"/>
      <c r="G11" s="349">
        <f t="shared" ca="1" si="1"/>
        <v>17</v>
      </c>
      <c r="H11" s="350"/>
      <c r="I11" s="234"/>
      <c r="J11" s="215" t="s">
        <v>141</v>
      </c>
      <c r="K11" s="234"/>
      <c r="L11" s="215">
        <f t="shared" si="9"/>
        <v>15</v>
      </c>
      <c r="M11" s="216">
        <f t="shared" si="10"/>
        <v>0.28846153846153844</v>
      </c>
      <c r="N11" s="234"/>
      <c r="O11" s="215">
        <f t="shared" ca="1" si="11"/>
        <v>14</v>
      </c>
      <c r="P11" s="216">
        <f t="shared" ca="1" si="12"/>
        <v>0.3783783783783784</v>
      </c>
      <c r="Q11" s="234"/>
      <c r="R11" s="215">
        <f t="shared" ca="1" si="13"/>
        <v>1</v>
      </c>
      <c r="S11" s="216">
        <f t="shared" ca="1" si="14"/>
        <v>7.6923076923076927E-2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7"/>
        <v>15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12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238</v>
      </c>
      <c r="AR11" s="207" t="s">
        <v>141</v>
      </c>
      <c r="AS11" s="207">
        <v>18</v>
      </c>
      <c r="AT11" s="207" t="s">
        <v>239</v>
      </c>
      <c r="AV11" s="168">
        <f t="shared" si="21"/>
        <v>32</v>
      </c>
      <c r="AW11" s="168">
        <f>COUNTIF( AV$7:AV11, AV11 )</f>
        <v>2</v>
      </c>
      <c r="AX11" s="208">
        <f t="shared" si="22"/>
        <v>32.200000000000003</v>
      </c>
      <c r="AY11" s="168">
        <f t="shared" si="23"/>
        <v>33</v>
      </c>
      <c r="AZ11" s="169"/>
      <c r="BA11" s="169"/>
      <c r="BC11" s="168">
        <f t="shared" ca="1" si="24"/>
        <v>5</v>
      </c>
      <c r="BD11" s="209">
        <f t="shared" ca="1" si="6"/>
        <v>12</v>
      </c>
      <c r="BF11" s="173" t="str">
        <f t="shared" ca="1" si="7"/>
        <v>Dominion Resources,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D</v>
      </c>
    </row>
    <row r="12" spans="1:61" ht="13.8" x14ac:dyDescent="0.25">
      <c r="A12" s="223" t="s">
        <v>263</v>
      </c>
      <c r="B12" s="224" t="s">
        <v>139</v>
      </c>
      <c r="C12" s="224">
        <v>20</v>
      </c>
      <c r="D12" s="224" t="s">
        <v>264</v>
      </c>
      <c r="E12" s="225" t="str">
        <f t="shared" ca="1" si="8"/>
        <v>R</v>
      </c>
      <c r="F12" s="348"/>
      <c r="G12" s="349">
        <f t="shared" ca="1" si="1"/>
        <v>19</v>
      </c>
      <c r="H12" s="350"/>
      <c r="I12" s="234"/>
      <c r="J12" s="215" t="s">
        <v>142</v>
      </c>
      <c r="K12" s="234"/>
      <c r="L12" s="215">
        <f t="shared" si="9"/>
        <v>3</v>
      </c>
      <c r="M12" s="216">
        <f t="shared" si="10"/>
        <v>5.7692307692307696E-2</v>
      </c>
      <c r="N12" s="234"/>
      <c r="O12" s="215">
        <f t="shared" ca="1" si="11"/>
        <v>1</v>
      </c>
      <c r="P12" s="216">
        <f t="shared" ca="1" si="12"/>
        <v>2.7027027027027029E-2</v>
      </c>
      <c r="Q12" s="234"/>
      <c r="R12" s="215">
        <f t="shared" ca="1" si="13"/>
        <v>1</v>
      </c>
      <c r="S12" s="216">
        <f t="shared" ca="1" si="14"/>
        <v>7.6923076923076927E-2</v>
      </c>
      <c r="T12" s="234"/>
      <c r="U12" s="215">
        <f t="shared" ca="1" si="15"/>
        <v>1</v>
      </c>
      <c r="V12" s="216">
        <f t="shared" ca="1" si="16"/>
        <v>0.5</v>
      </c>
      <c r="W12" s="234"/>
      <c r="X12" s="186" t="s">
        <v>237</v>
      </c>
      <c r="Y12" s="186">
        <v>17</v>
      </c>
      <c r="Z12" s="186">
        <v>1</v>
      </c>
      <c r="AA12" s="185">
        <f t="shared" ca="1" si="17"/>
        <v>3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13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215</v>
      </c>
      <c r="AR12" s="207" t="s">
        <v>140</v>
      </c>
      <c r="AS12" s="207">
        <v>19</v>
      </c>
      <c r="AT12" s="207" t="s">
        <v>216</v>
      </c>
      <c r="AV12" s="168">
        <f t="shared" si="21"/>
        <v>15</v>
      </c>
      <c r="AW12" s="168">
        <f>COUNTIF( AV$7:AV12, AV12 )</f>
        <v>3</v>
      </c>
      <c r="AX12" s="208">
        <f t="shared" si="22"/>
        <v>15.3</v>
      </c>
      <c r="AY12" s="168">
        <f t="shared" si="23"/>
        <v>17</v>
      </c>
      <c r="AZ12" s="169"/>
      <c r="BA12" s="169"/>
      <c r="BC12" s="168">
        <f t="shared" ca="1" si="24"/>
        <v>6</v>
      </c>
      <c r="BD12" s="209">
        <f t="shared" ca="1" si="6"/>
        <v>15</v>
      </c>
      <c r="BF12" s="173" t="str">
        <f t="shared" ca="1" si="7"/>
        <v>Duke Energy Corporation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DUK</v>
      </c>
    </row>
    <row r="13" spans="1:61" ht="13.8" x14ac:dyDescent="0.25">
      <c r="A13" s="223" t="s">
        <v>240</v>
      </c>
      <c r="B13" s="224" t="s">
        <v>139</v>
      </c>
      <c r="C13" s="224">
        <v>20</v>
      </c>
      <c r="D13" s="224" t="s">
        <v>241</v>
      </c>
      <c r="E13" s="225" t="str">
        <f t="shared" ca="1" si="8"/>
        <v>MR</v>
      </c>
      <c r="F13" s="348"/>
      <c r="G13" s="349">
        <f t="shared" ca="1" si="1"/>
        <v>32</v>
      </c>
      <c r="H13" s="350"/>
      <c r="I13" s="235"/>
      <c r="J13" s="217" t="s">
        <v>143</v>
      </c>
      <c r="K13" s="235"/>
      <c r="L13" s="217">
        <f t="shared" si="9"/>
        <v>2</v>
      </c>
      <c r="M13" s="218">
        <f t="shared" si="10"/>
        <v>3.8461538461538464E-2</v>
      </c>
      <c r="N13" s="235"/>
      <c r="O13" s="217">
        <f t="shared" ca="1" si="11"/>
        <v>2</v>
      </c>
      <c r="P13" s="218">
        <f t="shared" ca="1" si="12"/>
        <v>5.4054054054054057E-2</v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242</v>
      </c>
      <c r="Y13" s="186">
        <v>16</v>
      </c>
      <c r="Z13" s="186">
        <v>1</v>
      </c>
      <c r="AA13" s="188">
        <f t="shared" ca="1" si="17"/>
        <v>2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14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245</v>
      </c>
      <c r="AR13" s="207" t="s">
        <v>141</v>
      </c>
      <c r="AS13" s="207">
        <v>18</v>
      </c>
      <c r="AT13" s="207" t="s">
        <v>246</v>
      </c>
      <c r="AV13" s="168">
        <f t="shared" si="21"/>
        <v>32</v>
      </c>
      <c r="AW13" s="168">
        <f>COUNTIF( AV$7:AV13, AV13 )</f>
        <v>3</v>
      </c>
      <c r="AX13" s="208">
        <f t="shared" si="22"/>
        <v>32.299999999999997</v>
      </c>
      <c r="AY13" s="168">
        <f t="shared" si="23"/>
        <v>34</v>
      </c>
      <c r="AZ13" s="169"/>
      <c r="BA13" s="169"/>
      <c r="BC13" s="168">
        <f t="shared" ca="1" si="24"/>
        <v>7</v>
      </c>
      <c r="BD13" s="209">
        <f t="shared" ca="1" si="6"/>
        <v>29</v>
      </c>
      <c r="BF13" s="173" t="str">
        <f t="shared" ca="1" si="7"/>
        <v>NextEra Energy, Inc.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NEE</v>
      </c>
    </row>
    <row r="14" spans="1:61" ht="13.8" x14ac:dyDescent="0.25">
      <c r="A14" s="223" t="s">
        <v>277</v>
      </c>
      <c r="B14" s="224" t="s">
        <v>139</v>
      </c>
      <c r="C14" s="224">
        <v>20</v>
      </c>
      <c r="D14" s="224" t="s">
        <v>278</v>
      </c>
      <c r="E14" s="225" t="str">
        <f t="shared" ca="1" si="8"/>
        <v>R</v>
      </c>
      <c r="F14" s="348"/>
      <c r="G14" s="349">
        <f t="shared" ca="1" si="1"/>
        <v>36</v>
      </c>
      <c r="H14" s="350"/>
      <c r="I14" s="236"/>
      <c r="J14" s="211" t="s">
        <v>144</v>
      </c>
      <c r="K14" s="236"/>
      <c r="L14" s="211">
        <f>SUM(L8:L13)</f>
        <v>52</v>
      </c>
      <c r="M14" s="212">
        <f>L14/L$14</f>
        <v>1</v>
      </c>
      <c r="N14" s="236"/>
      <c r="O14" s="211">
        <f ca="1">SUM(O8:O13)</f>
        <v>37</v>
      </c>
      <c r="P14" s="212">
        <f ca="1">O14/O$14</f>
        <v>1</v>
      </c>
      <c r="Q14" s="236"/>
      <c r="R14" s="211">
        <f ca="1">SUM(R8:R13)</f>
        <v>13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18.807692307692307</v>
      </c>
      <c r="Z14" s="190"/>
      <c r="AA14" s="189">
        <f ca="1">SUM(AA8:AA13)</f>
        <v>52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15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249</v>
      </c>
      <c r="AR14" s="207" t="s">
        <v>139</v>
      </c>
      <c r="AS14" s="207">
        <v>20</v>
      </c>
      <c r="AT14" s="207" t="s">
        <v>250</v>
      </c>
      <c r="AV14" s="168">
        <f>IF( LEN( AS14 ) = 0, 99, RANK( AS14, $AS$7:$AS$63 ) )</f>
        <v>2</v>
      </c>
      <c r="AW14" s="168">
        <f>COUNTIF( AV$7:AV14, AV14 )</f>
        <v>2</v>
      </c>
      <c r="AX14" s="208">
        <f t="shared" si="22"/>
        <v>2.2000000000000002</v>
      </c>
      <c r="AY14" s="168">
        <f t="shared" si="23"/>
        <v>3</v>
      </c>
      <c r="AZ14" s="169"/>
      <c r="BA14" s="169"/>
      <c r="BC14" s="168">
        <f t="shared" ca="1" si="24"/>
        <v>8</v>
      </c>
      <c r="BD14" s="209">
        <f t="shared" ca="1" si="6"/>
        <v>32</v>
      </c>
      <c r="BF14" s="173" t="str">
        <f t="shared" ca="1" si="7"/>
        <v>OGE Energy Corp.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OGE</v>
      </c>
    </row>
    <row r="15" spans="1:61" ht="13.8" x14ac:dyDescent="0.25">
      <c r="A15" s="223" t="s">
        <v>281</v>
      </c>
      <c r="B15" s="224" t="s">
        <v>139</v>
      </c>
      <c r="C15" s="224">
        <v>20</v>
      </c>
      <c r="D15" s="224" t="s">
        <v>282</v>
      </c>
      <c r="E15" s="225" t="str">
        <f t="shared" ca="1" si="8"/>
        <v>R</v>
      </c>
      <c r="F15" s="348"/>
      <c r="G15" s="349">
        <f t="shared" ca="1" si="1"/>
        <v>40</v>
      </c>
      <c r="H15" s="350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16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254</v>
      </c>
      <c r="AR15" s="207" t="s">
        <v>140</v>
      </c>
      <c r="AS15" s="207">
        <v>19</v>
      </c>
      <c r="AT15" s="207" t="s">
        <v>378</v>
      </c>
      <c r="AV15" s="168">
        <f t="shared" si="21"/>
        <v>15</v>
      </c>
      <c r="AW15" s="168">
        <f>COUNTIF( AV$7:AV15, AV15 )</f>
        <v>4</v>
      </c>
      <c r="AX15" s="208">
        <f t="shared" si="22"/>
        <v>15.4</v>
      </c>
      <c r="AY15" s="168">
        <f t="shared" si="23"/>
        <v>18</v>
      </c>
      <c r="AZ15" s="169"/>
      <c r="BA15" s="169"/>
      <c r="BC15" s="168">
        <f t="shared" ca="1" si="24"/>
        <v>9</v>
      </c>
      <c r="BD15" s="209">
        <f t="shared" ca="1" si="6"/>
        <v>36</v>
      </c>
      <c r="BF15" s="173" t="str">
        <f t="shared" ca="1" si="7"/>
        <v>Pinnacle West Capital Corporation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PNW</v>
      </c>
    </row>
    <row r="16" spans="1:61" ht="13.8" x14ac:dyDescent="0.25">
      <c r="A16" s="223" t="s">
        <v>243</v>
      </c>
      <c r="B16" s="224" t="s">
        <v>139</v>
      </c>
      <c r="C16" s="224">
        <v>20</v>
      </c>
      <c r="D16" s="224" t="s">
        <v>244</v>
      </c>
      <c r="E16" s="225" t="str">
        <f t="shared" ca="1" si="8"/>
        <v>MR</v>
      </c>
      <c r="F16" s="348"/>
      <c r="G16" s="349">
        <f t="shared" ca="1" si="1"/>
        <v>43</v>
      </c>
      <c r="H16" s="350"/>
      <c r="I16" s="232"/>
      <c r="J16" s="210" t="s">
        <v>253</v>
      </c>
      <c r="K16" s="232"/>
      <c r="L16" s="386">
        <f t="array" ref="L16">SUM( IF( LEN( $C$7:$C$65 ) = 0, 0, $C$7:$C$65 ) ) / SUM( IF( LEN( $C$7:$C$65 ) = 0, 0, 1  ) )</f>
        <v>18.826923076923077</v>
      </c>
      <c r="M16" s="387"/>
      <c r="N16" s="232"/>
      <c r="O16" s="386">
        <f t="array" aca="1" ref="O16" ca="1">SUM( IF( LEN( $C$7:$C$65 ) = 0, 0, IF( $E$7:$E$65 = O3, $C$7:$C$65, 0 ) ) ) / SUM( IF( LEN( $C$7:$C$65 ) = 0, 0, IF( $E$7:$E$65 = O3, 1, 0 ) ) )</f>
        <v>18.648648648648649</v>
      </c>
      <c r="P16" s="387"/>
      <c r="Q16" s="232"/>
      <c r="R16" s="386">
        <f t="array" aca="1" ref="R16" ca="1">SUM( IF( LEN( $C$7:$C$65 ) = 0, 0, IF( $E$7:$E$65 = R3, $C$7:$C$65, 0 ) ) ) / SUM( IF( LEN( $C$7:$C$65 ) = 0, 0, IF( $E$7:$E$65 = R3, 1, 0 ) ) )</f>
        <v>19.46153846153846</v>
      </c>
      <c r="S16" s="387"/>
      <c r="T16" s="232"/>
      <c r="U16" s="386">
        <f t="array" aca="1" ref="U16" ca="1">SUM( IF( LEN( $C$7:$C$65 ) = 0, 0, IF( $E$7:$E$65 = U3, $C$7:$C$65, 0 ) ) ) / SUM( IF( LEN( $C$7:$C$65 ) = 0, 0, IF( $E$7:$E$65 = U3, 1, 0 ) ) )</f>
        <v>18</v>
      </c>
      <c r="V16" s="388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17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256</v>
      </c>
      <c r="AR16" s="207" t="s">
        <v>140</v>
      </c>
      <c r="AS16" s="207">
        <v>19</v>
      </c>
      <c r="AT16" s="207" t="s">
        <v>257</v>
      </c>
      <c r="AV16" s="168">
        <f t="shared" si="21"/>
        <v>15</v>
      </c>
      <c r="AW16" s="168">
        <f>COUNTIF( AV$7:AV16, AV16 )</f>
        <v>5</v>
      </c>
      <c r="AX16" s="208">
        <f t="shared" si="22"/>
        <v>15.5</v>
      </c>
      <c r="AY16" s="168">
        <f t="shared" si="23"/>
        <v>19</v>
      </c>
      <c r="AZ16" s="169"/>
      <c r="BA16" s="169"/>
      <c r="BC16" s="168">
        <f t="shared" ca="1" si="24"/>
        <v>10</v>
      </c>
      <c r="BD16" s="209">
        <f t="shared" ca="1" si="6"/>
        <v>39</v>
      </c>
      <c r="BF16" s="173" t="str">
        <f t="shared" ca="1" si="7"/>
        <v>PPL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PPL</v>
      </c>
    </row>
    <row r="17" spans="1:61" ht="13.8" x14ac:dyDescent="0.25">
      <c r="A17" s="223" t="s">
        <v>293</v>
      </c>
      <c r="B17" s="224" t="s">
        <v>139</v>
      </c>
      <c r="C17" s="224">
        <v>20</v>
      </c>
      <c r="D17" s="224" t="s">
        <v>294</v>
      </c>
      <c r="E17" s="225" t="str">
        <f t="shared" ca="1" si="8"/>
        <v>R</v>
      </c>
      <c r="F17" s="348"/>
      <c r="G17" s="349">
        <f t="shared" ca="1" si="1"/>
        <v>47</v>
      </c>
      <c r="H17" s="350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>
        <f t="shared" ca="1" si="18"/>
        <v>1</v>
      </c>
      <c r="AJ17" s="169">
        <f t="shared" ca="1" si="19"/>
        <v>8</v>
      </c>
      <c r="AK17" s="169" t="str">
        <f t="shared" ca="1" si="20"/>
        <v>A</v>
      </c>
      <c r="AL17" s="169">
        <f t="shared" ca="1" si="20"/>
        <v>21</v>
      </c>
      <c r="AM17" s="169" t="str">
        <f t="shared" ca="1" si="4"/>
        <v>Change</v>
      </c>
      <c r="AQ17" s="207" t="s">
        <v>227</v>
      </c>
      <c r="AR17" s="207" t="s">
        <v>139</v>
      </c>
      <c r="AS17" s="207">
        <v>20</v>
      </c>
      <c r="AT17" s="207" t="s">
        <v>228</v>
      </c>
      <c r="AV17" s="168">
        <f t="shared" si="21"/>
        <v>2</v>
      </c>
      <c r="AW17" s="168">
        <f>COUNTIF( AV$7:AV17, AV17 )</f>
        <v>3</v>
      </c>
      <c r="AX17" s="208">
        <f t="shared" si="22"/>
        <v>2.2999999999999998</v>
      </c>
      <c r="AY17" s="168">
        <f t="shared" si="23"/>
        <v>4</v>
      </c>
      <c r="AZ17" s="169"/>
      <c r="BA17" s="169"/>
      <c r="BC17" s="168">
        <f t="shared" ca="1" si="24"/>
        <v>11</v>
      </c>
      <c r="BD17" s="209">
        <f t="shared" ca="1" si="6"/>
        <v>44</v>
      </c>
      <c r="BF17" s="173" t="str">
        <f t="shared" ca="1" si="7"/>
        <v>Southern Company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SO</v>
      </c>
    </row>
    <row r="18" spans="1:61" ht="13.8" x14ac:dyDescent="0.25">
      <c r="A18" s="223" t="s">
        <v>345</v>
      </c>
      <c r="B18" s="224" t="s">
        <v>139</v>
      </c>
      <c r="C18" s="224">
        <v>20</v>
      </c>
      <c r="D18" s="224" t="s">
        <v>346</v>
      </c>
      <c r="E18" s="225" t="str">
        <f t="shared" ca="1" si="8"/>
        <v>MR</v>
      </c>
      <c r="F18" s="348"/>
      <c r="G18" s="349">
        <f t="shared" ca="1" si="1"/>
        <v>51</v>
      </c>
      <c r="H18" s="350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361</v>
      </c>
      <c r="AR18" s="207" t="s">
        <v>139</v>
      </c>
      <c r="AS18" s="207">
        <v>20</v>
      </c>
      <c r="AT18" s="207" t="s">
        <v>194</v>
      </c>
      <c r="AV18" s="168">
        <f t="shared" si="21"/>
        <v>2</v>
      </c>
      <c r="AW18" s="168">
        <f>COUNTIF( AV$7:AV18, AV18 )</f>
        <v>4</v>
      </c>
      <c r="AX18" s="208">
        <f t="shared" si="22"/>
        <v>2.4</v>
      </c>
      <c r="AY18" s="168">
        <f t="shared" si="23"/>
        <v>5</v>
      </c>
      <c r="AZ18" s="169"/>
      <c r="BA18" s="169"/>
      <c r="BC18" s="168">
        <f t="shared" ca="1" si="24"/>
        <v>12</v>
      </c>
      <c r="BD18" s="209">
        <f t="shared" ca="1" si="6"/>
        <v>48</v>
      </c>
      <c r="BF18" s="173" t="str">
        <f t="shared" ca="1" si="7"/>
        <v>Vectren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VVC</v>
      </c>
    </row>
    <row r="19" spans="1:61" ht="13.8" x14ac:dyDescent="0.25">
      <c r="A19" s="223" t="s">
        <v>386</v>
      </c>
      <c r="B19" s="224" t="s">
        <v>139</v>
      </c>
      <c r="C19" s="224">
        <v>20</v>
      </c>
      <c r="D19" s="224" t="s">
        <v>248</v>
      </c>
      <c r="E19" s="225" t="str">
        <f t="shared" ca="1" si="8"/>
        <v>R</v>
      </c>
      <c r="F19" s="348"/>
      <c r="G19" s="349">
        <f t="shared" ca="1" si="1"/>
        <v>53</v>
      </c>
      <c r="H19" s="350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259</v>
      </c>
      <c r="AR19" s="207" t="s">
        <v>175</v>
      </c>
      <c r="AS19" s="207">
        <v>15</v>
      </c>
      <c r="AT19" s="207" t="s">
        <v>260</v>
      </c>
      <c r="AV19" s="168">
        <f t="shared" si="21"/>
        <v>51</v>
      </c>
      <c r="AW19" s="168">
        <f>COUNTIF( AV$7:AV19, AV19 )</f>
        <v>1</v>
      </c>
      <c r="AX19" s="208">
        <f t="shared" si="22"/>
        <v>51.1</v>
      </c>
      <c r="AY19" s="168">
        <f t="shared" si="23"/>
        <v>51</v>
      </c>
      <c r="AZ19" s="169"/>
      <c r="BA19" s="169"/>
      <c r="BC19" s="168">
        <f t="shared" ca="1" si="24"/>
        <v>13</v>
      </c>
      <c r="BD19" s="209">
        <f t="shared" ca="1" si="6"/>
        <v>50</v>
      </c>
      <c r="BF19" s="173" t="str">
        <f t="shared" ca="1" si="7"/>
        <v>WEC Energy Group, Inc.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WEC</v>
      </c>
    </row>
    <row r="20" spans="1:61" ht="13.8" x14ac:dyDescent="0.25">
      <c r="A20" s="223" t="s">
        <v>251</v>
      </c>
      <c r="B20" s="224" t="s">
        <v>139</v>
      </c>
      <c r="C20" s="224">
        <v>20</v>
      </c>
      <c r="D20" s="224" t="s">
        <v>252</v>
      </c>
      <c r="E20" s="225" t="str">
        <f t="shared" ca="1" si="8"/>
        <v>R</v>
      </c>
      <c r="F20" s="348"/>
      <c r="G20" s="349">
        <f t="shared" ca="1" si="1"/>
        <v>54</v>
      </c>
      <c r="H20" s="350"/>
      <c r="I20" s="352"/>
      <c r="K20" s="352"/>
      <c r="N20" s="352"/>
      <c r="O20" s="173"/>
      <c r="Q20" s="352"/>
      <c r="T20" s="352"/>
      <c r="W20" s="352"/>
      <c r="AE20" s="184"/>
      <c r="AF20" s="169">
        <f t="shared" si="2"/>
        <v>0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261</v>
      </c>
      <c r="AR20" s="207" t="s">
        <v>140</v>
      </c>
      <c r="AS20" s="207">
        <v>19</v>
      </c>
      <c r="AT20" s="207" t="s">
        <v>262</v>
      </c>
      <c r="AV20" s="168">
        <f t="shared" si="21"/>
        <v>15</v>
      </c>
      <c r="AW20" s="168">
        <f>COUNTIF( AV$7:AV20, AV20 )</f>
        <v>6</v>
      </c>
      <c r="AX20" s="208">
        <f t="shared" si="22"/>
        <v>15.6</v>
      </c>
      <c r="AY20" s="168">
        <f t="shared" si="23"/>
        <v>20</v>
      </c>
      <c r="AZ20" s="169"/>
      <c r="BA20" s="169"/>
      <c r="BC20" s="168">
        <f t="shared" ca="1" si="24"/>
        <v>14</v>
      </c>
      <c r="BD20" s="209">
        <f t="shared" ca="1" si="6"/>
        <v>51</v>
      </c>
      <c r="BF20" s="173" t="str">
        <f t="shared" ca="1" si="7"/>
        <v>Xcel Energy Inc.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XEL</v>
      </c>
    </row>
    <row r="21" spans="1:61" ht="13.8" x14ac:dyDescent="0.25">
      <c r="A21" s="223" t="s">
        <v>217</v>
      </c>
      <c r="B21" s="224" t="s">
        <v>140</v>
      </c>
      <c r="C21" s="224">
        <v>19</v>
      </c>
      <c r="D21" s="224" t="s">
        <v>218</v>
      </c>
      <c r="E21" s="225" t="str">
        <f t="shared" ca="1" si="8"/>
        <v>R</v>
      </c>
      <c r="F21" s="348"/>
      <c r="G21" s="349">
        <f t="shared" ca="1" si="1"/>
        <v>7</v>
      </c>
      <c r="H21" s="350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263</v>
      </c>
      <c r="AR21" s="207" t="s">
        <v>139</v>
      </c>
      <c r="AS21" s="207">
        <v>20</v>
      </c>
      <c r="AT21" s="207" t="s">
        <v>264</v>
      </c>
      <c r="AV21" s="168">
        <f t="shared" si="21"/>
        <v>2</v>
      </c>
      <c r="AW21" s="168">
        <f>COUNTIF( AV$7:AV21, AV21 )</f>
        <v>5</v>
      </c>
      <c r="AX21" s="208">
        <f t="shared" si="22"/>
        <v>2.5</v>
      </c>
      <c r="AY21" s="168">
        <f t="shared" si="23"/>
        <v>6</v>
      </c>
      <c r="AZ21" s="169"/>
      <c r="BA21" s="169"/>
      <c r="BC21" s="168">
        <f t="shared" ca="1" si="24"/>
        <v>15</v>
      </c>
      <c r="BD21" s="209">
        <f t="shared" ca="1" si="6"/>
        <v>1</v>
      </c>
      <c r="BF21" s="173" t="str">
        <f t="shared" ca="1" si="7"/>
        <v>ALLETE, Inc.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ALE</v>
      </c>
    </row>
    <row r="22" spans="1:61" ht="13.8" x14ac:dyDescent="0.25">
      <c r="A22" s="223" t="s">
        <v>225</v>
      </c>
      <c r="B22" s="224" t="s">
        <v>140</v>
      </c>
      <c r="C22" s="224">
        <v>19</v>
      </c>
      <c r="D22" s="224" t="s">
        <v>226</v>
      </c>
      <c r="E22" s="225" t="str">
        <f t="shared" ca="1" si="8"/>
        <v>R</v>
      </c>
      <c r="F22" s="348"/>
      <c r="G22" s="349">
        <f t="shared" ca="1" si="1"/>
        <v>9</v>
      </c>
      <c r="H22" s="350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265</v>
      </c>
      <c r="AR22" s="207" t="s">
        <v>140</v>
      </c>
      <c r="AS22" s="207">
        <v>19</v>
      </c>
      <c r="AT22" s="207" t="s">
        <v>266</v>
      </c>
      <c r="AV22" s="168">
        <f t="shared" si="21"/>
        <v>15</v>
      </c>
      <c r="AW22" s="168">
        <f>COUNTIF( AV$7:AV22, AV22 )</f>
        <v>7</v>
      </c>
      <c r="AX22" s="208">
        <f t="shared" si="22"/>
        <v>15.7</v>
      </c>
      <c r="AY22" s="168">
        <f t="shared" si="23"/>
        <v>21</v>
      </c>
      <c r="AZ22" s="169"/>
      <c r="BA22" s="169"/>
      <c r="BC22" s="168">
        <f t="shared" ca="1" si="24"/>
        <v>16</v>
      </c>
      <c r="BD22" s="209">
        <f t="shared" ca="1" si="6"/>
        <v>3</v>
      </c>
      <c r="BF22" s="173" t="str">
        <f t="shared" ca="1" si="7"/>
        <v>Ameren Corporation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AEE</v>
      </c>
    </row>
    <row r="23" spans="1:61" ht="13.8" x14ac:dyDescent="0.25">
      <c r="A23" s="223" t="s">
        <v>215</v>
      </c>
      <c r="B23" s="224" t="s">
        <v>140</v>
      </c>
      <c r="C23" s="224">
        <v>19</v>
      </c>
      <c r="D23" s="224" t="s">
        <v>216</v>
      </c>
      <c r="E23" s="225" t="str">
        <f t="shared" ca="1" si="8"/>
        <v>MR</v>
      </c>
      <c r="F23" s="348"/>
      <c r="G23" s="349">
        <f t="shared" ca="1" si="1"/>
        <v>60</v>
      </c>
      <c r="H23" s="350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328</v>
      </c>
      <c r="AR23" s="207" t="s">
        <v>141</v>
      </c>
      <c r="AS23" s="207">
        <v>18</v>
      </c>
      <c r="AT23" s="207" t="s">
        <v>331</v>
      </c>
      <c r="AV23" s="168">
        <f t="shared" si="21"/>
        <v>32</v>
      </c>
      <c r="AW23" s="168">
        <f>COUNTIF( AV$7:AV23, AV23 )</f>
        <v>4</v>
      </c>
      <c r="AX23" s="208">
        <f t="shared" si="22"/>
        <v>32.4</v>
      </c>
      <c r="AY23" s="168">
        <f t="shared" si="23"/>
        <v>35</v>
      </c>
      <c r="AZ23" s="169"/>
      <c r="BA23" s="169"/>
      <c r="BC23" s="168">
        <f t="shared" ca="1" si="24"/>
        <v>17</v>
      </c>
      <c r="BD23" s="209">
        <f t="shared" ca="1" si="6"/>
        <v>6</v>
      </c>
      <c r="BF23" s="173" t="str">
        <f t="shared" ca="1" si="7"/>
        <v>Berkshire Energy Holdings Company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**BRK</v>
      </c>
    </row>
    <row r="24" spans="1:61" ht="13.8" x14ac:dyDescent="0.25">
      <c r="A24" s="223" t="s">
        <v>254</v>
      </c>
      <c r="B24" s="224" t="s">
        <v>140</v>
      </c>
      <c r="C24" s="224">
        <v>19</v>
      </c>
      <c r="D24" s="224" t="s">
        <v>378</v>
      </c>
      <c r="E24" s="225" t="str">
        <f t="shared" ca="1" si="8"/>
        <v>R</v>
      </c>
      <c r="F24" s="348"/>
      <c r="G24" s="349">
        <f t="shared" ca="1" si="1"/>
        <v>14</v>
      </c>
      <c r="H24" s="350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367</v>
      </c>
      <c r="AR24" s="207" t="s">
        <v>141</v>
      </c>
      <c r="AS24" s="207">
        <v>18</v>
      </c>
      <c r="AT24" s="207" t="s">
        <v>368</v>
      </c>
      <c r="AV24" s="168">
        <f t="shared" si="21"/>
        <v>32</v>
      </c>
      <c r="AW24" s="168">
        <f>COUNTIF( AV$7:AV24, AV24 )</f>
        <v>5</v>
      </c>
      <c r="AX24" s="208">
        <f t="shared" si="22"/>
        <v>32.5</v>
      </c>
      <c r="AY24" s="168">
        <f t="shared" si="23"/>
        <v>36</v>
      </c>
      <c r="AZ24" s="169"/>
      <c r="BA24" s="169"/>
      <c r="BC24" s="168">
        <f t="shared" ca="1" si="24"/>
        <v>18</v>
      </c>
      <c r="BD24" s="209">
        <f t="shared" ca="1" si="6"/>
        <v>9</v>
      </c>
      <c r="BF24" s="173" t="str">
        <f t="shared" ca="1" si="7"/>
        <v>Cleco Corporation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CNL</v>
      </c>
    </row>
    <row r="25" spans="1:61" ht="13.8" x14ac:dyDescent="0.25">
      <c r="A25" s="223" t="s">
        <v>256</v>
      </c>
      <c r="B25" s="224" t="s">
        <v>140</v>
      </c>
      <c r="C25" s="224">
        <v>19</v>
      </c>
      <c r="D25" s="224" t="s">
        <v>257</v>
      </c>
      <c r="E25" s="225" t="str">
        <f t="shared" ca="1" si="8"/>
        <v>R</v>
      </c>
      <c r="F25" s="348"/>
      <c r="G25" s="349">
        <f t="shared" ca="1" si="1"/>
        <v>15</v>
      </c>
      <c r="H25" s="350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267</v>
      </c>
      <c r="AR25" s="207" t="s">
        <v>141</v>
      </c>
      <c r="AS25" s="207">
        <v>18</v>
      </c>
      <c r="AT25" s="207" t="s">
        <v>268</v>
      </c>
      <c r="AV25" s="168">
        <f t="shared" si="21"/>
        <v>32</v>
      </c>
      <c r="AW25" s="168">
        <f>COUNTIF( AV$7:AV25, AV25 )</f>
        <v>6</v>
      </c>
      <c r="AX25" s="208">
        <f t="shared" si="22"/>
        <v>32.6</v>
      </c>
      <c r="AY25" s="168">
        <f t="shared" si="23"/>
        <v>37</v>
      </c>
      <c r="AZ25" s="169"/>
      <c r="BA25" s="169"/>
      <c r="BC25" s="168">
        <f t="shared" ca="1" si="24"/>
        <v>19</v>
      </c>
      <c r="BD25" s="209">
        <f t="shared" ca="1" si="6"/>
        <v>10</v>
      </c>
      <c r="BF25" s="173" t="str">
        <f t="shared" ca="1" si="7"/>
        <v>CMS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CMS</v>
      </c>
    </row>
    <row r="26" spans="1:61" ht="13.8" x14ac:dyDescent="0.25">
      <c r="A26" s="223" t="s">
        <v>261</v>
      </c>
      <c r="B26" s="224" t="s">
        <v>140</v>
      </c>
      <c r="C26" s="224">
        <v>19</v>
      </c>
      <c r="D26" s="224" t="s">
        <v>262</v>
      </c>
      <c r="E26" s="225" t="str">
        <f t="shared" ca="1" si="8"/>
        <v>R</v>
      </c>
      <c r="F26" s="348"/>
      <c r="G26" s="349">
        <f t="shared" ca="1" si="1"/>
        <v>18</v>
      </c>
      <c r="H26" s="350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235</v>
      </c>
      <c r="AR26" s="207" t="s">
        <v>166</v>
      </c>
      <c r="AS26" s="207">
        <v>21</v>
      </c>
      <c r="AT26" s="207" t="s">
        <v>236</v>
      </c>
      <c r="AV26" s="168">
        <f t="shared" si="21"/>
        <v>1</v>
      </c>
      <c r="AW26" s="168">
        <f>COUNTIF( AV$7:AV26, AV26 )</f>
        <v>1</v>
      </c>
      <c r="AX26" s="208">
        <f t="shared" si="22"/>
        <v>1.1000000000000001</v>
      </c>
      <c r="AY26" s="168">
        <f t="shared" si="23"/>
        <v>1</v>
      </c>
      <c r="AZ26" s="169"/>
      <c r="BA26" s="169"/>
      <c r="BC26" s="168">
        <f t="shared" ca="1" si="24"/>
        <v>20</v>
      </c>
      <c r="BD26" s="209">
        <f t="shared" ca="1" si="6"/>
        <v>14</v>
      </c>
      <c r="BF26" s="173" t="str">
        <f t="shared" ca="1" si="7"/>
        <v>DTE Energy Company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DTE</v>
      </c>
    </row>
    <row r="27" spans="1:61" ht="13.8" x14ac:dyDescent="0.25">
      <c r="A27" s="223" t="s">
        <v>265</v>
      </c>
      <c r="B27" s="224" t="s">
        <v>140</v>
      </c>
      <c r="C27" s="224">
        <v>19</v>
      </c>
      <c r="D27" s="224" t="s">
        <v>266</v>
      </c>
      <c r="E27" s="225" t="str">
        <f t="shared" ca="1" si="8"/>
        <v>R</v>
      </c>
      <c r="F27" s="348"/>
      <c r="G27" s="349">
        <f t="shared" ca="1" si="1"/>
        <v>20</v>
      </c>
      <c r="H27" s="350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269</v>
      </c>
      <c r="AR27" s="207" t="s">
        <v>141</v>
      </c>
      <c r="AS27" s="207">
        <v>18</v>
      </c>
      <c r="AT27" s="207" t="s">
        <v>270</v>
      </c>
      <c r="AV27" s="168">
        <f t="shared" si="21"/>
        <v>32</v>
      </c>
      <c r="AW27" s="168">
        <f>COUNTIF( AV$7:AV27, AV27 )</f>
        <v>7</v>
      </c>
      <c r="AX27" s="208">
        <f t="shared" si="22"/>
        <v>32.700000000000003</v>
      </c>
      <c r="AY27" s="168">
        <f t="shared" si="23"/>
        <v>38</v>
      </c>
      <c r="AZ27" s="169"/>
      <c r="BA27" s="169"/>
      <c r="BC27" s="168">
        <f t="shared" ca="1" si="24"/>
        <v>21</v>
      </c>
      <c r="BD27" s="209">
        <f t="shared" ca="1" si="6"/>
        <v>16</v>
      </c>
      <c r="BF27" s="173" t="str">
        <f t="shared" ca="1" si="7"/>
        <v>Edison International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EIX</v>
      </c>
    </row>
    <row r="28" spans="1:61" ht="13.8" x14ac:dyDescent="0.25">
      <c r="A28" s="223" t="s">
        <v>352</v>
      </c>
      <c r="B28" s="224" t="s">
        <v>140</v>
      </c>
      <c r="C28" s="224">
        <v>19</v>
      </c>
      <c r="D28" s="224" t="s">
        <v>353</v>
      </c>
      <c r="E28" s="225" t="str">
        <f t="shared" ca="1" si="8"/>
        <v>R</v>
      </c>
      <c r="F28" s="348"/>
      <c r="G28" s="349">
        <f t="shared" ca="1" si="1"/>
        <v>26</v>
      </c>
      <c r="H28" s="350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275</v>
      </c>
      <c r="AR28" s="207" t="s">
        <v>142</v>
      </c>
      <c r="AS28" s="207">
        <v>17</v>
      </c>
      <c r="AT28" s="207" t="s">
        <v>276</v>
      </c>
      <c r="AV28" s="168">
        <f t="shared" si="21"/>
        <v>47</v>
      </c>
      <c r="AW28" s="168">
        <f>COUNTIF( AV$7:AV28, AV28 )</f>
        <v>1</v>
      </c>
      <c r="AX28" s="208">
        <f t="shared" si="22"/>
        <v>47.1</v>
      </c>
      <c r="AY28" s="168">
        <f t="shared" si="23"/>
        <v>47</v>
      </c>
      <c r="AZ28" s="169"/>
      <c r="BA28" s="169"/>
      <c r="BC28" s="168">
        <f t="shared" ca="1" si="24"/>
        <v>22</v>
      </c>
      <c r="BD28" s="209">
        <f t="shared" ca="1" si="6"/>
        <v>23</v>
      </c>
      <c r="BF28" s="173" t="str">
        <f t="shared" ca="1" si="7"/>
        <v>Great Plains Energy Inc.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GXP</v>
      </c>
    </row>
    <row r="29" spans="1:61" ht="13.8" x14ac:dyDescent="0.25">
      <c r="A29" s="223" t="s">
        <v>271</v>
      </c>
      <c r="B29" s="224" t="s">
        <v>140</v>
      </c>
      <c r="C29" s="224">
        <v>19</v>
      </c>
      <c r="D29" s="224" t="s">
        <v>272</v>
      </c>
      <c r="E29" s="225" t="str">
        <f t="shared" ca="1" si="8"/>
        <v>D</v>
      </c>
      <c r="F29" s="348"/>
      <c r="G29" s="349">
        <f t="shared" ca="1" si="1"/>
        <v>30</v>
      </c>
      <c r="H29" s="350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352</v>
      </c>
      <c r="AR29" s="207" t="s">
        <v>140</v>
      </c>
      <c r="AS29" s="207">
        <v>19</v>
      </c>
      <c r="AT29" s="207" t="s">
        <v>353</v>
      </c>
      <c r="AV29" s="168">
        <f t="shared" si="21"/>
        <v>15</v>
      </c>
      <c r="AW29" s="168">
        <f>COUNTIF( AV$7:AV29, AV29 )</f>
        <v>8</v>
      </c>
      <c r="AX29" s="208">
        <f t="shared" si="22"/>
        <v>15.8</v>
      </c>
      <c r="AY29" s="168">
        <f t="shared" si="23"/>
        <v>22</v>
      </c>
      <c r="AZ29" s="169"/>
      <c r="BA29" s="169"/>
      <c r="BC29" s="168">
        <f t="shared" ca="1" si="24"/>
        <v>23</v>
      </c>
      <c r="BD29" s="209">
        <f t="shared" ca="1" si="6"/>
        <v>28</v>
      </c>
      <c r="BF29" s="173" t="str">
        <f t="shared" ca="1" si="7"/>
        <v>MDU Resources Group, Inc.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MDU</v>
      </c>
    </row>
    <row r="30" spans="1:61" ht="13.8" x14ac:dyDescent="0.25">
      <c r="A30" s="223" t="s">
        <v>273</v>
      </c>
      <c r="B30" s="224" t="s">
        <v>140</v>
      </c>
      <c r="C30" s="224">
        <v>19</v>
      </c>
      <c r="D30" s="224" t="s">
        <v>274</v>
      </c>
      <c r="E30" s="225" t="str">
        <f t="shared" ca="1" si="8"/>
        <v>MR</v>
      </c>
      <c r="F30" s="348"/>
      <c r="G30" s="349">
        <f t="shared" ca="1" si="1"/>
        <v>33</v>
      </c>
      <c r="H30" s="350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279</v>
      </c>
      <c r="AR30" s="207" t="s">
        <v>142</v>
      </c>
      <c r="AS30" s="207">
        <v>17</v>
      </c>
      <c r="AT30" s="207" t="s">
        <v>280</v>
      </c>
      <c r="AV30" s="168">
        <f t="shared" si="21"/>
        <v>47</v>
      </c>
      <c r="AW30" s="168">
        <f>COUNTIF( AV$7:AV30, AV30 )</f>
        <v>2</v>
      </c>
      <c r="AX30" s="208">
        <f t="shared" si="22"/>
        <v>47.2</v>
      </c>
      <c r="AY30" s="168">
        <f t="shared" si="23"/>
        <v>48</v>
      </c>
      <c r="AZ30" s="169"/>
      <c r="BA30" s="169"/>
      <c r="BC30" s="168">
        <f t="shared" ca="1" si="24"/>
        <v>24</v>
      </c>
      <c r="BD30" s="209">
        <f t="shared" ca="1" si="6"/>
        <v>30</v>
      </c>
      <c r="BF30" s="173" t="str">
        <f t="shared" ca="1" si="7"/>
        <v>NiSource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NI</v>
      </c>
    </row>
    <row r="31" spans="1:61" ht="13.8" x14ac:dyDescent="0.25">
      <c r="A31" s="223" t="s">
        <v>382</v>
      </c>
      <c r="B31" s="224" t="s">
        <v>140</v>
      </c>
      <c r="C31" s="224">
        <v>19</v>
      </c>
      <c r="D31" s="224" t="s">
        <v>383</v>
      </c>
      <c r="E31" s="225" t="str">
        <f t="shared" ca="1" si="8"/>
        <v>R</v>
      </c>
      <c r="F31" s="348"/>
      <c r="G31" s="349">
        <f t="shared" ca="1" si="1"/>
        <v>38</v>
      </c>
      <c r="H31" s="350"/>
      <c r="I31" s="237"/>
      <c r="J31" s="191"/>
      <c r="K31" s="237"/>
      <c r="N31" s="237"/>
      <c r="O31" s="351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387</v>
      </c>
      <c r="AR31" s="207" t="s">
        <v>141</v>
      </c>
      <c r="AS31" s="207">
        <v>18</v>
      </c>
      <c r="AT31" s="207" t="s">
        <v>388</v>
      </c>
      <c r="AV31" s="168">
        <f t="shared" si="21"/>
        <v>32</v>
      </c>
      <c r="AW31" s="168">
        <f>COUNTIF( AV$7:AV31, AV31 )</f>
        <v>8</v>
      </c>
      <c r="AX31" s="208">
        <f t="shared" si="22"/>
        <v>32.799999999999997</v>
      </c>
      <c r="AY31" s="168">
        <f t="shared" si="23"/>
        <v>39</v>
      </c>
      <c r="AZ31" s="169"/>
      <c r="BA31" s="169"/>
      <c r="BC31" s="168">
        <f t="shared" ca="1" si="24"/>
        <v>25</v>
      </c>
      <c r="BD31" s="209">
        <f t="shared" ca="1" si="6"/>
        <v>34</v>
      </c>
      <c r="BF31" s="173" t="str">
        <f t="shared" ca="1" si="7"/>
        <v>Pepco Holdings,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POM</v>
      </c>
    </row>
    <row r="32" spans="1:61" ht="13.8" x14ac:dyDescent="0.25">
      <c r="A32" s="223" t="s">
        <v>289</v>
      </c>
      <c r="B32" s="224" t="s">
        <v>140</v>
      </c>
      <c r="C32" s="224">
        <v>19</v>
      </c>
      <c r="D32" s="224" t="s">
        <v>290</v>
      </c>
      <c r="E32" s="225" t="str">
        <f t="shared" ca="1" si="8"/>
        <v>MR</v>
      </c>
      <c r="F32" s="348"/>
      <c r="G32" s="349">
        <f t="shared" ca="1" si="1"/>
        <v>44</v>
      </c>
      <c r="H32" s="350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32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283</v>
      </c>
      <c r="AR32" s="207" t="s">
        <v>141</v>
      </c>
      <c r="AS32" s="207">
        <v>18</v>
      </c>
      <c r="AT32" s="207" t="s">
        <v>284</v>
      </c>
      <c r="AV32" s="168">
        <f t="shared" si="21"/>
        <v>32</v>
      </c>
      <c r="AW32" s="168">
        <f>COUNTIF( AV$7:AV32, AV32 )</f>
        <v>9</v>
      </c>
      <c r="AX32" s="208">
        <f t="shared" si="22"/>
        <v>32.9</v>
      </c>
      <c r="AY32" s="168">
        <f t="shared" si="23"/>
        <v>40</v>
      </c>
      <c r="AZ32" s="169"/>
      <c r="BA32" s="169"/>
      <c r="BC32" s="168">
        <f t="shared" ca="1" si="24"/>
        <v>26</v>
      </c>
      <c r="BD32" s="209">
        <f t="shared" ca="1" si="6"/>
        <v>40</v>
      </c>
      <c r="BF32" s="173" t="str">
        <f t="shared" ca="1" si="7"/>
        <v>Public Service Enterprise Group Incorporated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PEG</v>
      </c>
    </row>
    <row r="33" spans="1:61" ht="13.8" x14ac:dyDescent="0.25">
      <c r="A33" s="223" t="s">
        <v>347</v>
      </c>
      <c r="B33" s="224" t="s">
        <v>140</v>
      </c>
      <c r="C33" s="224">
        <v>19</v>
      </c>
      <c r="D33" s="224" t="s">
        <v>348</v>
      </c>
      <c r="E33" s="225" t="str">
        <f t="shared" ca="1" si="8"/>
        <v>MR</v>
      </c>
      <c r="F33" s="348"/>
      <c r="G33" s="349">
        <f t="shared" ca="1" si="1"/>
        <v>45</v>
      </c>
      <c r="H33" s="350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33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287</v>
      </c>
      <c r="AR33" s="207" t="s">
        <v>173</v>
      </c>
      <c r="AS33" s="207">
        <v>16</v>
      </c>
      <c r="AT33" s="207" t="s">
        <v>288</v>
      </c>
      <c r="AV33" s="168">
        <f t="shared" si="21"/>
        <v>50</v>
      </c>
      <c r="AW33" s="168">
        <f>COUNTIF( AV$7:AV33, AV33 )</f>
        <v>1</v>
      </c>
      <c r="AX33" s="208">
        <f t="shared" si="22"/>
        <v>50.1</v>
      </c>
      <c r="AY33" s="168">
        <f t="shared" si="23"/>
        <v>50</v>
      </c>
      <c r="AZ33" s="169"/>
      <c r="BA33" s="169"/>
      <c r="BC33" s="168">
        <f t="shared" ca="1" si="24"/>
        <v>27</v>
      </c>
      <c r="BD33" s="209">
        <f t="shared" ca="1" si="6"/>
        <v>42</v>
      </c>
      <c r="BF33" s="173" t="str">
        <f t="shared" ca="1" si="7"/>
        <v>SCANA Corporation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SCG</v>
      </c>
    </row>
    <row r="34" spans="1:61" ht="13.8" x14ac:dyDescent="0.25">
      <c r="A34" s="223" t="s">
        <v>291</v>
      </c>
      <c r="B34" s="224" t="s">
        <v>140</v>
      </c>
      <c r="C34" s="224">
        <v>19</v>
      </c>
      <c r="D34" s="224" t="s">
        <v>292</v>
      </c>
      <c r="E34" s="225" t="str">
        <f t="shared" ca="1" si="8"/>
        <v>MR</v>
      </c>
      <c r="F34" s="348"/>
      <c r="G34" s="349">
        <f t="shared" ca="1" si="1"/>
        <v>46</v>
      </c>
      <c r="H34" s="350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34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271</v>
      </c>
      <c r="AR34" s="207" t="s">
        <v>140</v>
      </c>
      <c r="AS34" s="207">
        <v>19</v>
      </c>
      <c r="AT34" s="207" t="s">
        <v>272</v>
      </c>
      <c r="AV34" s="168">
        <f t="shared" si="21"/>
        <v>15</v>
      </c>
      <c r="AW34" s="168">
        <f>COUNTIF( AV$7:AV34, AV34 )</f>
        <v>9</v>
      </c>
      <c r="AX34" s="208">
        <f t="shared" si="22"/>
        <v>15.9</v>
      </c>
      <c r="AY34" s="168">
        <f t="shared" si="23"/>
        <v>23</v>
      </c>
      <c r="AZ34" s="169"/>
      <c r="BA34" s="169"/>
      <c r="BC34" s="168">
        <f t="shared" ca="1" si="24"/>
        <v>28</v>
      </c>
      <c r="BD34" s="209">
        <f t="shared" ca="1" si="6"/>
        <v>43</v>
      </c>
      <c r="BF34" s="173" t="str">
        <f t="shared" ca="1" si="7"/>
        <v>Sempra Energy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SRE</v>
      </c>
    </row>
    <row r="35" spans="1:61" ht="13.8" x14ac:dyDescent="0.25">
      <c r="A35" s="223" t="s">
        <v>369</v>
      </c>
      <c r="B35" s="224" t="s">
        <v>140</v>
      </c>
      <c r="C35" s="224">
        <v>19</v>
      </c>
      <c r="D35" s="224" t="s">
        <v>375</v>
      </c>
      <c r="E35" s="225" t="str">
        <f t="shared" ca="1" si="8"/>
        <v>R</v>
      </c>
      <c r="F35" s="348"/>
      <c r="G35" s="349">
        <f t="shared" ca="1" si="1"/>
        <v>48</v>
      </c>
      <c r="H35" s="350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35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240</v>
      </c>
      <c r="AR35" s="207" t="s">
        <v>139</v>
      </c>
      <c r="AS35" s="207">
        <v>20</v>
      </c>
      <c r="AT35" s="207" t="s">
        <v>241</v>
      </c>
      <c r="AV35" s="168">
        <f t="shared" si="21"/>
        <v>2</v>
      </c>
      <c r="AW35" s="168">
        <f>COUNTIF( AV$7:AV35, AV35 )</f>
        <v>6</v>
      </c>
      <c r="AX35" s="208">
        <f t="shared" si="22"/>
        <v>2.6</v>
      </c>
      <c r="AY35" s="168">
        <f t="shared" si="23"/>
        <v>7</v>
      </c>
      <c r="AZ35" s="169"/>
      <c r="BA35" s="169"/>
      <c r="BC35" s="168">
        <f t="shared" ca="1" si="24"/>
        <v>29</v>
      </c>
      <c r="BD35" s="209">
        <f t="shared" ca="1" si="6"/>
        <v>45</v>
      </c>
      <c r="BF35" s="173" t="str">
        <f t="shared" ca="1" si="7"/>
        <v>TECO Energy, Inc.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TE</v>
      </c>
    </row>
    <row r="36" spans="1:61" ht="13.8" x14ac:dyDescent="0.25">
      <c r="A36" s="223" t="s">
        <v>295</v>
      </c>
      <c r="B36" s="224" t="s">
        <v>140</v>
      </c>
      <c r="C36" s="224">
        <v>19</v>
      </c>
      <c r="D36" s="224" t="s">
        <v>296</v>
      </c>
      <c r="E36" s="225" t="str">
        <f t="shared" ca="1" si="8"/>
        <v>R</v>
      </c>
      <c r="F36" s="348"/>
      <c r="G36" s="349">
        <f t="shared" ca="1" si="1"/>
        <v>50</v>
      </c>
      <c r="H36" s="350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36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273</v>
      </c>
      <c r="AR36" s="207" t="s">
        <v>140</v>
      </c>
      <c r="AS36" s="207">
        <v>19</v>
      </c>
      <c r="AT36" s="207" t="s">
        <v>274</v>
      </c>
      <c r="AV36" s="168">
        <f t="shared" si="21"/>
        <v>15</v>
      </c>
      <c r="AW36" s="168">
        <f>COUNTIF( AV$7:AV36, AV36 )</f>
        <v>10</v>
      </c>
      <c r="AX36" s="208">
        <f t="shared" si="22"/>
        <v>16</v>
      </c>
      <c r="AY36" s="168">
        <f t="shared" si="23"/>
        <v>24</v>
      </c>
      <c r="AZ36" s="169"/>
      <c r="BA36" s="169"/>
      <c r="BC36" s="168">
        <f t="shared" ca="1" si="24"/>
        <v>30</v>
      </c>
      <c r="BD36" s="209">
        <f t="shared" ca="1" si="6"/>
        <v>47</v>
      </c>
      <c r="BF36" s="173" t="str">
        <f t="shared" ca="1" si="7"/>
        <v>Unitil Corporation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*UTL</v>
      </c>
    </row>
    <row r="37" spans="1:61" ht="13.8" x14ac:dyDescent="0.25">
      <c r="A37" s="223" t="s">
        <v>354</v>
      </c>
      <c r="B37" s="224" t="s">
        <v>140</v>
      </c>
      <c r="C37" s="224">
        <v>19</v>
      </c>
      <c r="D37" s="224" t="s">
        <v>355</v>
      </c>
      <c r="E37" s="225" t="str">
        <f t="shared" ca="1" si="8"/>
        <v>R</v>
      </c>
      <c r="F37" s="348"/>
      <c r="G37" s="349">
        <f t="shared" ca="1" si="1"/>
        <v>52</v>
      </c>
      <c r="H37" s="350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37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297</v>
      </c>
      <c r="AR37" s="207" t="s">
        <v>141</v>
      </c>
      <c r="AS37" s="207">
        <v>18</v>
      </c>
      <c r="AT37" s="207" t="s">
        <v>298</v>
      </c>
      <c r="AV37" s="168">
        <f t="shared" si="21"/>
        <v>32</v>
      </c>
      <c r="AW37" s="168">
        <f>COUNTIF( AV$7:AV37, AV37 )</f>
        <v>10</v>
      </c>
      <c r="AX37" s="208">
        <f t="shared" si="22"/>
        <v>33</v>
      </c>
      <c r="AY37" s="168">
        <f t="shared" si="23"/>
        <v>41</v>
      </c>
      <c r="AZ37" s="169"/>
      <c r="BA37" s="169"/>
      <c r="BC37" s="168">
        <f t="shared" ca="1" si="24"/>
        <v>31</v>
      </c>
      <c r="BD37" s="209">
        <f t="shared" ca="1" si="6"/>
        <v>49</v>
      </c>
      <c r="BF37" s="173" t="str">
        <f t="shared" ca="1" si="7"/>
        <v>Westar Energy, Inc.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WR</v>
      </c>
    </row>
    <row r="38" spans="1:61" ht="13.8" x14ac:dyDescent="0.25">
      <c r="A38" s="223" t="s">
        <v>222</v>
      </c>
      <c r="B38" s="224" t="s">
        <v>141</v>
      </c>
      <c r="C38" s="224">
        <v>18</v>
      </c>
      <c r="D38" s="224" t="s">
        <v>223</v>
      </c>
      <c r="E38" s="225" t="str">
        <f t="shared" ca="1" si="8"/>
        <v>R</v>
      </c>
      <c r="F38" s="348"/>
      <c r="G38" s="349">
        <f t="shared" ca="1" si="1"/>
        <v>10</v>
      </c>
      <c r="H38" s="350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38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277</v>
      </c>
      <c r="AR38" s="207" t="s">
        <v>139</v>
      </c>
      <c r="AS38" s="207">
        <v>20</v>
      </c>
      <c r="AT38" s="207" t="s">
        <v>278</v>
      </c>
      <c r="AV38" s="168">
        <f t="shared" si="21"/>
        <v>2</v>
      </c>
      <c r="AW38" s="168">
        <f>COUNTIF( AV$7:AV38, AV38 )</f>
        <v>7</v>
      </c>
      <c r="AX38" s="208">
        <f t="shared" si="22"/>
        <v>2.7</v>
      </c>
      <c r="AY38" s="168">
        <f t="shared" si="23"/>
        <v>8</v>
      </c>
      <c r="AZ38" s="169"/>
      <c r="BA38" s="169"/>
      <c r="BC38" s="168">
        <f t="shared" ca="1" si="24"/>
        <v>32</v>
      </c>
      <c r="BD38" s="209">
        <f t="shared" ca="1" si="6"/>
        <v>4</v>
      </c>
      <c r="BF38" s="173" t="str">
        <f t="shared" ca="1" si="7"/>
        <v>American Electric Power Company, Inc.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AEP</v>
      </c>
    </row>
    <row r="39" spans="1:61" ht="13.8" x14ac:dyDescent="0.25">
      <c r="A39" s="223" t="s">
        <v>238</v>
      </c>
      <c r="B39" s="224" t="s">
        <v>141</v>
      </c>
      <c r="C39" s="224">
        <v>18</v>
      </c>
      <c r="D39" s="224" t="s">
        <v>239</v>
      </c>
      <c r="E39" s="225" t="str">
        <f t="shared" ca="1" si="8"/>
        <v>R</v>
      </c>
      <c r="F39" s="348"/>
      <c r="G39" s="349">
        <f t="shared" ca="1" si="1"/>
        <v>11</v>
      </c>
      <c r="H39" s="350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39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299</v>
      </c>
      <c r="AR39" s="207" t="s">
        <v>141</v>
      </c>
      <c r="AS39" s="207">
        <v>18</v>
      </c>
      <c r="AT39" s="207" t="s">
        <v>300</v>
      </c>
      <c r="AV39" s="168">
        <f t="shared" si="21"/>
        <v>32</v>
      </c>
      <c r="AW39" s="168">
        <f>COUNTIF( AV$7:AV39, AV39 )</f>
        <v>11</v>
      </c>
      <c r="AX39" s="208">
        <f t="shared" si="22"/>
        <v>33.1</v>
      </c>
      <c r="AY39" s="168">
        <f t="shared" si="23"/>
        <v>42</v>
      </c>
      <c r="AZ39" s="169"/>
      <c r="BA39" s="169"/>
      <c r="BC39" s="168">
        <f t="shared" ca="1" si="24"/>
        <v>33</v>
      </c>
      <c r="BD39" s="209">
        <f t="shared" ca="1" si="6"/>
        <v>5</v>
      </c>
      <c r="BF39" s="173" t="str">
        <f t="shared" ref="BF39:BI63" ca="1" si="25">OFFSET( AQ$6, $BD39, 0 )</f>
        <v>Avista Corporation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AVA</v>
      </c>
    </row>
    <row r="40" spans="1:61" ht="13.8" x14ac:dyDescent="0.25">
      <c r="A40" s="223" t="s">
        <v>245</v>
      </c>
      <c r="B40" s="224" t="s">
        <v>141</v>
      </c>
      <c r="C40" s="224">
        <v>18</v>
      </c>
      <c r="D40" s="224" t="s">
        <v>246</v>
      </c>
      <c r="E40" s="225" t="str">
        <f t="shared" ca="1" si="8"/>
        <v>R</v>
      </c>
      <c r="F40" s="348"/>
      <c r="G40" s="349">
        <f t="shared" ca="1" si="1"/>
        <v>12</v>
      </c>
      <c r="H40" s="350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40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382</v>
      </c>
      <c r="AR40" s="207" t="s">
        <v>140</v>
      </c>
      <c r="AS40" s="207">
        <v>19</v>
      </c>
      <c r="AT40" s="207" t="s">
        <v>383</v>
      </c>
      <c r="AV40" s="168">
        <f t="shared" si="21"/>
        <v>15</v>
      </c>
      <c r="AW40" s="168">
        <f>COUNTIF( AV$7:AV40, AV40 )</f>
        <v>11</v>
      </c>
      <c r="AX40" s="208">
        <f t="shared" si="22"/>
        <v>16.100000000000001</v>
      </c>
      <c r="AY40" s="168">
        <f t="shared" si="23"/>
        <v>25</v>
      </c>
      <c r="AZ40" s="169"/>
      <c r="BA40" s="169"/>
      <c r="BC40" s="168">
        <f t="shared" ca="1" si="24"/>
        <v>34</v>
      </c>
      <c r="BD40" s="209">
        <f t="shared" ca="1" si="6"/>
        <v>7</v>
      </c>
      <c r="BF40" s="173" t="str">
        <f t="shared" ca="1" si="25"/>
        <v>Black Hills Corporation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BKH</v>
      </c>
    </row>
    <row r="41" spans="1:61" ht="13.8" x14ac:dyDescent="0.25">
      <c r="A41" s="223" t="s">
        <v>328</v>
      </c>
      <c r="B41" s="224" t="s">
        <v>141</v>
      </c>
      <c r="C41" s="224">
        <v>18</v>
      </c>
      <c r="D41" s="224" t="s">
        <v>331</v>
      </c>
      <c r="E41" s="225" t="str">
        <f t="shared" ca="1" si="8"/>
        <v>R</v>
      </c>
      <c r="F41" s="348"/>
      <c r="G41" s="349">
        <f t="shared" ca="1" si="1"/>
        <v>21</v>
      </c>
      <c r="H41" s="350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301</v>
      </c>
      <c r="AR41" s="207" t="s">
        <v>141</v>
      </c>
      <c r="AS41" s="207">
        <v>18</v>
      </c>
      <c r="AT41" s="207" t="s">
        <v>302</v>
      </c>
      <c r="AV41" s="168">
        <f t="shared" si="21"/>
        <v>32</v>
      </c>
      <c r="AW41" s="168">
        <f>COUNTIF( AV$7:AV41, AV41 )</f>
        <v>12</v>
      </c>
      <c r="AX41" s="208">
        <f t="shared" si="22"/>
        <v>33.200000000000003</v>
      </c>
      <c r="AY41" s="168">
        <f t="shared" si="23"/>
        <v>43</v>
      </c>
      <c r="AZ41" s="169"/>
      <c r="BA41" s="169"/>
      <c r="BC41" s="168">
        <f t="shared" ca="1" si="24"/>
        <v>35</v>
      </c>
      <c r="BD41" s="209">
        <f t="shared" ca="1" si="6"/>
        <v>17</v>
      </c>
      <c r="BF41" s="173" t="str">
        <f t="shared" ca="1" si="25"/>
        <v>El Paso Electric Company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EE</v>
      </c>
    </row>
    <row r="42" spans="1:61" ht="13.8" x14ac:dyDescent="0.25">
      <c r="A42" s="223" t="s">
        <v>367</v>
      </c>
      <c r="B42" s="224" t="s">
        <v>141</v>
      </c>
      <c r="C42" s="224">
        <v>18</v>
      </c>
      <c r="D42" s="224" t="s">
        <v>368</v>
      </c>
      <c r="E42" s="225" t="str">
        <f t="shared" ca="1" si="8"/>
        <v>R</v>
      </c>
      <c r="F42" s="348"/>
      <c r="G42" s="349">
        <f t="shared" ca="1" si="1"/>
        <v>22</v>
      </c>
      <c r="H42" s="350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281</v>
      </c>
      <c r="AR42" s="207" t="s">
        <v>139</v>
      </c>
      <c r="AS42" s="207">
        <v>20</v>
      </c>
      <c r="AT42" s="207" t="s">
        <v>282</v>
      </c>
      <c r="AV42" s="168">
        <f t="shared" si="21"/>
        <v>2</v>
      </c>
      <c r="AW42" s="168">
        <f>COUNTIF( AV$7:AV42, AV42 )</f>
        <v>8</v>
      </c>
      <c r="AX42" s="208">
        <f t="shared" si="22"/>
        <v>2.8</v>
      </c>
      <c r="AY42" s="168">
        <f t="shared" si="23"/>
        <v>9</v>
      </c>
      <c r="AZ42" s="169"/>
      <c r="BA42" s="169"/>
      <c r="BC42" s="168">
        <f t="shared" ca="1" si="24"/>
        <v>36</v>
      </c>
      <c r="BD42" s="209">
        <f t="shared" ca="1" si="6"/>
        <v>18</v>
      </c>
      <c r="BF42" s="173" t="str">
        <f t="shared" ca="1" si="25"/>
        <v>Empire District Electric Company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EDE</v>
      </c>
    </row>
    <row r="43" spans="1:61" ht="13.8" x14ac:dyDescent="0.25">
      <c r="A43" s="223" t="s">
        <v>267</v>
      </c>
      <c r="B43" s="224" t="s">
        <v>141</v>
      </c>
      <c r="C43" s="224">
        <v>18</v>
      </c>
      <c r="D43" s="224" t="s">
        <v>268</v>
      </c>
      <c r="E43" s="225" t="str">
        <f t="shared" ca="1" si="8"/>
        <v>R</v>
      </c>
      <c r="F43" s="348"/>
      <c r="G43" s="349">
        <f t="shared" ca="1" si="1"/>
        <v>23</v>
      </c>
      <c r="H43" s="350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303</v>
      </c>
      <c r="AR43" s="207" t="s">
        <v>141</v>
      </c>
      <c r="AS43" s="207">
        <v>18</v>
      </c>
      <c r="AT43" s="207" t="s">
        <v>304</v>
      </c>
      <c r="AV43" s="168">
        <f t="shared" si="21"/>
        <v>32</v>
      </c>
      <c r="AW43" s="168">
        <f>COUNTIF( AV$7:AV43, AV43 )</f>
        <v>13</v>
      </c>
      <c r="AX43" s="208">
        <f t="shared" si="22"/>
        <v>33.299999999999997</v>
      </c>
      <c r="AY43" s="168">
        <f t="shared" si="23"/>
        <v>44</v>
      </c>
      <c r="AZ43" s="169"/>
      <c r="BA43" s="169"/>
      <c r="BC43" s="168">
        <f t="shared" ca="1" si="24"/>
        <v>37</v>
      </c>
      <c r="BD43" s="209">
        <f t="shared" ca="1" si="6"/>
        <v>19</v>
      </c>
      <c r="BF43" s="173" t="str">
        <f t="shared" ca="1" si="25"/>
        <v>Entergy Corporation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ETR</v>
      </c>
    </row>
    <row r="44" spans="1:61" ht="13.8" x14ac:dyDescent="0.25">
      <c r="A44" s="223" t="s">
        <v>269</v>
      </c>
      <c r="B44" s="224" t="s">
        <v>141</v>
      </c>
      <c r="C44" s="224">
        <v>18</v>
      </c>
      <c r="D44" s="224" t="s">
        <v>270</v>
      </c>
      <c r="E44" s="225" t="str">
        <f t="shared" ca="1" si="8"/>
        <v>MR</v>
      </c>
      <c r="F44" s="348"/>
      <c r="G44" s="349">
        <f t="shared" ca="1" si="1"/>
        <v>24</v>
      </c>
      <c r="H44" s="350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285</v>
      </c>
      <c r="AR44" s="207" t="s">
        <v>141</v>
      </c>
      <c r="AS44" s="207">
        <v>18</v>
      </c>
      <c r="AT44" s="207" t="s">
        <v>286</v>
      </c>
      <c r="AV44" s="168">
        <f t="shared" si="21"/>
        <v>32</v>
      </c>
      <c r="AW44" s="168">
        <f>COUNTIF( AV$7:AV44, AV44 )</f>
        <v>14</v>
      </c>
      <c r="AX44" s="208">
        <f t="shared" si="22"/>
        <v>33.4</v>
      </c>
      <c r="AY44" s="168">
        <f t="shared" si="23"/>
        <v>45</v>
      </c>
      <c r="AZ44" s="169"/>
      <c r="BA44" s="169"/>
      <c r="BC44" s="168">
        <f t="shared" ca="1" si="24"/>
        <v>38</v>
      </c>
      <c r="BD44" s="209">
        <f t="shared" ca="1" si="6"/>
        <v>21</v>
      </c>
      <c r="BF44" s="173" t="str">
        <f t="shared" ca="1" si="25"/>
        <v>Exelon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EXC</v>
      </c>
    </row>
    <row r="45" spans="1:61" ht="13.8" x14ac:dyDescent="0.25">
      <c r="A45" s="223" t="s">
        <v>387</v>
      </c>
      <c r="B45" s="224" t="s">
        <v>141</v>
      </c>
      <c r="C45" s="224">
        <v>18</v>
      </c>
      <c r="D45" s="319" t="s">
        <v>234</v>
      </c>
      <c r="E45" s="225" t="str">
        <f t="shared" ca="1" si="8"/>
        <v>R</v>
      </c>
      <c r="F45" s="348"/>
      <c r="G45" s="349">
        <f t="shared" ca="1" si="1"/>
        <v>56</v>
      </c>
      <c r="H45" s="350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330"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243</v>
      </c>
      <c r="AR45" s="207" t="s">
        <v>139</v>
      </c>
      <c r="AS45" s="207">
        <v>20</v>
      </c>
      <c r="AT45" s="207" t="s">
        <v>244</v>
      </c>
      <c r="AV45" s="168">
        <f t="shared" si="21"/>
        <v>2</v>
      </c>
      <c r="AW45" s="168">
        <f>COUNTIF( AV$7:AV45, AV45 )</f>
        <v>9</v>
      </c>
      <c r="AX45" s="208">
        <f t="shared" si="22"/>
        <v>2.9</v>
      </c>
      <c r="AY45" s="168">
        <f t="shared" si="23"/>
        <v>10</v>
      </c>
      <c r="AZ45" s="169"/>
      <c r="BA45" s="169"/>
      <c r="BC45" s="168">
        <f t="shared" ca="1" si="24"/>
        <v>39</v>
      </c>
      <c r="BD45" s="209">
        <f t="shared" ca="1" si="6"/>
        <v>25</v>
      </c>
      <c r="BF45" s="173" t="str">
        <f t="shared" ca="1" si="25"/>
        <v>Iberdrola USA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**EAST</v>
      </c>
    </row>
    <row r="46" spans="1:61" ht="13.8" x14ac:dyDescent="0.25">
      <c r="A46" s="223" t="s">
        <v>283</v>
      </c>
      <c r="B46" s="224" t="s">
        <v>141</v>
      </c>
      <c r="C46" s="224">
        <v>18</v>
      </c>
      <c r="D46" s="224" t="s">
        <v>284</v>
      </c>
      <c r="E46" s="225" t="str">
        <f t="shared" ca="1" si="8"/>
        <v>R</v>
      </c>
      <c r="F46" s="348"/>
      <c r="G46" s="349">
        <f t="shared" ca="1" si="1"/>
        <v>28</v>
      </c>
      <c r="H46" s="350"/>
      <c r="I46" s="191"/>
      <c r="K46" s="191"/>
      <c r="N46" s="351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46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289</v>
      </c>
      <c r="AR46" s="207" t="s">
        <v>140</v>
      </c>
      <c r="AS46" s="207">
        <v>19</v>
      </c>
      <c r="AT46" s="207" t="s">
        <v>290</v>
      </c>
      <c r="AV46" s="168">
        <f t="shared" si="21"/>
        <v>15</v>
      </c>
      <c r="AW46" s="168">
        <f>COUNTIF( AV$7:AV46, AV46 )</f>
        <v>12</v>
      </c>
      <c r="AX46" s="208">
        <f t="shared" si="22"/>
        <v>16.2</v>
      </c>
      <c r="AY46" s="168">
        <f t="shared" si="23"/>
        <v>26</v>
      </c>
      <c r="AZ46" s="169"/>
      <c r="BA46" s="169"/>
      <c r="BC46" s="168">
        <f t="shared" ca="1" si="24"/>
        <v>40</v>
      </c>
      <c r="BD46" s="209">
        <f t="shared" ca="1" si="6"/>
        <v>26</v>
      </c>
      <c r="BF46" s="173" t="str">
        <f t="shared" ca="1" si="25"/>
        <v>IDACORP, Inc.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IDA</v>
      </c>
    </row>
    <row r="47" spans="1:61" ht="13.8" x14ac:dyDescent="0.25">
      <c r="A47" s="223" t="s">
        <v>297</v>
      </c>
      <c r="B47" s="224" t="s">
        <v>141</v>
      </c>
      <c r="C47" s="224">
        <v>18</v>
      </c>
      <c r="D47" s="224" t="s">
        <v>298</v>
      </c>
      <c r="E47" s="225" t="str">
        <f t="shared" ca="1" si="8"/>
        <v>R</v>
      </c>
      <c r="F47" s="348"/>
      <c r="G47" s="349">
        <f t="shared" ca="1" si="1"/>
        <v>35</v>
      </c>
      <c r="H47" s="350"/>
      <c r="I47" s="350"/>
      <c r="J47" s="187" t="s">
        <v>373</v>
      </c>
      <c r="K47" s="191"/>
      <c r="M47" s="351"/>
      <c r="N47" s="351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47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305</v>
      </c>
      <c r="AR47" s="207" t="s">
        <v>142</v>
      </c>
      <c r="AS47" s="207">
        <v>17</v>
      </c>
      <c r="AT47" s="207" t="s">
        <v>306</v>
      </c>
      <c r="AV47" s="168">
        <f t="shared" si="21"/>
        <v>47</v>
      </c>
      <c r="AW47" s="168">
        <f>COUNTIF( AV$7:AV47, AV47 )</f>
        <v>3</v>
      </c>
      <c r="AX47" s="208">
        <f t="shared" si="22"/>
        <v>47.3</v>
      </c>
      <c r="AY47" s="168">
        <f t="shared" si="23"/>
        <v>49</v>
      </c>
      <c r="AZ47" s="169"/>
      <c r="BA47" s="169"/>
      <c r="BC47" s="168">
        <f t="shared" ca="1" si="24"/>
        <v>41</v>
      </c>
      <c r="BD47" s="209">
        <f t="shared" ca="1" si="6"/>
        <v>31</v>
      </c>
      <c r="BF47" s="173" t="str">
        <f t="shared" ca="1" si="25"/>
        <v>NorthWestern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NWE</v>
      </c>
    </row>
    <row r="48" spans="1:61" ht="13.8" x14ac:dyDescent="0.25">
      <c r="A48" s="223" t="s">
        <v>299</v>
      </c>
      <c r="B48" s="224" t="s">
        <v>141</v>
      </c>
      <c r="C48" s="224">
        <v>18</v>
      </c>
      <c r="D48" s="224" t="s">
        <v>300</v>
      </c>
      <c r="E48" s="225" t="str">
        <f t="shared" ca="1" si="8"/>
        <v>R</v>
      </c>
      <c r="F48" s="348"/>
      <c r="G48" s="349">
        <f t="shared" ca="1" si="1"/>
        <v>37</v>
      </c>
      <c r="H48" s="350"/>
      <c r="I48" s="350"/>
      <c r="K48" s="191"/>
      <c r="M48" s="351"/>
      <c r="N48" s="351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48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347</v>
      </c>
      <c r="AR48" s="207" t="s">
        <v>140</v>
      </c>
      <c r="AS48" s="207">
        <v>19</v>
      </c>
      <c r="AT48" s="207" t="s">
        <v>348</v>
      </c>
      <c r="AV48" s="168">
        <f t="shared" si="21"/>
        <v>15</v>
      </c>
      <c r="AW48" s="168">
        <f>COUNTIF( AV$7:AV48, AV48 )</f>
        <v>13</v>
      </c>
      <c r="AX48" s="208">
        <f t="shared" si="22"/>
        <v>16.3</v>
      </c>
      <c r="AY48" s="168">
        <f t="shared" si="23"/>
        <v>27</v>
      </c>
      <c r="AZ48" s="169"/>
      <c r="BA48" s="169"/>
      <c r="BC48" s="168">
        <f t="shared" ca="1" si="24"/>
        <v>42</v>
      </c>
      <c r="BD48" s="209">
        <f t="shared" ca="1" si="6"/>
        <v>33</v>
      </c>
      <c r="BF48" s="173" t="str">
        <f t="shared" ca="1" si="25"/>
        <v>Otter Tail Corporation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OTTR</v>
      </c>
    </row>
    <row r="49" spans="1:61" ht="13.8" x14ac:dyDescent="0.25">
      <c r="A49" s="223" t="s">
        <v>301</v>
      </c>
      <c r="B49" s="224" t="s">
        <v>141</v>
      </c>
      <c r="C49" s="224">
        <v>18</v>
      </c>
      <c r="D49" s="224" t="s">
        <v>302</v>
      </c>
      <c r="E49" s="225" t="str">
        <f t="shared" ca="1" si="8"/>
        <v>R</v>
      </c>
      <c r="F49" s="348"/>
      <c r="G49" s="349">
        <f t="shared" ca="1" si="1"/>
        <v>39</v>
      </c>
      <c r="H49" s="350"/>
      <c r="I49" s="350"/>
      <c r="J49" s="191"/>
      <c r="K49" s="191"/>
      <c r="M49" s="351"/>
      <c r="N49" s="351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4"/>
        <v/>
      </c>
      <c r="AQ49" s="207" t="s">
        <v>291</v>
      </c>
      <c r="AR49" s="207" t="s">
        <v>140</v>
      </c>
      <c r="AS49" s="207">
        <v>19</v>
      </c>
      <c r="AT49" s="207" t="s">
        <v>292</v>
      </c>
      <c r="AV49" s="168">
        <f t="shared" si="21"/>
        <v>15</v>
      </c>
      <c r="AW49" s="168">
        <f>COUNTIF( AV$7:AV49, AV49 )</f>
        <v>14</v>
      </c>
      <c r="AX49" s="208">
        <f t="shared" si="22"/>
        <v>16.399999999999999</v>
      </c>
      <c r="AY49" s="168">
        <f t="shared" si="23"/>
        <v>28</v>
      </c>
      <c r="AZ49" s="169"/>
      <c r="BA49" s="169"/>
      <c r="BC49" s="168">
        <f t="shared" ca="1" si="24"/>
        <v>43</v>
      </c>
      <c r="BD49" s="209">
        <f t="shared" ca="1" si="6"/>
        <v>35</v>
      </c>
      <c r="BF49" s="173" t="str">
        <f t="shared" ca="1" si="25"/>
        <v>PG&amp;E Corporation</v>
      </c>
      <c r="BG49" s="173" t="str">
        <f t="shared" ca="1" si="25"/>
        <v>BBB</v>
      </c>
      <c r="BH49" s="173">
        <f t="shared" ca="1" si="25"/>
        <v>18</v>
      </c>
      <c r="BI49" s="173" t="str">
        <f t="shared" ca="1" si="25"/>
        <v>PCG</v>
      </c>
    </row>
    <row r="50" spans="1:61" ht="13.8" x14ac:dyDescent="0.25">
      <c r="A50" s="223" t="s">
        <v>303</v>
      </c>
      <c r="B50" s="224" t="s">
        <v>141</v>
      </c>
      <c r="C50" s="224">
        <v>18</v>
      </c>
      <c r="D50" s="224" t="s">
        <v>304</v>
      </c>
      <c r="E50" s="225" t="str">
        <f t="shared" ca="1" si="8"/>
        <v>R</v>
      </c>
      <c r="F50" s="348"/>
      <c r="G50" s="349">
        <f t="shared" ca="1" si="1"/>
        <v>41</v>
      </c>
      <c r="H50" s="350"/>
      <c r="I50" s="350"/>
      <c r="J50" s="191"/>
      <c r="K50" s="191"/>
      <c r="M50" s="351"/>
      <c r="N50" s="351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50</v>
      </c>
      <c r="AK50" s="169" t="str">
        <f t="shared" ca="1" si="20"/>
        <v>BBB</v>
      </c>
      <c r="AL50" s="169">
        <f t="shared" ca="1" si="20"/>
        <v>18</v>
      </c>
      <c r="AM50" s="169" t="str">
        <f t="shared" ca="1" si="4"/>
        <v/>
      </c>
      <c r="AQ50" s="207" t="s">
        <v>293</v>
      </c>
      <c r="AR50" s="207" t="s">
        <v>139</v>
      </c>
      <c r="AS50" s="207">
        <v>20</v>
      </c>
      <c r="AT50" s="207" t="s">
        <v>294</v>
      </c>
      <c r="AV50" s="168">
        <f t="shared" si="21"/>
        <v>2</v>
      </c>
      <c r="AW50" s="168">
        <f>COUNTIF( AV$7:AV50, AV50 )</f>
        <v>10</v>
      </c>
      <c r="AX50" s="208">
        <f t="shared" si="22"/>
        <v>3</v>
      </c>
      <c r="AY50" s="168">
        <f t="shared" si="23"/>
        <v>11</v>
      </c>
      <c r="AZ50" s="169"/>
      <c r="BA50" s="169"/>
      <c r="BC50" s="168">
        <f t="shared" ca="1" si="24"/>
        <v>44</v>
      </c>
      <c r="BD50" s="209">
        <f t="shared" ca="1" si="6"/>
        <v>37</v>
      </c>
      <c r="BF50" s="173" t="str">
        <f t="shared" ca="1" si="25"/>
        <v>PNM Resources, Inc.</v>
      </c>
      <c r="BG50" s="173" t="str">
        <f t="shared" ca="1" si="25"/>
        <v>BBB</v>
      </c>
      <c r="BH50" s="173">
        <f t="shared" ca="1" si="25"/>
        <v>18</v>
      </c>
      <c r="BI50" s="173" t="str">
        <f t="shared" ca="1" si="25"/>
        <v>PNM</v>
      </c>
    </row>
    <row r="51" spans="1:61" ht="13.8" x14ac:dyDescent="0.25">
      <c r="A51" s="223" t="s">
        <v>285</v>
      </c>
      <c r="B51" s="224" t="s">
        <v>141</v>
      </c>
      <c r="C51" s="224">
        <v>18</v>
      </c>
      <c r="D51" s="224" t="s">
        <v>286</v>
      </c>
      <c r="E51" s="225" t="str">
        <f t="shared" ca="1" si="8"/>
        <v>R</v>
      </c>
      <c r="F51" s="348"/>
      <c r="G51" s="349">
        <f t="shared" ca="1" si="1"/>
        <v>42</v>
      </c>
      <c r="H51" s="350"/>
      <c r="I51" s="350"/>
      <c r="J51" s="191"/>
      <c r="K51" s="191"/>
      <c r="M51" s="351"/>
      <c r="N51" s="351"/>
      <c r="AF51" s="169">
        <f t="shared" si="2"/>
        <v>0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51</v>
      </c>
      <c r="AK51" s="169" t="str">
        <f t="shared" ca="1" si="20"/>
        <v>BBB</v>
      </c>
      <c r="AL51" s="169">
        <f t="shared" ca="1" si="20"/>
        <v>18</v>
      </c>
      <c r="AM51" s="169" t="str">
        <f t="shared" ca="1" si="4"/>
        <v/>
      </c>
      <c r="AQ51" s="207" t="s">
        <v>369</v>
      </c>
      <c r="AR51" s="207" t="s">
        <v>140</v>
      </c>
      <c r="AS51" s="207">
        <v>19</v>
      </c>
      <c r="AT51" s="207" t="s">
        <v>375</v>
      </c>
      <c r="AV51" s="168">
        <f t="shared" si="21"/>
        <v>15</v>
      </c>
      <c r="AW51" s="168">
        <f>COUNTIF( AV$7:AV51, AV51 )</f>
        <v>15</v>
      </c>
      <c r="AX51" s="208">
        <f t="shared" si="22"/>
        <v>16.5</v>
      </c>
      <c r="AY51" s="168">
        <f t="shared" si="23"/>
        <v>29</v>
      </c>
      <c r="AZ51" s="169"/>
      <c r="BA51" s="169"/>
      <c r="BC51" s="168">
        <f t="shared" ca="1" si="24"/>
        <v>45</v>
      </c>
      <c r="BD51" s="209">
        <f t="shared" ca="1" si="6"/>
        <v>38</v>
      </c>
      <c r="BF51" s="173" t="str">
        <f t="shared" ca="1" si="25"/>
        <v>Portland General Electric Company</v>
      </c>
      <c r="BG51" s="173" t="str">
        <f t="shared" ca="1" si="25"/>
        <v>BBB</v>
      </c>
      <c r="BH51" s="173">
        <f t="shared" ca="1" si="25"/>
        <v>18</v>
      </c>
      <c r="BI51" s="173" t="str">
        <f t="shared" ca="1" si="25"/>
        <v>POR</v>
      </c>
    </row>
    <row r="52" spans="1:61" ht="13.8" x14ac:dyDescent="0.25">
      <c r="A52" s="223" t="s">
        <v>389</v>
      </c>
      <c r="B52" s="224" t="s">
        <v>141</v>
      </c>
      <c r="C52" s="224">
        <v>18</v>
      </c>
      <c r="D52" s="224" t="s">
        <v>390</v>
      </c>
      <c r="E52" s="225" t="str">
        <f t="shared" ca="1" si="8"/>
        <v>R</v>
      </c>
      <c r="F52" s="348"/>
      <c r="G52" s="349">
        <f t="shared" ca="1" si="1"/>
        <v>49</v>
      </c>
      <c r="H52" s="350"/>
      <c r="I52" s="350"/>
      <c r="J52" s="191"/>
      <c r="K52" s="191"/>
      <c r="AF52" s="169">
        <f t="shared" si="2"/>
        <v>0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52</v>
      </c>
      <c r="AK52" s="169" t="str">
        <f t="shared" ca="1" si="20"/>
        <v>BBB</v>
      </c>
      <c r="AL52" s="169">
        <f t="shared" ca="1" si="20"/>
        <v>18</v>
      </c>
      <c r="AM52" s="169" t="str">
        <f t="shared" ca="1" si="4"/>
        <v/>
      </c>
      <c r="AQ52" s="207" t="s">
        <v>389</v>
      </c>
      <c r="AR52" s="207" t="s">
        <v>141</v>
      </c>
      <c r="AS52" s="207">
        <v>18</v>
      </c>
      <c r="AT52" s="207" t="s">
        <v>390</v>
      </c>
      <c r="AV52" s="168">
        <f t="shared" si="21"/>
        <v>32</v>
      </c>
      <c r="AW52" s="168">
        <f>COUNTIF( AV$7:AV52, AV52 )</f>
        <v>15</v>
      </c>
      <c r="AX52" s="208">
        <f t="shared" si="22"/>
        <v>33.5</v>
      </c>
      <c r="AY52" s="168">
        <f t="shared" si="23"/>
        <v>46</v>
      </c>
      <c r="AZ52" s="169"/>
      <c r="BA52" s="169"/>
      <c r="BC52" s="168">
        <f t="shared" ca="1" si="24"/>
        <v>46</v>
      </c>
      <c r="BD52" s="209">
        <f t="shared" ca="1" si="6"/>
        <v>46</v>
      </c>
      <c r="BF52" s="173" t="str">
        <f t="shared" ca="1" si="25"/>
        <v>UIL Holdings Corporation</v>
      </c>
      <c r="BG52" s="173" t="str">
        <f t="shared" ca="1" si="25"/>
        <v>BBB</v>
      </c>
      <c r="BH52" s="173">
        <f t="shared" ca="1" si="25"/>
        <v>18</v>
      </c>
      <c r="BI52" s="173" t="str">
        <f t="shared" ca="1" si="25"/>
        <v>UIL</v>
      </c>
    </row>
    <row r="53" spans="1:61" ht="13.8" x14ac:dyDescent="0.25">
      <c r="A53" s="223" t="s">
        <v>275</v>
      </c>
      <c r="B53" s="224" t="s">
        <v>142</v>
      </c>
      <c r="C53" s="224">
        <v>17</v>
      </c>
      <c r="D53" s="224" t="s">
        <v>276</v>
      </c>
      <c r="E53" s="225" t="str">
        <f t="shared" ca="1" si="8"/>
        <v>MR</v>
      </c>
      <c r="F53" s="348"/>
      <c r="G53" s="349">
        <f t="shared" ca="1" si="1"/>
        <v>25</v>
      </c>
      <c r="H53" s="350"/>
      <c r="I53" s="350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295</v>
      </c>
      <c r="AR53" s="207" t="s">
        <v>140</v>
      </c>
      <c r="AS53" s="207">
        <v>19</v>
      </c>
      <c r="AT53" s="207" t="s">
        <v>376</v>
      </c>
      <c r="AV53" s="168">
        <f t="shared" si="21"/>
        <v>15</v>
      </c>
      <c r="AW53" s="168">
        <f>COUNTIF( AV$7:AV53, AV53 )</f>
        <v>16</v>
      </c>
      <c r="AX53" s="208">
        <f t="shared" si="22"/>
        <v>16.600000000000001</v>
      </c>
      <c r="AY53" s="168">
        <f t="shared" si="23"/>
        <v>30</v>
      </c>
      <c r="AZ53" s="169"/>
      <c r="BA53" s="169"/>
      <c r="BC53" s="168">
        <f t="shared" ca="1" si="24"/>
        <v>47</v>
      </c>
      <c r="BD53" s="209">
        <f t="shared" ca="1" si="6"/>
        <v>22</v>
      </c>
      <c r="BF53" s="173" t="str">
        <f t="shared" ca="1" si="25"/>
        <v>FirstEnergy Corp.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FE</v>
      </c>
    </row>
    <row r="54" spans="1:61" ht="13.8" x14ac:dyDescent="0.25">
      <c r="A54" s="223" t="s">
        <v>279</v>
      </c>
      <c r="B54" s="224" t="s">
        <v>142</v>
      </c>
      <c r="C54" s="224">
        <v>17</v>
      </c>
      <c r="D54" s="224" t="s">
        <v>280</v>
      </c>
      <c r="E54" s="225" t="str">
        <f t="shared" ca="1" si="8"/>
        <v>D</v>
      </c>
      <c r="F54" s="348"/>
      <c r="G54" s="349">
        <f t="shared" ca="1" si="1"/>
        <v>27</v>
      </c>
      <c r="H54" s="350"/>
      <c r="I54" s="350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8"/>
        <v/>
      </c>
      <c r="AJ54" s="169">
        <f t="shared" ca="1" si="19"/>
        <v>54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4"/>
        <v/>
      </c>
      <c r="AQ54" s="207" t="s">
        <v>345</v>
      </c>
      <c r="AR54" s="207" t="s">
        <v>139</v>
      </c>
      <c r="AS54" s="207">
        <v>20</v>
      </c>
      <c r="AT54" s="207" t="s">
        <v>346</v>
      </c>
      <c r="AV54" s="168">
        <f t="shared" si="21"/>
        <v>2</v>
      </c>
      <c r="AW54" s="168">
        <f>COUNTIF( AV$7:AV54, AV54 )</f>
        <v>11</v>
      </c>
      <c r="AX54" s="208">
        <f t="shared" si="22"/>
        <v>3.1</v>
      </c>
      <c r="AY54" s="168">
        <f t="shared" si="23"/>
        <v>12</v>
      </c>
      <c r="AZ54" s="169"/>
      <c r="BA54" s="169"/>
      <c r="BC54" s="168">
        <f t="shared" ca="1" si="24"/>
        <v>48</v>
      </c>
      <c r="BD54" s="209">
        <f t="shared" ca="1" si="6"/>
        <v>24</v>
      </c>
      <c r="BF54" s="173" t="str">
        <f t="shared" ca="1" si="25"/>
        <v>Hawaiian Electric Industries, Inc.</v>
      </c>
      <c r="BG54" s="173" t="str">
        <f t="shared" ca="1" si="25"/>
        <v>BBB-</v>
      </c>
      <c r="BH54" s="173">
        <f t="shared" ca="1" si="25"/>
        <v>17</v>
      </c>
      <c r="BI54" s="173" t="str">
        <f t="shared" ca="1" si="25"/>
        <v>HE</v>
      </c>
    </row>
    <row r="55" spans="1:61" ht="13.8" x14ac:dyDescent="0.25">
      <c r="A55" s="223" t="s">
        <v>305</v>
      </c>
      <c r="B55" s="224" t="s">
        <v>142</v>
      </c>
      <c r="C55" s="224">
        <v>17</v>
      </c>
      <c r="D55" s="224" t="s">
        <v>306</v>
      </c>
      <c r="E55" s="225" t="str">
        <f t="shared" ca="1" si="8"/>
        <v>R</v>
      </c>
      <c r="F55" s="348"/>
      <c r="G55" s="349">
        <f t="shared" ca="1" si="1"/>
        <v>61</v>
      </c>
      <c r="H55" s="350"/>
      <c r="I55" s="350"/>
      <c r="J55" s="191"/>
      <c r="K55" s="191"/>
      <c r="AF55" s="169">
        <f t="shared" si="2"/>
        <v>1</v>
      </c>
      <c r="AG55" s="169" t="str">
        <f t="shared" ca="1" si="3"/>
        <v/>
      </c>
      <c r="AH55" s="169" t="str">
        <f t="shared" ca="1" si="18"/>
        <v/>
      </c>
      <c r="AJ55" s="169">
        <f t="shared" ca="1" si="19"/>
        <v>55</v>
      </c>
      <c r="AK55" s="169" t="str">
        <f t="shared" ca="1" si="20"/>
        <v>BBB-</v>
      </c>
      <c r="AL55" s="169">
        <f t="shared" ca="1" si="20"/>
        <v>17</v>
      </c>
      <c r="AM55" s="169" t="str">
        <f t="shared" ca="1" si="4"/>
        <v/>
      </c>
      <c r="AQ55" s="207" t="s">
        <v>354</v>
      </c>
      <c r="AR55" s="207" t="s">
        <v>140</v>
      </c>
      <c r="AS55" s="207">
        <v>19</v>
      </c>
      <c r="AT55" s="207" t="s">
        <v>355</v>
      </c>
      <c r="AV55" s="168">
        <f t="shared" si="21"/>
        <v>15</v>
      </c>
      <c r="AW55" s="168">
        <f>COUNTIF( AV$7:AV55, AV55 )</f>
        <v>17</v>
      </c>
      <c r="AX55" s="208">
        <f t="shared" si="22"/>
        <v>16.7</v>
      </c>
      <c r="AY55" s="168">
        <f t="shared" si="23"/>
        <v>31</v>
      </c>
      <c r="AZ55" s="169"/>
      <c r="BA55" s="169"/>
      <c r="BC55" s="168">
        <f t="shared" ca="1" si="24"/>
        <v>49</v>
      </c>
      <c r="BD55" s="209">
        <f t="shared" ca="1" si="6"/>
        <v>41</v>
      </c>
      <c r="BF55" s="173" t="str">
        <f t="shared" ca="1" si="25"/>
        <v>Puget Energy, Inc.</v>
      </c>
      <c r="BG55" s="173" t="str">
        <f t="shared" ca="1" si="25"/>
        <v>BBB-</v>
      </c>
      <c r="BH55" s="173">
        <f t="shared" ca="1" si="25"/>
        <v>17</v>
      </c>
      <c r="BI55" s="173" t="str">
        <f t="shared" ca="1" si="25"/>
        <v>**PSD</v>
      </c>
    </row>
    <row r="56" spans="1:61" ht="13.8" x14ac:dyDescent="0.25">
      <c r="A56" s="223" t="s">
        <v>287</v>
      </c>
      <c r="B56" s="224" t="s">
        <v>173</v>
      </c>
      <c r="C56" s="224">
        <v>16</v>
      </c>
      <c r="D56" s="224" t="s">
        <v>288</v>
      </c>
      <c r="E56" s="225" t="str">
        <f t="shared" ca="1" si="8"/>
        <v>R</v>
      </c>
      <c r="F56" s="348"/>
      <c r="G56" s="349">
        <f t="shared" ca="1" si="1"/>
        <v>59</v>
      </c>
      <c r="H56" s="350"/>
      <c r="I56" s="350"/>
      <c r="J56" s="191"/>
      <c r="K56" s="191"/>
      <c r="AF56" s="169">
        <f t="shared" si="2"/>
        <v>0</v>
      </c>
      <c r="AG56" s="169" t="str">
        <f t="shared" ca="1" si="3"/>
        <v/>
      </c>
      <c r="AH56" s="169" t="str">
        <f t="shared" ca="1" si="18"/>
        <v/>
      </c>
      <c r="AJ56" s="169">
        <f t="shared" ca="1" si="19"/>
        <v>56</v>
      </c>
      <c r="AK56" s="169" t="str">
        <f t="shared" ca="1" si="20"/>
        <v>BB+</v>
      </c>
      <c r="AL56" s="169">
        <f t="shared" ca="1" si="20"/>
        <v>16</v>
      </c>
      <c r="AM56" s="169" t="str">
        <f t="shared" ca="1" si="4"/>
        <v/>
      </c>
      <c r="AQ56" s="207" t="s">
        <v>386</v>
      </c>
      <c r="AR56" s="207" t="s">
        <v>139</v>
      </c>
      <c r="AS56" s="207">
        <v>20</v>
      </c>
      <c r="AT56" s="207" t="s">
        <v>248</v>
      </c>
      <c r="AV56" s="168">
        <f t="shared" si="21"/>
        <v>2</v>
      </c>
      <c r="AW56" s="168">
        <f>COUNTIF( AV$7:AV56, AV56 )</f>
        <v>12</v>
      </c>
      <c r="AX56" s="208">
        <f t="shared" si="22"/>
        <v>3.2</v>
      </c>
      <c r="AY56" s="168">
        <f t="shared" si="23"/>
        <v>13</v>
      </c>
      <c r="AZ56" s="169"/>
      <c r="BA56" s="169"/>
      <c r="BC56" s="168">
        <f t="shared" ca="1" si="24"/>
        <v>50</v>
      </c>
      <c r="BD56" s="209">
        <f t="shared" ca="1" si="6"/>
        <v>27</v>
      </c>
      <c r="BF56" s="173" t="str">
        <f t="shared" ca="1" si="25"/>
        <v>IPALCO Enterprises, Inc.</v>
      </c>
      <c r="BG56" s="173" t="str">
        <f t="shared" ca="1" si="25"/>
        <v>BB+</v>
      </c>
      <c r="BH56" s="173">
        <f t="shared" ca="1" si="25"/>
        <v>16</v>
      </c>
      <c r="BI56" s="173" t="str">
        <f t="shared" ca="1" si="25"/>
        <v>**IPALCO</v>
      </c>
    </row>
    <row r="57" spans="1:61" ht="13.8" x14ac:dyDescent="0.25">
      <c r="A57" s="223" t="s">
        <v>259</v>
      </c>
      <c r="B57" s="224" t="s">
        <v>175</v>
      </c>
      <c r="C57" s="224">
        <v>15</v>
      </c>
      <c r="D57" s="224" t="s">
        <v>260</v>
      </c>
      <c r="E57" s="225" t="str">
        <f t="shared" ca="1" si="8"/>
        <v>R</v>
      </c>
      <c r="F57" s="348"/>
      <c r="G57" s="349">
        <f t="shared" ca="1" si="1"/>
        <v>57</v>
      </c>
      <c r="H57" s="350"/>
      <c r="I57" s="350"/>
      <c r="J57" s="191"/>
      <c r="K57" s="191"/>
      <c r="AF57" s="169">
        <f t="shared" si="2"/>
        <v>1</v>
      </c>
      <c r="AG57" s="169" t="str">
        <f t="shared" ca="1" si="3"/>
        <v/>
      </c>
      <c r="AH57" s="169" t="str">
        <f t="shared" ca="1" si="18"/>
        <v/>
      </c>
      <c r="AJ57" s="169">
        <f t="shared" ca="1" si="19"/>
        <v>57</v>
      </c>
      <c r="AK57" s="169" t="str">
        <f t="shared" ca="1" si="20"/>
        <v>BB</v>
      </c>
      <c r="AL57" s="169">
        <f t="shared" ca="1" si="20"/>
        <v>15</v>
      </c>
      <c r="AM57" s="169" t="str">
        <f t="shared" ca="1" si="4"/>
        <v/>
      </c>
      <c r="AQ57" s="207" t="s">
        <v>251</v>
      </c>
      <c r="AR57" s="207" t="s">
        <v>139</v>
      </c>
      <c r="AS57" s="207">
        <v>20</v>
      </c>
      <c r="AT57" s="207" t="s">
        <v>252</v>
      </c>
      <c r="AV57" s="168">
        <f t="shared" si="21"/>
        <v>2</v>
      </c>
      <c r="AW57" s="168">
        <f>COUNTIF( AV$7:AV57, AV57 )</f>
        <v>13</v>
      </c>
      <c r="AX57" s="208">
        <f t="shared" si="22"/>
        <v>3.3</v>
      </c>
      <c r="AY57" s="168">
        <f t="shared" si="23"/>
        <v>14</v>
      </c>
      <c r="AZ57" s="169"/>
      <c r="BA57" s="169"/>
      <c r="BC57" s="168">
        <f t="shared" ca="1" si="24"/>
        <v>51</v>
      </c>
      <c r="BD57" s="209">
        <f t="shared" ca="1" si="6"/>
        <v>13</v>
      </c>
      <c r="BF57" s="173" t="str">
        <f t="shared" ca="1" si="25"/>
        <v>DPL Inc.</v>
      </c>
      <c r="BG57" s="173" t="str">
        <f t="shared" ca="1" si="25"/>
        <v>BB</v>
      </c>
      <c r="BH57" s="173">
        <f t="shared" ca="1" si="25"/>
        <v>15</v>
      </c>
      <c r="BI57" s="173" t="str">
        <f t="shared" ca="1" si="25"/>
        <v>**DPL</v>
      </c>
    </row>
    <row r="58" spans="1:61" ht="13.8" x14ac:dyDescent="0.25">
      <c r="A58" s="223"/>
      <c r="B58" s="224"/>
      <c r="C58" s="224"/>
      <c r="D58" s="224"/>
      <c r="E58" s="225" t="str">
        <f t="shared" ca="1" si="8"/>
        <v/>
      </c>
      <c r="F58" s="348"/>
      <c r="G58" s="349" t="str">
        <f t="shared" ca="1" si="1"/>
        <v/>
      </c>
      <c r="H58" s="350"/>
      <c r="I58" s="350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1</v>
      </c>
      <c r="AX58" s="208">
        <f t="shared" si="22"/>
        <v>99.1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8" x14ac:dyDescent="0.25">
      <c r="A59" s="223"/>
      <c r="B59" s="224"/>
      <c r="C59" s="224"/>
      <c r="D59" s="224"/>
      <c r="E59" s="225" t="str">
        <f t="shared" ca="1" si="8"/>
        <v/>
      </c>
      <c r="F59" s="348"/>
      <c r="G59" s="349" t="str">
        <f t="shared" ca="1" si="1"/>
        <v/>
      </c>
      <c r="H59" s="350"/>
      <c r="I59" s="350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2</v>
      </c>
      <c r="AX59" s="208">
        <f t="shared" si="22"/>
        <v>99.2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" thickBot="1" x14ac:dyDescent="0.3">
      <c r="A60" s="192"/>
      <c r="B60" s="193"/>
      <c r="C60" s="193"/>
      <c r="D60" s="193"/>
      <c r="E60" s="194" t="str">
        <f t="shared" ca="1" si="8"/>
        <v/>
      </c>
      <c r="F60" s="350"/>
      <c r="G60" s="353" t="str">
        <f t="shared" ca="1" si="1"/>
        <v/>
      </c>
      <c r="H60" s="350"/>
      <c r="I60" s="350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3</v>
      </c>
      <c r="AX60" s="208">
        <f t="shared" si="22"/>
        <v>99.3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8" x14ac:dyDescent="0.25">
      <c r="A61" s="226" t="s">
        <v>384</v>
      </c>
      <c r="B61" s="227" t="s">
        <v>162</v>
      </c>
      <c r="C61" s="227">
        <v>23</v>
      </c>
      <c r="D61" s="227" t="s">
        <v>309</v>
      </c>
      <c r="E61" s="228" t="str">
        <f t="shared" ca="1" si="8"/>
        <v>MR</v>
      </c>
      <c r="F61" s="354"/>
      <c r="G61" s="355">
        <f t="shared" ca="1" si="1"/>
        <v>31</v>
      </c>
      <c r="H61" s="350"/>
      <c r="I61" s="350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4</v>
      </c>
      <c r="AX61" s="208">
        <f t="shared" si="22"/>
        <v>99.4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8" x14ac:dyDescent="0.25">
      <c r="A62" s="223" t="s">
        <v>371</v>
      </c>
      <c r="B62" s="224"/>
      <c r="C62" s="224"/>
      <c r="D62" s="224" t="s">
        <v>359</v>
      </c>
      <c r="E62" s="225" t="str">
        <f t="shared" ca="1" si="8"/>
        <v>D</v>
      </c>
      <c r="F62" s="348"/>
      <c r="G62" s="349">
        <f t="shared" ca="1" si="1"/>
        <v>58</v>
      </c>
      <c r="H62" s="350"/>
      <c r="I62" s="350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>
        <f t="shared" ca="1" si="19"/>
        <v>62</v>
      </c>
      <c r="AK62" s="169">
        <f t="shared" ca="1" si="20"/>
        <v>0</v>
      </c>
      <c r="AL62" s="169">
        <f t="shared" ca="1" si="20"/>
        <v>0</v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5</v>
      </c>
      <c r="AX62" s="208">
        <f t="shared" si="22"/>
        <v>99.5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/>
      <c r="B63" s="229"/>
      <c r="C63" s="224"/>
      <c r="D63" s="224"/>
      <c r="E63" s="225"/>
      <c r="F63" s="348"/>
      <c r="G63" s="349"/>
      <c r="H63" s="350"/>
      <c r="I63" s="350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6</v>
      </c>
      <c r="AX63" s="208">
        <f t="shared" si="22"/>
        <v>99.6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/>
      <c r="B64" s="229"/>
      <c r="C64" s="224"/>
      <c r="D64" s="224"/>
      <c r="E64" s="225"/>
      <c r="F64" s="348"/>
      <c r="G64" s="349"/>
      <c r="H64" s="350"/>
      <c r="I64" s="350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308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58" ht="13.8" x14ac:dyDescent="0.25">
      <c r="A65" s="223"/>
      <c r="B65" s="229"/>
      <c r="C65" s="224"/>
      <c r="D65" s="224"/>
      <c r="E65" s="225"/>
      <c r="F65" s="348"/>
      <c r="G65" s="349"/>
      <c r="H65" s="350"/>
      <c r="I65" s="350"/>
      <c r="N65" s="168" t="s">
        <v>310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 t="s">
        <v>371</v>
      </c>
      <c r="AR65" s="207"/>
      <c r="AS65" s="207"/>
      <c r="AT65" s="207" t="s">
        <v>359</v>
      </c>
      <c r="AU65" s="207"/>
      <c r="AZ65" s="169"/>
      <c r="BA65" s="169"/>
      <c r="BF65" s="169"/>
    </row>
    <row r="66" spans="1:58" ht="13.8" x14ac:dyDescent="0.25">
      <c r="A66" s="195"/>
      <c r="B66" s="196"/>
      <c r="C66" s="185"/>
      <c r="D66" s="185"/>
      <c r="E66" s="182"/>
      <c r="F66" s="350"/>
      <c r="H66" s="350"/>
      <c r="I66" s="350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50"/>
      <c r="H67" s="350"/>
      <c r="I67" s="350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8" x14ac:dyDescent="0.25">
      <c r="A68" s="200" t="s">
        <v>311</v>
      </c>
      <c r="B68" s="189" t="str">
        <f ca="1">OFFSET( Scale!$H$5, ROUND( C68, 0 ) - 1, 1 )</f>
        <v>BBB+</v>
      </c>
      <c r="C68" s="201">
        <f>AVERAGE(C7:C65)</f>
        <v>18.826923076923077</v>
      </c>
      <c r="D68" s="201"/>
      <c r="E68" s="201"/>
      <c r="F68" s="350"/>
      <c r="H68" s="350"/>
      <c r="I68" s="350"/>
      <c r="J68" s="351"/>
      <c r="K68" s="351"/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50"/>
      <c r="H69" s="350"/>
      <c r="I69" s="350"/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1"/>
      <c r="K70" s="351"/>
    </row>
    <row r="71" spans="1:58" x14ac:dyDescent="0.25">
      <c r="A71" s="203" t="s">
        <v>312</v>
      </c>
      <c r="F71" s="173"/>
      <c r="H71" s="173"/>
      <c r="I71" s="173"/>
    </row>
    <row r="72" spans="1:58" x14ac:dyDescent="0.25">
      <c r="A72" s="203" t="s">
        <v>313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314</v>
      </c>
      <c r="B73" s="173"/>
      <c r="D73" s="173"/>
      <c r="E73" s="173"/>
      <c r="F73" s="204"/>
      <c r="H73" s="204"/>
      <c r="I73" s="204"/>
    </row>
    <row r="74" spans="1:58" x14ac:dyDescent="0.25">
      <c r="A74" s="203" t="s">
        <v>315</v>
      </c>
      <c r="D74" s="204"/>
      <c r="F74" s="206"/>
      <c r="H74" s="206"/>
      <c r="I74" s="206"/>
      <c r="AQ74" s="207"/>
      <c r="AR74" s="207"/>
      <c r="AS74" s="207"/>
    </row>
    <row r="75" spans="1:58" x14ac:dyDescent="0.25">
      <c r="A75" s="203" t="s">
        <v>316</v>
      </c>
      <c r="D75" s="204"/>
      <c r="F75" s="206"/>
      <c r="H75" s="206"/>
      <c r="I75" s="206"/>
      <c r="AQ75" s="207"/>
      <c r="AR75" s="207"/>
      <c r="AS75" s="207"/>
    </row>
    <row r="76" spans="1:58" x14ac:dyDescent="0.25">
      <c r="A76" s="203"/>
      <c r="AQ76" s="207"/>
      <c r="AR76" s="207"/>
      <c r="AS76" s="207"/>
    </row>
    <row r="77" spans="1:58" x14ac:dyDescent="0.25">
      <c r="C77" s="190">
        <f>SUMPRODUCT( L8:L13, Y8:Y13 ) / L14</f>
        <v>18.807692307692307</v>
      </c>
      <c r="E77" s="191"/>
      <c r="G77" s="353"/>
      <c r="J77" s="173"/>
      <c r="K77" s="173"/>
      <c r="AQ77" s="207"/>
      <c r="AR77" s="207"/>
      <c r="AS77" s="207"/>
    </row>
    <row r="78" spans="1:58" s="173" customFormat="1" ht="13.8" x14ac:dyDescent="0.2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ref="AQ7:AT57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641" priority="28" stopIfTrue="1">
      <formula>IF( $AH7 = 1, TRUE, FALSE )</formula>
    </cfRule>
    <cfRule type="expression" dxfId="640" priority="29" stopIfTrue="1">
      <formula>IF( $AG7 = 1, TRUE, FALSE )</formula>
    </cfRule>
    <cfRule type="expression" dxfId="639" priority="30" stopIfTrue="1">
      <formula>IF( $AF7 = 1, TRUE, FALSE )</formula>
    </cfRule>
  </conditionalFormatting>
  <conditionalFormatting sqref="A67:E67">
    <cfRule type="expression" dxfId="638" priority="31" stopIfTrue="1">
      <formula>IF( $AH67 = 1, TRUE, FALSE )</formula>
    </cfRule>
    <cfRule type="expression" dxfId="637" priority="32" stopIfTrue="1">
      <formula>IF( $AG67 = 1, TRUE, FALSE )</formula>
    </cfRule>
    <cfRule type="expression" dxfId="636" priority="33" stopIfTrue="1">
      <formula>IF( $AF67 = 1, TRUE, FALSE )</formula>
    </cfRule>
  </conditionalFormatting>
  <conditionalFormatting sqref="A66:E66">
    <cfRule type="expression" dxfId="635" priority="25" stopIfTrue="1">
      <formula>IF( $AH66 = 1, TRUE, FALSE )</formula>
    </cfRule>
    <cfRule type="expression" dxfId="634" priority="26" stopIfTrue="1">
      <formula>IF( $AG66 = 1, TRUE, FALSE )</formula>
    </cfRule>
    <cfRule type="expression" dxfId="633" priority="27" stopIfTrue="1">
      <formula>IF( $AF66 = 1, TRUE, FALSE )</formula>
    </cfRule>
  </conditionalFormatting>
  <conditionalFormatting sqref="A8:D58 B7:D7">
    <cfRule type="expression" dxfId="632" priority="22" stopIfTrue="1">
      <formula>IF( $AH7 = 1, TRUE, FALSE )</formula>
    </cfRule>
    <cfRule type="expression" dxfId="631" priority="23" stopIfTrue="1">
      <formula>IF( $AG7 = 1, TRUE, FALSE )</formula>
    </cfRule>
    <cfRule type="expression" dxfId="630" priority="24" stopIfTrue="1">
      <formula>IF( $AF7 = 1, TRUE, FALSE )</formula>
    </cfRule>
  </conditionalFormatting>
  <conditionalFormatting sqref="A59:D59">
    <cfRule type="expression" dxfId="629" priority="19" stopIfTrue="1">
      <formula>IF( $AH59 = 1, TRUE, FALSE )</formula>
    </cfRule>
    <cfRule type="expression" dxfId="628" priority="20" stopIfTrue="1">
      <formula>IF( $AG59 = 1, TRUE, FALSE )</formula>
    </cfRule>
    <cfRule type="expression" dxfId="627" priority="21" stopIfTrue="1">
      <formula>IF( $AF59 = 1, TRUE, FALSE )</formula>
    </cfRule>
  </conditionalFormatting>
  <conditionalFormatting sqref="A61:D65">
    <cfRule type="expression" dxfId="626" priority="16" stopIfTrue="1">
      <formula>IF( $AH61 = 1, TRUE, FALSE )</formula>
    </cfRule>
    <cfRule type="expression" dxfId="625" priority="17" stopIfTrue="1">
      <formula>IF( $AG61 = 1, TRUE, FALSE )</formula>
    </cfRule>
    <cfRule type="expression" dxfId="624" priority="18" stopIfTrue="1">
      <formula>IF( $AF61 = 1, TRUE, FALSE )</formula>
    </cfRule>
  </conditionalFormatting>
  <conditionalFormatting sqref="U8:U12">
    <cfRule type="cellIs" dxfId="623" priority="15" operator="equal">
      <formula>0</formula>
    </cfRule>
  </conditionalFormatting>
  <conditionalFormatting sqref="O8:O12 Q8:Q12">
    <cfRule type="cellIs" dxfId="622" priority="14" operator="equal">
      <formula>0</formula>
    </cfRule>
  </conditionalFormatting>
  <conditionalFormatting sqref="V8:V12">
    <cfRule type="cellIs" dxfId="621" priority="13" operator="equal">
      <formula>0</formula>
    </cfRule>
  </conditionalFormatting>
  <conditionalFormatting sqref="S8:S12">
    <cfRule type="cellIs" dxfId="620" priority="11" operator="equal">
      <formula>0</formula>
    </cfRule>
  </conditionalFormatting>
  <conditionalFormatting sqref="R8:R12">
    <cfRule type="cellIs" dxfId="619" priority="12" operator="equal">
      <formula>0</formula>
    </cfRule>
  </conditionalFormatting>
  <conditionalFormatting sqref="P8:P12">
    <cfRule type="cellIs" dxfId="618" priority="10" operator="equal">
      <formula>0</formula>
    </cfRule>
  </conditionalFormatting>
  <conditionalFormatting sqref="M8:M12">
    <cfRule type="cellIs" dxfId="617" priority="9" operator="equal">
      <formula>0</formula>
    </cfRule>
  </conditionalFormatting>
  <conditionalFormatting sqref="T8:T12">
    <cfRule type="cellIs" dxfId="616" priority="8" operator="equal">
      <formula>0</formula>
    </cfRule>
  </conditionalFormatting>
  <conditionalFormatting sqref="N8:N12">
    <cfRule type="cellIs" dxfId="615" priority="7" operator="equal">
      <formula>0</formula>
    </cfRule>
  </conditionalFormatting>
  <conditionalFormatting sqref="K8:K12">
    <cfRule type="cellIs" dxfId="614" priority="6" operator="equal">
      <formula>0</formula>
    </cfRule>
  </conditionalFormatting>
  <conditionalFormatting sqref="I8:I12">
    <cfRule type="cellIs" dxfId="613" priority="5" operator="equal">
      <formula>0</formula>
    </cfRule>
  </conditionalFormatting>
  <conditionalFormatting sqref="W8:W12">
    <cfRule type="cellIs" dxfId="612" priority="4" operator="equal">
      <formula>0</formula>
    </cfRule>
  </conditionalFormatting>
  <conditionalFormatting sqref="A7">
    <cfRule type="expression" dxfId="611" priority="1" stopIfTrue="1">
      <formula>IF( $AH7 = 1, TRUE, FALSE )</formula>
    </cfRule>
    <cfRule type="expression" dxfId="610" priority="2" stopIfTrue="1">
      <formula>IF( $AG7 = 1, TRUE, FALSE )</formula>
    </cfRule>
    <cfRule type="expression" dxfId="609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customWidth="1"/>
    <col min="23" max="23" width="2" style="168" customWidth="1"/>
    <col min="24" max="24" width="4.109375" style="168" customWidth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15.88671875" style="169" hidden="1" customWidth="1" outlineLevel="1" collapsed="1"/>
    <col min="37" max="38" width="15.88671875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-- 2015 Q2</v>
      </c>
      <c r="G1" s="175" t="s">
        <v>195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 x14ac:dyDescent="0.25">
      <c r="A2" s="167"/>
      <c r="E2" s="171" t="str">
        <f>G2</f>
        <v>Reg_Percent_2013</v>
      </c>
      <c r="G2" s="172" t="s">
        <v>391</v>
      </c>
      <c r="AJ2" s="173" t="str">
        <f>AJ4 &amp; AJ3</f>
        <v>'Credit_2015Q1'!d:d</v>
      </c>
      <c r="AK2" s="173" t="str">
        <f>AK4 &amp; AK3</f>
        <v>'Credit_2015Q1'!b1</v>
      </c>
      <c r="AL2" s="173" t="str">
        <f>AL4 &amp; AL3</f>
        <v>'Credit_2015Q1'!c1</v>
      </c>
      <c r="AQ2" s="169"/>
    </row>
    <row r="3" spans="1:61" ht="18" hidden="1" outlineLevel="1" x14ac:dyDescent="0.25">
      <c r="A3" s="167"/>
      <c r="E3" s="174" t="str">
        <f>"'" &amp; E2 &amp; "'!"</f>
        <v>'Reg_Percent_2013'!</v>
      </c>
      <c r="G3" s="168" t="str">
        <f>"'" &amp; G2 &amp; "'!"</f>
        <v>'Reg_Percent_2013'!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205</v>
      </c>
      <c r="AK3" s="149" t="s">
        <v>206</v>
      </c>
      <c r="AL3" s="149" t="s">
        <v>207</v>
      </c>
      <c r="AQ3" s="169"/>
    </row>
    <row r="4" spans="1:61" ht="18" hidden="1" outlineLevel="1" x14ac:dyDescent="0.25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>$AQ$5</f>
        <v>'Credit_2015Q1'!</v>
      </c>
      <c r="AK4" s="169" t="str">
        <f t="shared" ref="AK4:AL4" si="0">$AQ$5</f>
        <v>'Credit_2015Q1'!</v>
      </c>
      <c r="AL4" s="169" t="str">
        <f t="shared" si="0"/>
        <v>'Credit_2015Q1'!</v>
      </c>
      <c r="AQ4" s="169"/>
    </row>
    <row r="5" spans="1:61" ht="13.8" collapsed="1" x14ac:dyDescent="0.25">
      <c r="E5" s="176" t="s">
        <v>209</v>
      </c>
      <c r="G5" s="170" t="s">
        <v>199</v>
      </c>
      <c r="I5" s="230"/>
      <c r="J5" s="389" t="s">
        <v>210</v>
      </c>
      <c r="K5" s="230"/>
      <c r="L5" s="391" t="str">
        <f>"All Companies" &amp; CHAR( 10 ) &amp; "("&amp; L14 &amp; ")"</f>
        <v>All Companies
(52)</v>
      </c>
      <c r="M5" s="391"/>
      <c r="N5" s="230"/>
      <c r="O5" s="389" t="str">
        <f ca="1">"Regulated" &amp; CHAR( 10 ) &amp; "(" &amp; O14 &amp; ")"</f>
        <v>Regulated
(37)</v>
      </c>
      <c r="P5" s="393"/>
      <c r="Q5" s="230"/>
      <c r="R5" s="389" t="str">
        <f ca="1">"Mostly Regulated" &amp; CHAR( 10 ) &amp; "(" &amp; R14 &amp; ")"</f>
        <v>Mostly Regulated
(13)</v>
      </c>
      <c r="S5" s="393"/>
      <c r="T5" s="230"/>
      <c r="U5" s="389" t="str">
        <f ca="1">"Diversified" &amp; CHAR( 10 ) &amp; "(" &amp; U14 &amp; ")"</f>
        <v>Diversified
(2)</v>
      </c>
      <c r="V5" s="393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392</v>
      </c>
    </row>
    <row r="6" spans="1:61" ht="28.5" customHeight="1" x14ac:dyDescent="0.25">
      <c r="A6" s="219" t="s">
        <v>212</v>
      </c>
      <c r="B6" s="220" t="s">
        <v>61</v>
      </c>
      <c r="C6" s="249" t="s">
        <v>214</v>
      </c>
      <c r="D6" s="221"/>
      <c r="E6" s="222">
        <f ca="1">INDIRECT( E3 &amp; G1 )</f>
        <v>41639</v>
      </c>
      <c r="I6" s="231"/>
      <c r="J6" s="390"/>
      <c r="K6" s="231"/>
      <c r="L6" s="392"/>
      <c r="M6" s="392"/>
      <c r="N6" s="231"/>
      <c r="O6" s="390"/>
      <c r="P6" s="390"/>
      <c r="Q6" s="231"/>
      <c r="R6" s="390" t="s">
        <v>136</v>
      </c>
      <c r="S6" s="390"/>
      <c r="T6" s="231"/>
      <c r="U6" s="390"/>
      <c r="V6" s="390"/>
      <c r="W6" s="231"/>
      <c r="AE6" s="178"/>
      <c r="AJ6" s="179"/>
    </row>
    <row r="7" spans="1:61" ht="13.8" x14ac:dyDescent="0.25">
      <c r="A7" s="223" t="s">
        <v>235</v>
      </c>
      <c r="B7" s="224" t="s">
        <v>166</v>
      </c>
      <c r="C7" s="224">
        <v>21</v>
      </c>
      <c r="D7" s="224" t="s">
        <v>236</v>
      </c>
      <c r="E7" s="225" t="str">
        <f ca="1">IF( LEN( $G7 ) = 0, "", OFFSET( INDIRECT( E$3 &amp; E$4 ), $G7 - 1, 0 ) )</f>
        <v>R</v>
      </c>
      <c r="F7" s="348"/>
      <c r="G7" s="349">
        <f t="shared" ref="G7:G62" ca="1" si="1">IF( LEN( $D7 ) = 0, "", MATCH( $D7, INDIRECT( G$3 &amp; G$4 ), 0 ) )</f>
        <v>34</v>
      </c>
      <c r="H7" s="350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>
        <f t="shared" ref="AG7:AG64" ca="1" si="3">IF( LEN( $C7 ) = 0, "", IF( $C7 &gt; $AL7, 1, "" ) )</f>
        <v>1</v>
      </c>
      <c r="AH7" s="169" t="str">
        <f ca="1">IF( LEN( $C7 ) = 0, "", IF( $C7 &lt; $AL7, 1, "" ) )</f>
        <v/>
      </c>
      <c r="AJ7" s="169">
        <f ca="1">MATCH( $D7, INDIRECT( AJ$2 ), 0 )</f>
        <v>12</v>
      </c>
      <c r="AK7" s="169" t="str">
        <f ca="1">IF( ISNA( $AJ7 ), "", OFFSET( INDIRECT( AK$2 ), $AJ7-1, 0 ) )</f>
        <v>A-</v>
      </c>
      <c r="AL7" s="169">
        <f ca="1">IF( ISNA( $AJ7 ), "", OFFSET( INDIRECT( AL$2 ), $AJ7-1, 0 ) )</f>
        <v>20</v>
      </c>
      <c r="AM7" s="169" t="str">
        <f t="shared" ref="AM7:AM67" ca="1" si="4">IF( B7 = AK7, "", "Change" )</f>
        <v>Change</v>
      </c>
      <c r="AQ7" s="207" t="s">
        <v>217</v>
      </c>
      <c r="AR7" s="207" t="s">
        <v>140</v>
      </c>
      <c r="AS7" s="207">
        <v>19</v>
      </c>
      <c r="AT7" s="207" t="s">
        <v>218</v>
      </c>
      <c r="AV7" s="168">
        <f>IF( LEN( AS7 ) = 0, 99, RANK( AS7, $AS$7:$AS$63 ) )</f>
        <v>15</v>
      </c>
      <c r="AW7" s="168">
        <f>COUNTIF( AV7:AV$7, AV7 )</f>
        <v>1</v>
      </c>
      <c r="AX7" s="208">
        <f>AV7 + AW7 / 10</f>
        <v>15.1</v>
      </c>
      <c r="AY7" s="168">
        <f>RANK( AX7, $AX$7:$AX$63, 1 )</f>
        <v>15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20</v>
      </c>
      <c r="BF7" s="173" t="str">
        <f t="shared" ref="BF7:BI38" ca="1" si="7">OFFSET( AQ$6, $BD7, 0 )</f>
        <v>Eversource Energy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ES</v>
      </c>
    </row>
    <row r="8" spans="1:61" ht="13.8" x14ac:dyDescent="0.25">
      <c r="A8" s="223" t="s">
        <v>293</v>
      </c>
      <c r="B8" s="224" t="s">
        <v>166</v>
      </c>
      <c r="C8" s="224">
        <v>21</v>
      </c>
      <c r="D8" s="224" t="s">
        <v>294</v>
      </c>
      <c r="E8" s="225" t="str">
        <f t="shared" ref="E8:E62" ca="1" si="8">IF( LEN( $G8 ) = 0, "", OFFSET( INDIRECT( E$3 &amp; E$4 ), $G8 - 1, 0 ) )</f>
        <v>R</v>
      </c>
      <c r="F8" s="348"/>
      <c r="G8" s="349">
        <f t="shared" ca="1" si="1"/>
        <v>47</v>
      </c>
      <c r="H8" s="350"/>
      <c r="I8" s="233"/>
      <c r="J8" s="213" t="s">
        <v>137</v>
      </c>
      <c r="K8" s="233"/>
      <c r="L8" s="213">
        <f t="shared" ref="L8:L13" si="9">COUNTIF($C$7:$C$67,$X8)</f>
        <v>3</v>
      </c>
      <c r="M8" s="214">
        <f t="shared" ref="M8:M13" si="10">IF( L8 = 0, "", L8/L$14 )</f>
        <v>5.7692307692307696E-2</v>
      </c>
      <c r="N8" s="233"/>
      <c r="O8" s="213">
        <f t="shared" ref="O8:O13" ca="1" si="11">COUNTIFS( $E$7:$E$66, O$3, $C$7:$C$66, $X8 )</f>
        <v>2</v>
      </c>
      <c r="P8" s="214">
        <f t="shared" ref="P8:P13" ca="1" si="12">IF( O8 = 0, "", O8/O$14 )</f>
        <v>5.4054054054054057E-2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7.6923076923076927E-2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7">SUM(O8, R8, U8)</f>
        <v>3</v>
      </c>
      <c r="AC8" s="351"/>
      <c r="AE8" s="184"/>
      <c r="AF8" s="169">
        <f t="shared" si="2"/>
        <v>1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7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44</v>
      </c>
      <c r="BF8" s="173" t="str">
        <f t="shared" ca="1" si="7"/>
        <v>Southern Company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SO</v>
      </c>
    </row>
    <row r="9" spans="1:61" ht="13.8" x14ac:dyDescent="0.25">
      <c r="A9" s="223" t="s">
        <v>219</v>
      </c>
      <c r="B9" s="224" t="s">
        <v>139</v>
      </c>
      <c r="C9" s="224">
        <v>20</v>
      </c>
      <c r="D9" s="224" t="s">
        <v>220</v>
      </c>
      <c r="E9" s="225" t="str">
        <f t="shared" ca="1" si="8"/>
        <v>R</v>
      </c>
      <c r="F9" s="348"/>
      <c r="G9" s="349">
        <f t="shared" ca="1" si="1"/>
        <v>8</v>
      </c>
      <c r="H9" s="350"/>
      <c r="I9" s="234"/>
      <c r="J9" s="215" t="s">
        <v>139</v>
      </c>
      <c r="K9" s="234"/>
      <c r="L9" s="215">
        <f t="shared" si="9"/>
        <v>12</v>
      </c>
      <c r="M9" s="216">
        <f t="shared" si="10"/>
        <v>0.23076923076923078</v>
      </c>
      <c r="N9" s="234"/>
      <c r="O9" s="215">
        <f t="shared" ca="1" si="11"/>
        <v>7</v>
      </c>
      <c r="P9" s="216">
        <f t="shared" ca="1" si="12"/>
        <v>0.1891891891891892</v>
      </c>
      <c r="Q9" s="234"/>
      <c r="R9" s="215">
        <f t="shared" ca="1" si="13"/>
        <v>5</v>
      </c>
      <c r="S9" s="216">
        <f t="shared" ca="1" si="14"/>
        <v>0.38461538461538464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7"/>
        <v>12</v>
      </c>
      <c r="AC9" s="351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8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si="21"/>
        <v>15</v>
      </c>
      <c r="AW9" s="168">
        <f>COUNTIF( AV$7:AV9, AV9 )</f>
        <v>2</v>
      </c>
      <c r="AX9" s="208">
        <f t="shared" si="22"/>
        <v>15.2</v>
      </c>
      <c r="AY9" s="168">
        <f t="shared" si="23"/>
        <v>16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ht="13.8" x14ac:dyDescent="0.25">
      <c r="A10" s="223" t="s">
        <v>249</v>
      </c>
      <c r="B10" s="224" t="s">
        <v>139</v>
      </c>
      <c r="C10" s="224">
        <v>20</v>
      </c>
      <c r="D10" s="224" t="s">
        <v>250</v>
      </c>
      <c r="E10" s="225" t="str">
        <f t="shared" ca="1" si="8"/>
        <v>MR</v>
      </c>
      <c r="F10" s="348"/>
      <c r="G10" s="349">
        <f t="shared" ca="1" si="1"/>
        <v>13</v>
      </c>
      <c r="H10" s="350"/>
      <c r="I10" s="234"/>
      <c r="J10" s="215" t="s">
        <v>140</v>
      </c>
      <c r="K10" s="234"/>
      <c r="L10" s="215">
        <f t="shared" si="9"/>
        <v>17</v>
      </c>
      <c r="M10" s="216">
        <f t="shared" si="10"/>
        <v>0.32692307692307693</v>
      </c>
      <c r="N10" s="234"/>
      <c r="O10" s="215">
        <f t="shared" ca="1" si="11"/>
        <v>11</v>
      </c>
      <c r="P10" s="216">
        <f t="shared" ca="1" si="12"/>
        <v>0.29729729729729731</v>
      </c>
      <c r="Q10" s="234"/>
      <c r="R10" s="215">
        <f t="shared" ca="1" si="13"/>
        <v>5</v>
      </c>
      <c r="S10" s="216">
        <f t="shared" ca="1" si="14"/>
        <v>0.38461538461538464</v>
      </c>
      <c r="T10" s="234"/>
      <c r="U10" s="215">
        <f t="shared" ca="1" si="15"/>
        <v>1</v>
      </c>
      <c r="V10" s="216">
        <f t="shared" ca="1" si="16"/>
        <v>0.5</v>
      </c>
      <c r="W10" s="234"/>
      <c r="X10" s="186" t="s">
        <v>229</v>
      </c>
      <c r="Y10" s="186">
        <v>19</v>
      </c>
      <c r="Z10" s="186">
        <v>1</v>
      </c>
      <c r="AA10" s="185">
        <f t="shared" ca="1" si="17"/>
        <v>17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9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222</v>
      </c>
      <c r="AR10" s="207" t="s">
        <v>141</v>
      </c>
      <c r="AS10" s="207">
        <v>18</v>
      </c>
      <c r="AT10" s="207" t="s">
        <v>223</v>
      </c>
      <c r="AV10" s="168">
        <f t="shared" si="21"/>
        <v>32</v>
      </c>
      <c r="AW10" s="168">
        <f>COUNTIF( AV$7:AV10, AV10 )</f>
        <v>1</v>
      </c>
      <c r="AX10" s="208">
        <f t="shared" si="22"/>
        <v>32.1</v>
      </c>
      <c r="AY10" s="168">
        <f t="shared" si="23"/>
        <v>32</v>
      </c>
      <c r="AZ10" s="169"/>
      <c r="BA10" s="169"/>
      <c r="BC10" s="168">
        <f t="shared" ca="1" si="24"/>
        <v>4</v>
      </c>
      <c r="BD10" s="209">
        <f t="shared" ca="1" si="6"/>
        <v>8</v>
      </c>
      <c r="BF10" s="173" t="str">
        <f t="shared" ca="1" si="7"/>
        <v>CenterPoint Energy,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CNP</v>
      </c>
    </row>
    <row r="11" spans="1:61" ht="13.8" x14ac:dyDescent="0.25">
      <c r="A11" s="223" t="s">
        <v>227</v>
      </c>
      <c r="B11" s="224" t="s">
        <v>139</v>
      </c>
      <c r="C11" s="224">
        <v>20</v>
      </c>
      <c r="D11" s="224" t="s">
        <v>228</v>
      </c>
      <c r="E11" s="225" t="str">
        <f t="shared" ca="1" si="8"/>
        <v>R</v>
      </c>
      <c r="F11" s="348"/>
      <c r="G11" s="349">
        <f t="shared" ca="1" si="1"/>
        <v>16</v>
      </c>
      <c r="H11" s="350"/>
      <c r="I11" s="234"/>
      <c r="J11" s="215" t="s">
        <v>141</v>
      </c>
      <c r="K11" s="234"/>
      <c r="L11" s="215">
        <f t="shared" si="9"/>
        <v>15</v>
      </c>
      <c r="M11" s="216">
        <f t="shared" si="10"/>
        <v>0.28846153846153844</v>
      </c>
      <c r="N11" s="234"/>
      <c r="O11" s="215">
        <f t="shared" ca="1" si="11"/>
        <v>14</v>
      </c>
      <c r="P11" s="216">
        <f t="shared" ca="1" si="12"/>
        <v>0.3783783783783784</v>
      </c>
      <c r="Q11" s="234"/>
      <c r="R11" s="215">
        <f t="shared" ca="1" si="13"/>
        <v>1</v>
      </c>
      <c r="S11" s="216">
        <f t="shared" ca="1" si="14"/>
        <v>7.6923076923076927E-2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7"/>
        <v>15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10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238</v>
      </c>
      <c r="AR11" s="207" t="s">
        <v>141</v>
      </c>
      <c r="AS11" s="207">
        <v>18</v>
      </c>
      <c r="AT11" s="207" t="s">
        <v>239</v>
      </c>
      <c r="AV11" s="168">
        <f t="shared" si="21"/>
        <v>32</v>
      </c>
      <c r="AW11" s="168">
        <f>COUNTIF( AV$7:AV11, AV11 )</f>
        <v>2</v>
      </c>
      <c r="AX11" s="208">
        <f t="shared" si="22"/>
        <v>32.200000000000003</v>
      </c>
      <c r="AY11" s="168">
        <f t="shared" si="23"/>
        <v>33</v>
      </c>
      <c r="AZ11" s="169"/>
      <c r="BA11" s="169"/>
      <c r="BC11" s="168">
        <f t="shared" ca="1" si="24"/>
        <v>5</v>
      </c>
      <c r="BD11" s="209">
        <f t="shared" ca="1" si="6"/>
        <v>11</v>
      </c>
      <c r="BF11" s="173" t="str">
        <f t="shared" ca="1" si="7"/>
        <v>Consolidated Edison,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ED</v>
      </c>
    </row>
    <row r="12" spans="1:61" ht="13.8" x14ac:dyDescent="0.25">
      <c r="A12" s="223" t="s">
        <v>361</v>
      </c>
      <c r="B12" s="224" t="s">
        <v>139</v>
      </c>
      <c r="C12" s="224">
        <v>20</v>
      </c>
      <c r="D12" s="224" t="s">
        <v>194</v>
      </c>
      <c r="E12" s="225" t="str">
        <f t="shared" ca="1" si="8"/>
        <v>MR</v>
      </c>
      <c r="F12" s="348"/>
      <c r="G12" s="349">
        <f t="shared" ca="1" si="1"/>
        <v>17</v>
      </c>
      <c r="H12" s="350"/>
      <c r="I12" s="234"/>
      <c r="J12" s="215" t="s">
        <v>142</v>
      </c>
      <c r="K12" s="234"/>
      <c r="L12" s="215">
        <f t="shared" si="9"/>
        <v>3</v>
      </c>
      <c r="M12" s="216">
        <f t="shared" si="10"/>
        <v>5.7692307692307696E-2</v>
      </c>
      <c r="N12" s="234"/>
      <c r="O12" s="215">
        <f t="shared" ca="1" si="11"/>
        <v>1</v>
      </c>
      <c r="P12" s="216">
        <f t="shared" ca="1" si="12"/>
        <v>2.7027027027027029E-2</v>
      </c>
      <c r="Q12" s="234"/>
      <c r="R12" s="215">
        <f t="shared" ca="1" si="13"/>
        <v>1</v>
      </c>
      <c r="S12" s="216">
        <f t="shared" ca="1" si="14"/>
        <v>7.6923076923076927E-2</v>
      </c>
      <c r="T12" s="234"/>
      <c r="U12" s="215">
        <f t="shared" ca="1" si="15"/>
        <v>1</v>
      </c>
      <c r="V12" s="216">
        <f t="shared" ca="1" si="16"/>
        <v>0.5</v>
      </c>
      <c r="W12" s="234"/>
      <c r="X12" s="186" t="s">
        <v>237</v>
      </c>
      <c r="Y12" s="186">
        <v>17</v>
      </c>
      <c r="Z12" s="186">
        <v>1</v>
      </c>
      <c r="AA12" s="185">
        <f t="shared" ca="1" si="17"/>
        <v>3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11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215</v>
      </c>
      <c r="AR12" s="207" t="s">
        <v>140</v>
      </c>
      <c r="AS12" s="207">
        <v>19</v>
      </c>
      <c r="AT12" s="207" t="s">
        <v>216</v>
      </c>
      <c r="AV12" s="168">
        <f t="shared" si="21"/>
        <v>15</v>
      </c>
      <c r="AW12" s="168">
        <f>COUNTIF( AV$7:AV12, AV12 )</f>
        <v>3</v>
      </c>
      <c r="AX12" s="208">
        <f t="shared" si="22"/>
        <v>15.3</v>
      </c>
      <c r="AY12" s="168">
        <f t="shared" si="23"/>
        <v>17</v>
      </c>
      <c r="AZ12" s="169"/>
      <c r="BA12" s="169"/>
      <c r="BC12" s="168">
        <f t="shared" ca="1" si="24"/>
        <v>6</v>
      </c>
      <c r="BD12" s="209">
        <f t="shared" ca="1" si="6"/>
        <v>12</v>
      </c>
      <c r="BF12" s="173" t="str">
        <f t="shared" ca="1" si="7"/>
        <v>Dominion Resources,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D</v>
      </c>
    </row>
    <row r="13" spans="1:61" ht="13.8" x14ac:dyDescent="0.25">
      <c r="A13" s="223" t="s">
        <v>263</v>
      </c>
      <c r="B13" s="224" t="s">
        <v>139</v>
      </c>
      <c r="C13" s="224">
        <v>20</v>
      </c>
      <c r="D13" s="224" t="s">
        <v>264</v>
      </c>
      <c r="E13" s="225" t="str">
        <f t="shared" ca="1" si="8"/>
        <v>R</v>
      </c>
      <c r="F13" s="348"/>
      <c r="G13" s="349">
        <f t="shared" ca="1" si="1"/>
        <v>19</v>
      </c>
      <c r="H13" s="350"/>
      <c r="I13" s="235"/>
      <c r="J13" s="217" t="s">
        <v>143</v>
      </c>
      <c r="K13" s="235"/>
      <c r="L13" s="217">
        <f t="shared" si="9"/>
        <v>2</v>
      </c>
      <c r="M13" s="218">
        <f t="shared" si="10"/>
        <v>3.8461538461538464E-2</v>
      </c>
      <c r="N13" s="235"/>
      <c r="O13" s="217">
        <f t="shared" ca="1" si="11"/>
        <v>2</v>
      </c>
      <c r="P13" s="218">
        <f t="shared" ca="1" si="12"/>
        <v>5.4054054054054057E-2</v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242</v>
      </c>
      <c r="Y13" s="186">
        <v>16</v>
      </c>
      <c r="Z13" s="186">
        <v>1</v>
      </c>
      <c r="AA13" s="188">
        <f t="shared" ca="1" si="17"/>
        <v>2</v>
      </c>
      <c r="AE13" s="184"/>
      <c r="AF13" s="169">
        <f t="shared" si="2"/>
        <v>0</v>
      </c>
      <c r="AG13" s="169">
        <f t="shared" ca="1" si="3"/>
        <v>1</v>
      </c>
      <c r="AH13" s="169" t="str">
        <f t="shared" ca="1" si="18"/>
        <v/>
      </c>
      <c r="AJ13" s="169">
        <f t="shared" ca="1" si="19"/>
        <v>26</v>
      </c>
      <c r="AK13" s="169" t="str">
        <f t="shared" ca="1" si="20"/>
        <v>BBB+</v>
      </c>
      <c r="AL13" s="169">
        <f t="shared" ca="1" si="20"/>
        <v>19</v>
      </c>
      <c r="AM13" s="169" t="str">
        <f t="shared" ca="1" si="4"/>
        <v>Change</v>
      </c>
      <c r="AQ13" s="207" t="s">
        <v>245</v>
      </c>
      <c r="AR13" s="207" t="s">
        <v>141</v>
      </c>
      <c r="AS13" s="207">
        <v>18</v>
      </c>
      <c r="AT13" s="207" t="s">
        <v>246</v>
      </c>
      <c r="AV13" s="168">
        <f t="shared" si="21"/>
        <v>32</v>
      </c>
      <c r="AW13" s="168">
        <f>COUNTIF( AV$7:AV13, AV13 )</f>
        <v>3</v>
      </c>
      <c r="AX13" s="208">
        <f t="shared" si="22"/>
        <v>32.299999999999997</v>
      </c>
      <c r="AY13" s="168">
        <f t="shared" si="23"/>
        <v>34</v>
      </c>
      <c r="AZ13" s="169"/>
      <c r="BA13" s="169"/>
      <c r="BC13" s="168">
        <f t="shared" ca="1" si="24"/>
        <v>7</v>
      </c>
      <c r="BD13" s="209">
        <f t="shared" ca="1" si="6"/>
        <v>15</v>
      </c>
      <c r="BF13" s="173" t="str">
        <f t="shared" ca="1" si="7"/>
        <v>Duke Energy Corporation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DUK</v>
      </c>
    </row>
    <row r="14" spans="1:61" ht="13.8" x14ac:dyDescent="0.25">
      <c r="A14" s="223" t="s">
        <v>240</v>
      </c>
      <c r="B14" s="224" t="s">
        <v>139</v>
      </c>
      <c r="C14" s="224">
        <v>20</v>
      </c>
      <c r="D14" s="224" t="s">
        <v>241</v>
      </c>
      <c r="E14" s="225" t="str">
        <f t="shared" ca="1" si="8"/>
        <v>MR</v>
      </c>
      <c r="F14" s="348"/>
      <c r="G14" s="349">
        <f t="shared" ca="1" si="1"/>
        <v>32</v>
      </c>
      <c r="H14" s="350"/>
      <c r="I14" s="236"/>
      <c r="J14" s="211" t="s">
        <v>144</v>
      </c>
      <c r="K14" s="236"/>
      <c r="L14" s="211">
        <f>SUM(L8:L13)</f>
        <v>52</v>
      </c>
      <c r="M14" s="212">
        <f>L14/L$14</f>
        <v>1</v>
      </c>
      <c r="N14" s="236"/>
      <c r="O14" s="211">
        <f ca="1">SUM(O8:O13)</f>
        <v>37</v>
      </c>
      <c r="P14" s="212">
        <f ca="1">O14/O$14</f>
        <v>1</v>
      </c>
      <c r="Q14" s="236"/>
      <c r="R14" s="211">
        <f ca="1">SUM(R8:R13)</f>
        <v>13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18.826923076923077</v>
      </c>
      <c r="Z14" s="190"/>
      <c r="AA14" s="189">
        <f ca="1">SUM(AA8:AA13)</f>
        <v>52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249</v>
      </c>
      <c r="AR14" s="207" t="s">
        <v>139</v>
      </c>
      <c r="AS14" s="207">
        <v>20</v>
      </c>
      <c r="AT14" s="207" t="s">
        <v>250</v>
      </c>
      <c r="AV14" s="168">
        <f>IF( LEN( AS14 ) = 0, 99, RANK( AS14, $AS$7:$AS$63 ) )</f>
        <v>3</v>
      </c>
      <c r="AW14" s="168">
        <f>COUNTIF( AV$7:AV14, AV14 )</f>
        <v>2</v>
      </c>
      <c r="AX14" s="208">
        <f t="shared" si="22"/>
        <v>3.2</v>
      </c>
      <c r="AY14" s="168">
        <f t="shared" si="23"/>
        <v>4</v>
      </c>
      <c r="AZ14" s="169"/>
      <c r="BA14" s="169"/>
      <c r="BC14" s="168">
        <f t="shared" ca="1" si="24"/>
        <v>8</v>
      </c>
      <c r="BD14" s="209">
        <f t="shared" ca="1" si="6"/>
        <v>29</v>
      </c>
      <c r="BF14" s="173" t="str">
        <f t="shared" ca="1" si="7"/>
        <v>NextEra Energy,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NEE</v>
      </c>
    </row>
    <row r="15" spans="1:61" ht="13.8" x14ac:dyDescent="0.25">
      <c r="A15" s="223" t="s">
        <v>277</v>
      </c>
      <c r="B15" s="224" t="s">
        <v>139</v>
      </c>
      <c r="C15" s="224">
        <v>20</v>
      </c>
      <c r="D15" s="224" t="s">
        <v>278</v>
      </c>
      <c r="E15" s="225" t="str">
        <f t="shared" ca="1" si="8"/>
        <v>R</v>
      </c>
      <c r="F15" s="348"/>
      <c r="G15" s="349">
        <f t="shared" ca="1" si="1"/>
        <v>36</v>
      </c>
      <c r="H15" s="350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254</v>
      </c>
      <c r="AR15" s="207" t="s">
        <v>140</v>
      </c>
      <c r="AS15" s="207">
        <v>19</v>
      </c>
      <c r="AT15" s="207" t="s">
        <v>378</v>
      </c>
      <c r="AV15" s="168">
        <f t="shared" si="21"/>
        <v>15</v>
      </c>
      <c r="AW15" s="168">
        <f>COUNTIF( AV$7:AV15, AV15 )</f>
        <v>4</v>
      </c>
      <c r="AX15" s="208">
        <f t="shared" si="22"/>
        <v>15.4</v>
      </c>
      <c r="AY15" s="168">
        <f t="shared" si="23"/>
        <v>18</v>
      </c>
      <c r="AZ15" s="169"/>
      <c r="BA15" s="169"/>
      <c r="BC15" s="168">
        <f t="shared" ca="1" si="24"/>
        <v>9</v>
      </c>
      <c r="BD15" s="209">
        <f t="shared" ca="1" si="6"/>
        <v>32</v>
      </c>
      <c r="BF15" s="173" t="str">
        <f t="shared" ca="1" si="7"/>
        <v>OGE Energy Corp.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OGE</v>
      </c>
    </row>
    <row r="16" spans="1:61" ht="13.8" x14ac:dyDescent="0.25">
      <c r="A16" s="223" t="s">
        <v>281</v>
      </c>
      <c r="B16" s="224" t="s">
        <v>139</v>
      </c>
      <c r="C16" s="224">
        <v>20</v>
      </c>
      <c r="D16" s="224" t="s">
        <v>282</v>
      </c>
      <c r="E16" s="225" t="str">
        <f t="shared" ca="1" si="8"/>
        <v>R</v>
      </c>
      <c r="F16" s="348"/>
      <c r="G16" s="349">
        <f t="shared" ca="1" si="1"/>
        <v>40</v>
      </c>
      <c r="H16" s="350"/>
      <c r="I16" s="232"/>
      <c r="J16" s="210" t="s">
        <v>253</v>
      </c>
      <c r="K16" s="232"/>
      <c r="L16" s="386">
        <f t="array" ref="L16">SUM( IF( LEN( $C$7:$C$65 ) = 0, 0, $C$7:$C$65 ) ) / SUM( IF( LEN( $C$7:$C$65 ) = 0, 0, 1  ) )</f>
        <v>18.846153846153847</v>
      </c>
      <c r="M16" s="387"/>
      <c r="N16" s="232"/>
      <c r="O16" s="386">
        <f t="array" aca="1" ref="O16" ca="1">SUM( IF( LEN( $C$7:$C$65 ) = 0, 0, IF( $E$7:$E$65 = O3, $C$7:$C$65, 0 ) ) ) / SUM( IF( LEN( $C$7:$C$65 ) = 0, 0, IF( $E$7:$E$65 = O3, 1, 0 ) ) )</f>
        <v>18.675675675675677</v>
      </c>
      <c r="P16" s="387"/>
      <c r="Q16" s="232"/>
      <c r="R16" s="386">
        <f t="array" aca="1" ref="R16" ca="1">SUM( IF( LEN( $C$7:$C$65 ) = 0, 0, IF( $E$7:$E$65 = R3, $C$7:$C$65, 0 ) ) ) / SUM( IF( LEN( $C$7:$C$65 ) = 0, 0, IF( $E$7:$E$65 = R3, 1, 0 ) ) )</f>
        <v>19.46153846153846</v>
      </c>
      <c r="S16" s="387"/>
      <c r="T16" s="232"/>
      <c r="U16" s="386">
        <f t="array" aca="1" ref="U16" ca="1">SUM( IF( LEN( $C$7:$C$65 ) = 0, 0, IF( $E$7:$E$65 = U3, $C$7:$C$65, 0 ) ) ) / SUM( IF( LEN( $C$7:$C$65 ) = 0, 0, IF( $E$7:$E$65 = U3, 1, 0 ) ) )</f>
        <v>18</v>
      </c>
      <c r="V16" s="388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256</v>
      </c>
      <c r="AR16" s="207" t="s">
        <v>140</v>
      </c>
      <c r="AS16" s="207">
        <v>19</v>
      </c>
      <c r="AT16" s="207" t="s">
        <v>257</v>
      </c>
      <c r="AV16" s="168">
        <f t="shared" si="21"/>
        <v>15</v>
      </c>
      <c r="AW16" s="168">
        <f>COUNTIF( AV$7:AV16, AV16 )</f>
        <v>5</v>
      </c>
      <c r="AX16" s="208">
        <f t="shared" si="22"/>
        <v>15.5</v>
      </c>
      <c r="AY16" s="168">
        <f t="shared" si="23"/>
        <v>19</v>
      </c>
      <c r="AZ16" s="169"/>
      <c r="BA16" s="169"/>
      <c r="BC16" s="168">
        <f t="shared" ca="1" si="24"/>
        <v>10</v>
      </c>
      <c r="BD16" s="209">
        <f t="shared" ca="1" si="6"/>
        <v>36</v>
      </c>
      <c r="BF16" s="173" t="str">
        <f t="shared" ca="1" si="7"/>
        <v>Pinnacle West Capital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PNW</v>
      </c>
    </row>
    <row r="17" spans="1:61" ht="13.8" x14ac:dyDescent="0.25">
      <c r="A17" s="223" t="s">
        <v>243</v>
      </c>
      <c r="B17" s="224" t="s">
        <v>139</v>
      </c>
      <c r="C17" s="224">
        <v>20</v>
      </c>
      <c r="D17" s="224" t="s">
        <v>244</v>
      </c>
      <c r="E17" s="225" t="str">
        <f t="shared" ca="1" si="8"/>
        <v>MR</v>
      </c>
      <c r="F17" s="348"/>
      <c r="G17" s="349">
        <f t="shared" ca="1" si="1"/>
        <v>43</v>
      </c>
      <c r="H17" s="350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>
        <f t="shared" ca="1" si="3"/>
        <v>1</v>
      </c>
      <c r="AH17" s="169" t="str">
        <f t="shared" ca="1" si="18"/>
        <v/>
      </c>
      <c r="AJ17" s="169">
        <f t="shared" ca="1" si="19"/>
        <v>51</v>
      </c>
      <c r="AK17" s="169" t="str">
        <f t="shared" ca="1" si="20"/>
        <v>BBB</v>
      </c>
      <c r="AL17" s="169">
        <f t="shared" ca="1" si="20"/>
        <v>18</v>
      </c>
      <c r="AM17" s="169" t="str">
        <f t="shared" ca="1" si="4"/>
        <v>Change</v>
      </c>
      <c r="AQ17" s="207" t="s">
        <v>227</v>
      </c>
      <c r="AR17" s="207" t="s">
        <v>139</v>
      </c>
      <c r="AS17" s="207">
        <v>20</v>
      </c>
      <c r="AT17" s="207" t="s">
        <v>228</v>
      </c>
      <c r="AV17" s="168">
        <f t="shared" si="21"/>
        <v>3</v>
      </c>
      <c r="AW17" s="168">
        <f>COUNTIF( AV$7:AV17, AV17 )</f>
        <v>3</v>
      </c>
      <c r="AX17" s="208">
        <f t="shared" si="22"/>
        <v>3.3</v>
      </c>
      <c r="AY17" s="168">
        <f t="shared" si="23"/>
        <v>5</v>
      </c>
      <c r="AZ17" s="169"/>
      <c r="BA17" s="169"/>
      <c r="BC17" s="168">
        <f t="shared" ca="1" si="24"/>
        <v>11</v>
      </c>
      <c r="BD17" s="209">
        <f t="shared" ca="1" si="6"/>
        <v>39</v>
      </c>
      <c r="BF17" s="173" t="str">
        <f t="shared" ca="1" si="7"/>
        <v>PPL Corporation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PPL</v>
      </c>
    </row>
    <row r="18" spans="1:61" ht="13.8" x14ac:dyDescent="0.25">
      <c r="A18" s="223" t="s">
        <v>345</v>
      </c>
      <c r="B18" s="224" t="s">
        <v>139</v>
      </c>
      <c r="C18" s="224">
        <v>20</v>
      </c>
      <c r="D18" s="224" t="s">
        <v>346</v>
      </c>
      <c r="E18" s="225" t="str">
        <f t="shared" ca="1" si="8"/>
        <v>MR</v>
      </c>
      <c r="F18" s="348"/>
      <c r="G18" s="349">
        <f t="shared" ca="1" si="1"/>
        <v>52</v>
      </c>
      <c r="H18" s="350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17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361</v>
      </c>
      <c r="AR18" s="207" t="s">
        <v>139</v>
      </c>
      <c r="AS18" s="207">
        <v>20</v>
      </c>
      <c r="AT18" s="207" t="s">
        <v>194</v>
      </c>
      <c r="AV18" s="168">
        <f t="shared" si="21"/>
        <v>3</v>
      </c>
      <c r="AW18" s="168">
        <f>COUNTIF( AV$7:AV18, AV18 )</f>
        <v>4</v>
      </c>
      <c r="AX18" s="208">
        <f t="shared" si="22"/>
        <v>3.4</v>
      </c>
      <c r="AY18" s="168">
        <f t="shared" si="23"/>
        <v>6</v>
      </c>
      <c r="AZ18" s="169"/>
      <c r="BA18" s="169"/>
      <c r="BC18" s="168">
        <f t="shared" ca="1" si="24"/>
        <v>12</v>
      </c>
      <c r="BD18" s="209">
        <f t="shared" ca="1" si="6"/>
        <v>48</v>
      </c>
      <c r="BF18" s="173" t="str">
        <f t="shared" ca="1" si="7"/>
        <v>Vectren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VVC</v>
      </c>
    </row>
    <row r="19" spans="1:61" ht="13.8" x14ac:dyDescent="0.25">
      <c r="A19" s="223" t="s">
        <v>247</v>
      </c>
      <c r="B19" s="224" t="s">
        <v>139</v>
      </c>
      <c r="C19" s="224">
        <v>20</v>
      </c>
      <c r="D19" s="224" t="s">
        <v>248</v>
      </c>
      <c r="E19" s="225" t="str">
        <f t="shared" ca="1" si="8"/>
        <v>R</v>
      </c>
      <c r="F19" s="348"/>
      <c r="G19" s="349">
        <f t="shared" ca="1" si="1"/>
        <v>54</v>
      </c>
      <c r="H19" s="350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18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259</v>
      </c>
      <c r="AR19" s="207" t="s">
        <v>175</v>
      </c>
      <c r="AS19" s="207">
        <v>15</v>
      </c>
      <c r="AT19" s="207" t="s">
        <v>260</v>
      </c>
      <c r="AV19" s="168">
        <f t="shared" si="21"/>
        <v>51</v>
      </c>
      <c r="AW19" s="168">
        <f>COUNTIF( AV$7:AV19, AV19 )</f>
        <v>1</v>
      </c>
      <c r="AX19" s="208">
        <f t="shared" si="22"/>
        <v>51.1</v>
      </c>
      <c r="AY19" s="168">
        <f t="shared" si="23"/>
        <v>51</v>
      </c>
      <c r="AZ19" s="169"/>
      <c r="BA19" s="169"/>
      <c r="BC19" s="168">
        <f t="shared" ca="1" si="24"/>
        <v>13</v>
      </c>
      <c r="BD19" s="209">
        <f t="shared" ca="1" si="6"/>
        <v>50</v>
      </c>
      <c r="BF19" s="173" t="str">
        <f t="shared" ca="1" si="7"/>
        <v>Wisconsin Energy Corporation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WEC</v>
      </c>
    </row>
    <row r="20" spans="1:61" ht="13.8" x14ac:dyDescent="0.25">
      <c r="A20" s="223" t="s">
        <v>251</v>
      </c>
      <c r="B20" s="224" t="s">
        <v>139</v>
      </c>
      <c r="C20" s="224">
        <v>20</v>
      </c>
      <c r="D20" s="224" t="s">
        <v>252</v>
      </c>
      <c r="E20" s="225" t="str">
        <f t="shared" ca="1" si="8"/>
        <v>R</v>
      </c>
      <c r="F20" s="348"/>
      <c r="G20" s="349">
        <f t="shared" ca="1" si="1"/>
        <v>55</v>
      </c>
      <c r="H20" s="350"/>
      <c r="I20" s="352"/>
      <c r="K20" s="352"/>
      <c r="N20" s="352"/>
      <c r="O20" s="173"/>
      <c r="Q20" s="352"/>
      <c r="T20" s="352"/>
      <c r="W20" s="352"/>
      <c r="AE20" s="184"/>
      <c r="AF20" s="169">
        <f t="shared" si="2"/>
        <v>0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19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261</v>
      </c>
      <c r="AR20" s="207" t="s">
        <v>140</v>
      </c>
      <c r="AS20" s="207">
        <v>19</v>
      </c>
      <c r="AT20" s="207" t="s">
        <v>262</v>
      </c>
      <c r="AV20" s="168">
        <f t="shared" si="21"/>
        <v>15</v>
      </c>
      <c r="AW20" s="168">
        <f>COUNTIF( AV$7:AV20, AV20 )</f>
        <v>6</v>
      </c>
      <c r="AX20" s="208">
        <f t="shared" si="22"/>
        <v>15.6</v>
      </c>
      <c r="AY20" s="168">
        <f t="shared" si="23"/>
        <v>20</v>
      </c>
      <c r="AZ20" s="169"/>
      <c r="BA20" s="169"/>
      <c r="BC20" s="168">
        <f t="shared" ca="1" si="24"/>
        <v>14</v>
      </c>
      <c r="BD20" s="209">
        <f t="shared" ca="1" si="6"/>
        <v>51</v>
      </c>
      <c r="BF20" s="173" t="str">
        <f t="shared" ca="1" si="7"/>
        <v>Xcel Energy Inc.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XEL</v>
      </c>
    </row>
    <row r="21" spans="1:61" ht="13.8" x14ac:dyDescent="0.25">
      <c r="A21" s="223" t="s">
        <v>217</v>
      </c>
      <c r="B21" s="224" t="s">
        <v>140</v>
      </c>
      <c r="C21" s="224">
        <v>19</v>
      </c>
      <c r="D21" s="224" t="s">
        <v>218</v>
      </c>
      <c r="E21" s="225" t="str">
        <f t="shared" ca="1" si="8"/>
        <v>R</v>
      </c>
      <c r="F21" s="348"/>
      <c r="G21" s="349">
        <f t="shared" ca="1" si="1"/>
        <v>7</v>
      </c>
      <c r="H21" s="350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20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263</v>
      </c>
      <c r="AR21" s="207" t="s">
        <v>139</v>
      </c>
      <c r="AS21" s="207">
        <v>20</v>
      </c>
      <c r="AT21" s="207" t="s">
        <v>264</v>
      </c>
      <c r="AV21" s="168">
        <f t="shared" si="21"/>
        <v>3</v>
      </c>
      <c r="AW21" s="168">
        <f>COUNTIF( AV$7:AV21, AV21 )</f>
        <v>5</v>
      </c>
      <c r="AX21" s="208">
        <f t="shared" si="22"/>
        <v>3.5</v>
      </c>
      <c r="AY21" s="168">
        <f t="shared" si="23"/>
        <v>7</v>
      </c>
      <c r="AZ21" s="169"/>
      <c r="BA21" s="169"/>
      <c r="BC21" s="168">
        <f t="shared" ca="1" si="24"/>
        <v>15</v>
      </c>
      <c r="BD21" s="209">
        <f t="shared" ca="1" si="6"/>
        <v>1</v>
      </c>
      <c r="BF21" s="173" t="str">
        <f t="shared" ca="1" si="7"/>
        <v>ALLETE, Inc.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ALE</v>
      </c>
    </row>
    <row r="22" spans="1:61" ht="13.8" x14ac:dyDescent="0.25">
      <c r="A22" s="223" t="s">
        <v>225</v>
      </c>
      <c r="B22" s="224" t="s">
        <v>140</v>
      </c>
      <c r="C22" s="224">
        <v>19</v>
      </c>
      <c r="D22" s="224" t="s">
        <v>226</v>
      </c>
      <c r="E22" s="225" t="str">
        <f t="shared" ca="1" si="8"/>
        <v>R</v>
      </c>
      <c r="F22" s="348"/>
      <c r="G22" s="349">
        <f t="shared" ca="1" si="1"/>
        <v>9</v>
      </c>
      <c r="H22" s="350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21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265</v>
      </c>
      <c r="AR22" s="207" t="s">
        <v>140</v>
      </c>
      <c r="AS22" s="207">
        <v>19</v>
      </c>
      <c r="AT22" s="207" t="s">
        <v>266</v>
      </c>
      <c r="AV22" s="168">
        <f t="shared" si="21"/>
        <v>15</v>
      </c>
      <c r="AW22" s="168">
        <f>COUNTIF( AV$7:AV22, AV22 )</f>
        <v>7</v>
      </c>
      <c r="AX22" s="208">
        <f t="shared" si="22"/>
        <v>15.7</v>
      </c>
      <c r="AY22" s="168">
        <f t="shared" si="23"/>
        <v>21</v>
      </c>
      <c r="AZ22" s="169"/>
      <c r="BA22" s="169"/>
      <c r="BC22" s="168">
        <f t="shared" ca="1" si="24"/>
        <v>16</v>
      </c>
      <c r="BD22" s="209">
        <f t="shared" ca="1" si="6"/>
        <v>3</v>
      </c>
      <c r="BF22" s="173" t="str">
        <f t="shared" ca="1" si="7"/>
        <v>Ameren Corporation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AEE</v>
      </c>
    </row>
    <row r="23" spans="1:61" ht="13.8" x14ac:dyDescent="0.25">
      <c r="A23" s="223" t="s">
        <v>215</v>
      </c>
      <c r="B23" s="224" t="s">
        <v>140</v>
      </c>
      <c r="C23" s="224">
        <v>19</v>
      </c>
      <c r="D23" s="224" t="s">
        <v>216</v>
      </c>
      <c r="E23" s="225" t="str">
        <f t="shared" ca="1" si="8"/>
        <v>MR</v>
      </c>
      <c r="F23" s="348"/>
      <c r="G23" s="349">
        <f t="shared" ca="1" si="1"/>
        <v>61</v>
      </c>
      <c r="H23" s="350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22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328</v>
      </c>
      <c r="AR23" s="207" t="s">
        <v>141</v>
      </c>
      <c r="AS23" s="207">
        <v>18</v>
      </c>
      <c r="AT23" s="207" t="s">
        <v>331</v>
      </c>
      <c r="AV23" s="168">
        <f t="shared" si="21"/>
        <v>32</v>
      </c>
      <c r="AW23" s="168">
        <f>COUNTIF( AV$7:AV23, AV23 )</f>
        <v>4</v>
      </c>
      <c r="AX23" s="208">
        <f t="shared" si="22"/>
        <v>32.4</v>
      </c>
      <c r="AY23" s="168">
        <f t="shared" si="23"/>
        <v>35</v>
      </c>
      <c r="AZ23" s="169"/>
      <c r="BA23" s="169"/>
      <c r="BC23" s="168">
        <f t="shared" ca="1" si="24"/>
        <v>17</v>
      </c>
      <c r="BD23" s="209">
        <f t="shared" ca="1" si="6"/>
        <v>6</v>
      </c>
      <c r="BF23" s="173" t="str">
        <f t="shared" ca="1" si="7"/>
        <v>Berkshire Energy Holdings Company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**BRK</v>
      </c>
    </row>
    <row r="24" spans="1:61" ht="13.8" x14ac:dyDescent="0.25">
      <c r="A24" s="223" t="s">
        <v>254</v>
      </c>
      <c r="B24" s="224" t="s">
        <v>140</v>
      </c>
      <c r="C24" s="224">
        <v>19</v>
      </c>
      <c r="D24" s="224" t="s">
        <v>378</v>
      </c>
      <c r="E24" s="225" t="str">
        <f t="shared" ca="1" si="8"/>
        <v>R</v>
      </c>
      <c r="F24" s="348"/>
      <c r="G24" s="349">
        <f t="shared" ca="1" si="1"/>
        <v>14</v>
      </c>
      <c r="H24" s="350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23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367</v>
      </c>
      <c r="AR24" s="207" t="s">
        <v>141</v>
      </c>
      <c r="AS24" s="207">
        <v>18</v>
      </c>
      <c r="AT24" s="207" t="s">
        <v>368</v>
      </c>
      <c r="AV24" s="168">
        <f t="shared" si="21"/>
        <v>32</v>
      </c>
      <c r="AW24" s="168">
        <f>COUNTIF( AV$7:AV24, AV24 )</f>
        <v>5</v>
      </c>
      <c r="AX24" s="208">
        <f t="shared" si="22"/>
        <v>32.5</v>
      </c>
      <c r="AY24" s="168">
        <f t="shared" si="23"/>
        <v>36</v>
      </c>
      <c r="AZ24" s="169"/>
      <c r="BA24" s="169"/>
      <c r="BC24" s="168">
        <f t="shared" ca="1" si="24"/>
        <v>18</v>
      </c>
      <c r="BD24" s="209">
        <f t="shared" ca="1" si="6"/>
        <v>9</v>
      </c>
      <c r="BF24" s="173" t="str">
        <f t="shared" ca="1" si="7"/>
        <v>Cleco Corporation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CNL</v>
      </c>
    </row>
    <row r="25" spans="1:61" ht="13.8" x14ac:dyDescent="0.25">
      <c r="A25" s="223" t="s">
        <v>256</v>
      </c>
      <c r="B25" s="224" t="s">
        <v>140</v>
      </c>
      <c r="C25" s="224">
        <v>19</v>
      </c>
      <c r="D25" s="224" t="s">
        <v>257</v>
      </c>
      <c r="E25" s="225" t="str">
        <f t="shared" ca="1" si="8"/>
        <v>R</v>
      </c>
      <c r="F25" s="348"/>
      <c r="G25" s="349">
        <f t="shared" ca="1" si="1"/>
        <v>15</v>
      </c>
      <c r="H25" s="350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24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267</v>
      </c>
      <c r="AR25" s="207" t="s">
        <v>141</v>
      </c>
      <c r="AS25" s="207">
        <v>18</v>
      </c>
      <c r="AT25" s="207" t="s">
        <v>268</v>
      </c>
      <c r="AV25" s="168">
        <f t="shared" si="21"/>
        <v>32</v>
      </c>
      <c r="AW25" s="168">
        <f>COUNTIF( AV$7:AV25, AV25 )</f>
        <v>6</v>
      </c>
      <c r="AX25" s="208">
        <f t="shared" si="22"/>
        <v>32.6</v>
      </c>
      <c r="AY25" s="168">
        <f t="shared" si="23"/>
        <v>37</v>
      </c>
      <c r="AZ25" s="169"/>
      <c r="BA25" s="169"/>
      <c r="BC25" s="168">
        <f t="shared" ca="1" si="24"/>
        <v>19</v>
      </c>
      <c r="BD25" s="209">
        <f t="shared" ca="1" si="6"/>
        <v>10</v>
      </c>
      <c r="BF25" s="173" t="str">
        <f t="shared" ca="1" si="7"/>
        <v>CMS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CMS</v>
      </c>
    </row>
    <row r="26" spans="1:61" ht="13.8" x14ac:dyDescent="0.25">
      <c r="A26" s="223" t="s">
        <v>261</v>
      </c>
      <c r="B26" s="224" t="s">
        <v>140</v>
      </c>
      <c r="C26" s="224">
        <v>19</v>
      </c>
      <c r="D26" s="224" t="s">
        <v>262</v>
      </c>
      <c r="E26" s="225" t="str">
        <f t="shared" ca="1" si="8"/>
        <v>R</v>
      </c>
      <c r="F26" s="348"/>
      <c r="G26" s="349">
        <f t="shared" ca="1" si="1"/>
        <v>18</v>
      </c>
      <c r="H26" s="350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25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235</v>
      </c>
      <c r="AR26" s="207" t="s">
        <v>166</v>
      </c>
      <c r="AS26" s="207">
        <v>21</v>
      </c>
      <c r="AT26" s="207" t="s">
        <v>236</v>
      </c>
      <c r="AV26" s="168">
        <f t="shared" si="21"/>
        <v>1</v>
      </c>
      <c r="AW26" s="168">
        <f>COUNTIF( AV$7:AV26, AV26 )</f>
        <v>1</v>
      </c>
      <c r="AX26" s="208">
        <f t="shared" si="22"/>
        <v>1.1000000000000001</v>
      </c>
      <c r="AY26" s="168">
        <f t="shared" si="23"/>
        <v>1</v>
      </c>
      <c r="AZ26" s="169"/>
      <c r="BA26" s="169"/>
      <c r="BC26" s="168">
        <f t="shared" ca="1" si="24"/>
        <v>20</v>
      </c>
      <c r="BD26" s="209">
        <f t="shared" ca="1" si="6"/>
        <v>14</v>
      </c>
      <c r="BF26" s="173" t="str">
        <f t="shared" ca="1" si="7"/>
        <v>DTE Energy Company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DTE</v>
      </c>
    </row>
    <row r="27" spans="1:61" ht="13.8" x14ac:dyDescent="0.25">
      <c r="A27" s="223" t="s">
        <v>265</v>
      </c>
      <c r="B27" s="224" t="s">
        <v>140</v>
      </c>
      <c r="C27" s="224">
        <v>19</v>
      </c>
      <c r="D27" s="224" t="s">
        <v>266</v>
      </c>
      <c r="E27" s="225" t="str">
        <f t="shared" ca="1" si="8"/>
        <v>R</v>
      </c>
      <c r="F27" s="348"/>
      <c r="G27" s="349">
        <f t="shared" ca="1" si="1"/>
        <v>20</v>
      </c>
      <c r="H27" s="350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269</v>
      </c>
      <c r="AR27" s="207" t="s">
        <v>141</v>
      </c>
      <c r="AS27" s="207">
        <v>18</v>
      </c>
      <c r="AT27" s="207" t="s">
        <v>270</v>
      </c>
      <c r="AV27" s="168">
        <f t="shared" si="21"/>
        <v>32</v>
      </c>
      <c r="AW27" s="168">
        <f>COUNTIF( AV$7:AV27, AV27 )</f>
        <v>7</v>
      </c>
      <c r="AX27" s="208">
        <f t="shared" si="22"/>
        <v>32.700000000000003</v>
      </c>
      <c r="AY27" s="168">
        <f t="shared" si="23"/>
        <v>38</v>
      </c>
      <c r="AZ27" s="169"/>
      <c r="BA27" s="169"/>
      <c r="BC27" s="168">
        <f t="shared" ca="1" si="24"/>
        <v>21</v>
      </c>
      <c r="BD27" s="209">
        <f t="shared" ca="1" si="6"/>
        <v>16</v>
      </c>
      <c r="BF27" s="173" t="str">
        <f t="shared" ca="1" si="7"/>
        <v>Edison International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EIX</v>
      </c>
    </row>
    <row r="28" spans="1:61" ht="13.8" x14ac:dyDescent="0.25">
      <c r="A28" s="223" t="s">
        <v>352</v>
      </c>
      <c r="B28" s="224" t="s">
        <v>140</v>
      </c>
      <c r="C28" s="224">
        <v>19</v>
      </c>
      <c r="D28" s="224" t="s">
        <v>353</v>
      </c>
      <c r="E28" s="225" t="str">
        <f t="shared" ca="1" si="8"/>
        <v>R</v>
      </c>
      <c r="F28" s="348"/>
      <c r="G28" s="349">
        <f t="shared" ca="1" si="1"/>
        <v>26</v>
      </c>
      <c r="H28" s="350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275</v>
      </c>
      <c r="AR28" s="207" t="s">
        <v>142</v>
      </c>
      <c r="AS28" s="207">
        <v>17</v>
      </c>
      <c r="AT28" s="207" t="s">
        <v>276</v>
      </c>
      <c r="AV28" s="168">
        <f t="shared" si="21"/>
        <v>47</v>
      </c>
      <c r="AW28" s="168">
        <f>COUNTIF( AV$7:AV28, AV28 )</f>
        <v>1</v>
      </c>
      <c r="AX28" s="208">
        <f t="shared" si="22"/>
        <v>47.1</v>
      </c>
      <c r="AY28" s="168">
        <f t="shared" si="23"/>
        <v>47</v>
      </c>
      <c r="AZ28" s="169"/>
      <c r="BA28" s="169"/>
      <c r="BC28" s="168">
        <f t="shared" ca="1" si="24"/>
        <v>22</v>
      </c>
      <c r="BD28" s="209">
        <f t="shared" ca="1" si="6"/>
        <v>23</v>
      </c>
      <c r="BF28" s="173" t="str">
        <f t="shared" ca="1" si="7"/>
        <v>Great Plains Energy Inc.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GXP</v>
      </c>
    </row>
    <row r="29" spans="1:61" ht="13.8" x14ac:dyDescent="0.25">
      <c r="A29" s="223" t="s">
        <v>271</v>
      </c>
      <c r="B29" s="224" t="s">
        <v>140</v>
      </c>
      <c r="C29" s="224">
        <v>19</v>
      </c>
      <c r="D29" s="224" t="s">
        <v>272</v>
      </c>
      <c r="E29" s="225" t="str">
        <f t="shared" ca="1" si="8"/>
        <v>D</v>
      </c>
      <c r="F29" s="348"/>
      <c r="G29" s="349">
        <f t="shared" ca="1" si="1"/>
        <v>30</v>
      </c>
      <c r="H29" s="350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352</v>
      </c>
      <c r="AR29" s="207" t="s">
        <v>140</v>
      </c>
      <c r="AS29" s="207">
        <v>19</v>
      </c>
      <c r="AT29" s="207" t="s">
        <v>353</v>
      </c>
      <c r="AV29" s="168">
        <f t="shared" si="21"/>
        <v>15</v>
      </c>
      <c r="AW29" s="168">
        <f>COUNTIF( AV$7:AV29, AV29 )</f>
        <v>8</v>
      </c>
      <c r="AX29" s="208">
        <f t="shared" si="22"/>
        <v>15.8</v>
      </c>
      <c r="AY29" s="168">
        <f t="shared" si="23"/>
        <v>22</v>
      </c>
      <c r="AZ29" s="169"/>
      <c r="BA29" s="169"/>
      <c r="BC29" s="168">
        <f t="shared" ca="1" si="24"/>
        <v>23</v>
      </c>
      <c r="BD29" s="209">
        <f t="shared" ca="1" si="6"/>
        <v>28</v>
      </c>
      <c r="BF29" s="173" t="str">
        <f t="shared" ca="1" si="7"/>
        <v>MDU Resources Group, Inc.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MDU</v>
      </c>
    </row>
    <row r="30" spans="1:61" ht="13.8" x14ac:dyDescent="0.25">
      <c r="A30" s="223" t="s">
        <v>273</v>
      </c>
      <c r="B30" s="224" t="s">
        <v>140</v>
      </c>
      <c r="C30" s="224">
        <v>19</v>
      </c>
      <c r="D30" s="224" t="s">
        <v>274</v>
      </c>
      <c r="E30" s="225" t="str">
        <f t="shared" ca="1" si="8"/>
        <v>MR</v>
      </c>
      <c r="F30" s="348"/>
      <c r="G30" s="349">
        <f t="shared" ca="1" si="1"/>
        <v>33</v>
      </c>
      <c r="H30" s="350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>
        <f t="shared" ca="1" si="3"/>
        <v>1</v>
      </c>
      <c r="AH30" s="169" t="str">
        <f t="shared" ca="1" si="18"/>
        <v/>
      </c>
      <c r="AJ30" s="169">
        <f t="shared" ca="1" si="19"/>
        <v>55</v>
      </c>
      <c r="AK30" s="169" t="str">
        <f t="shared" ca="1" si="20"/>
        <v>BBB-</v>
      </c>
      <c r="AL30" s="169">
        <f t="shared" ca="1" si="20"/>
        <v>17</v>
      </c>
      <c r="AM30" s="169" t="str">
        <f t="shared" ca="1" si="4"/>
        <v>Change</v>
      </c>
      <c r="AQ30" s="207" t="s">
        <v>279</v>
      </c>
      <c r="AR30" s="207" t="s">
        <v>142</v>
      </c>
      <c r="AS30" s="207">
        <v>17</v>
      </c>
      <c r="AT30" s="207" t="s">
        <v>280</v>
      </c>
      <c r="AV30" s="168">
        <f t="shared" si="21"/>
        <v>47</v>
      </c>
      <c r="AW30" s="168">
        <f>COUNTIF( AV$7:AV30, AV30 )</f>
        <v>2</v>
      </c>
      <c r="AX30" s="208">
        <f t="shared" si="22"/>
        <v>47.2</v>
      </c>
      <c r="AY30" s="168">
        <f t="shared" si="23"/>
        <v>48</v>
      </c>
      <c r="AZ30" s="169"/>
      <c r="BA30" s="169"/>
      <c r="BC30" s="168">
        <f t="shared" ca="1" si="24"/>
        <v>24</v>
      </c>
      <c r="BD30" s="209">
        <f t="shared" ca="1" si="6"/>
        <v>30</v>
      </c>
      <c r="BF30" s="173" t="str">
        <f t="shared" ca="1" si="7"/>
        <v>NiSource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NI</v>
      </c>
    </row>
    <row r="31" spans="1:61" ht="13.8" x14ac:dyDescent="0.25">
      <c r="A31" s="223" t="s">
        <v>382</v>
      </c>
      <c r="B31" s="224" t="s">
        <v>140</v>
      </c>
      <c r="C31" s="224">
        <v>19</v>
      </c>
      <c r="D31" s="224" t="s">
        <v>383</v>
      </c>
      <c r="E31" s="225" t="str">
        <f t="shared" ca="1" si="8"/>
        <v>R</v>
      </c>
      <c r="F31" s="348"/>
      <c r="G31" s="349">
        <f t="shared" ca="1" si="1"/>
        <v>38</v>
      </c>
      <c r="H31" s="350"/>
      <c r="I31" s="237"/>
      <c r="J31" s="191"/>
      <c r="K31" s="237"/>
      <c r="N31" s="237"/>
      <c r="O31" s="351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30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387</v>
      </c>
      <c r="AR31" s="207" t="s">
        <v>141</v>
      </c>
      <c r="AS31" s="207">
        <v>18</v>
      </c>
      <c r="AT31" s="207" t="s">
        <v>388</v>
      </c>
      <c r="AV31" s="168">
        <f t="shared" si="21"/>
        <v>32</v>
      </c>
      <c r="AW31" s="168">
        <f>COUNTIF( AV$7:AV31, AV31 )</f>
        <v>8</v>
      </c>
      <c r="AX31" s="208">
        <f t="shared" si="22"/>
        <v>32.799999999999997</v>
      </c>
      <c r="AY31" s="168">
        <f t="shared" si="23"/>
        <v>39</v>
      </c>
      <c r="AZ31" s="169"/>
      <c r="BA31" s="169"/>
      <c r="BC31" s="168">
        <f t="shared" ca="1" si="24"/>
        <v>25</v>
      </c>
      <c r="BD31" s="209">
        <f t="shared" ca="1" si="6"/>
        <v>34</v>
      </c>
      <c r="BF31" s="173" t="str">
        <f t="shared" ca="1" si="7"/>
        <v>Pepco Holdings,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POM</v>
      </c>
    </row>
    <row r="32" spans="1:61" ht="13.8" x14ac:dyDescent="0.25">
      <c r="A32" s="223" t="s">
        <v>289</v>
      </c>
      <c r="B32" s="224" t="s">
        <v>140</v>
      </c>
      <c r="C32" s="224">
        <v>19</v>
      </c>
      <c r="D32" s="224" t="s">
        <v>290</v>
      </c>
      <c r="E32" s="225" t="str">
        <f t="shared" ca="1" si="8"/>
        <v>MR</v>
      </c>
      <c r="F32" s="348"/>
      <c r="G32" s="349">
        <f t="shared" ca="1" si="1"/>
        <v>44</v>
      </c>
      <c r="H32" s="350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31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283</v>
      </c>
      <c r="AR32" s="207" t="s">
        <v>141</v>
      </c>
      <c r="AS32" s="207">
        <v>18</v>
      </c>
      <c r="AT32" s="207" t="s">
        <v>284</v>
      </c>
      <c r="AV32" s="168">
        <f t="shared" si="21"/>
        <v>32</v>
      </c>
      <c r="AW32" s="168">
        <f>COUNTIF( AV$7:AV32, AV32 )</f>
        <v>9</v>
      </c>
      <c r="AX32" s="208">
        <f t="shared" si="22"/>
        <v>32.9</v>
      </c>
      <c r="AY32" s="168">
        <f t="shared" si="23"/>
        <v>40</v>
      </c>
      <c r="AZ32" s="169"/>
      <c r="BA32" s="169"/>
      <c r="BC32" s="168">
        <f t="shared" ca="1" si="24"/>
        <v>26</v>
      </c>
      <c r="BD32" s="209">
        <f t="shared" ca="1" si="6"/>
        <v>40</v>
      </c>
      <c r="BF32" s="173" t="str">
        <f t="shared" ca="1" si="7"/>
        <v>Public Service Enterprise Group Incorporated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PEG</v>
      </c>
    </row>
    <row r="33" spans="1:61" ht="13.8" x14ac:dyDescent="0.25">
      <c r="A33" s="223" t="s">
        <v>347</v>
      </c>
      <c r="B33" s="224" t="s">
        <v>140</v>
      </c>
      <c r="C33" s="224">
        <v>19</v>
      </c>
      <c r="D33" s="224" t="s">
        <v>348</v>
      </c>
      <c r="E33" s="225" t="str">
        <f t="shared" ca="1" si="8"/>
        <v>MR</v>
      </c>
      <c r="F33" s="348"/>
      <c r="G33" s="349">
        <f t="shared" ca="1" si="1"/>
        <v>45</v>
      </c>
      <c r="H33" s="350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32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287</v>
      </c>
      <c r="AR33" s="207" t="s">
        <v>173</v>
      </c>
      <c r="AS33" s="207">
        <v>16</v>
      </c>
      <c r="AT33" s="207" t="s">
        <v>288</v>
      </c>
      <c r="AV33" s="168">
        <f t="shared" si="21"/>
        <v>50</v>
      </c>
      <c r="AW33" s="168">
        <f>COUNTIF( AV$7:AV33, AV33 )</f>
        <v>1</v>
      </c>
      <c r="AX33" s="208">
        <f t="shared" si="22"/>
        <v>50.1</v>
      </c>
      <c r="AY33" s="168">
        <f t="shared" si="23"/>
        <v>50</v>
      </c>
      <c r="AZ33" s="169"/>
      <c r="BA33" s="169"/>
      <c r="BC33" s="168">
        <f t="shared" ca="1" si="24"/>
        <v>27</v>
      </c>
      <c r="BD33" s="209">
        <f t="shared" ca="1" si="6"/>
        <v>42</v>
      </c>
      <c r="BF33" s="173" t="str">
        <f t="shared" ca="1" si="7"/>
        <v>SCANA Corporation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SCG</v>
      </c>
    </row>
    <row r="34" spans="1:61" ht="13.8" x14ac:dyDescent="0.25">
      <c r="A34" s="223" t="s">
        <v>291</v>
      </c>
      <c r="B34" s="224" t="s">
        <v>140</v>
      </c>
      <c r="C34" s="224">
        <v>19</v>
      </c>
      <c r="D34" s="224" t="s">
        <v>292</v>
      </c>
      <c r="E34" s="225" t="str">
        <f t="shared" ca="1" si="8"/>
        <v>MR</v>
      </c>
      <c r="F34" s="348"/>
      <c r="G34" s="349">
        <f t="shared" ca="1" si="1"/>
        <v>46</v>
      </c>
      <c r="H34" s="350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33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271</v>
      </c>
      <c r="AR34" s="207" t="s">
        <v>140</v>
      </c>
      <c r="AS34" s="207">
        <v>19</v>
      </c>
      <c r="AT34" s="207" t="s">
        <v>272</v>
      </c>
      <c r="AV34" s="168">
        <f t="shared" si="21"/>
        <v>15</v>
      </c>
      <c r="AW34" s="168">
        <f>COUNTIF( AV$7:AV34, AV34 )</f>
        <v>9</v>
      </c>
      <c r="AX34" s="208">
        <f t="shared" si="22"/>
        <v>15.9</v>
      </c>
      <c r="AY34" s="168">
        <f t="shared" si="23"/>
        <v>23</v>
      </c>
      <c r="AZ34" s="169"/>
      <c r="BA34" s="169"/>
      <c r="BC34" s="168">
        <f t="shared" ca="1" si="24"/>
        <v>28</v>
      </c>
      <c r="BD34" s="209">
        <f t="shared" ca="1" si="6"/>
        <v>43</v>
      </c>
      <c r="BF34" s="173" t="str">
        <f t="shared" ca="1" si="7"/>
        <v>Sempra Energy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SRE</v>
      </c>
    </row>
    <row r="35" spans="1:61" ht="13.8" x14ac:dyDescent="0.25">
      <c r="A35" s="223" t="s">
        <v>369</v>
      </c>
      <c r="B35" s="224" t="s">
        <v>140</v>
      </c>
      <c r="C35" s="224">
        <v>19</v>
      </c>
      <c r="D35" s="224" t="s">
        <v>375</v>
      </c>
      <c r="E35" s="225" t="str">
        <f t="shared" ca="1" si="8"/>
        <v>R</v>
      </c>
      <c r="F35" s="348"/>
      <c r="G35" s="349">
        <f t="shared" ca="1" si="1"/>
        <v>48</v>
      </c>
      <c r="H35" s="350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34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240</v>
      </c>
      <c r="AR35" s="207" t="s">
        <v>139</v>
      </c>
      <c r="AS35" s="207">
        <v>20</v>
      </c>
      <c r="AT35" s="207" t="s">
        <v>241</v>
      </c>
      <c r="AV35" s="168">
        <f t="shared" si="21"/>
        <v>3</v>
      </c>
      <c r="AW35" s="168">
        <f>COUNTIF( AV$7:AV35, AV35 )</f>
        <v>6</v>
      </c>
      <c r="AX35" s="208">
        <f t="shared" si="22"/>
        <v>3.6</v>
      </c>
      <c r="AY35" s="168">
        <f t="shared" si="23"/>
        <v>8</v>
      </c>
      <c r="AZ35" s="169"/>
      <c r="BA35" s="169"/>
      <c r="BC35" s="168">
        <f t="shared" ca="1" si="24"/>
        <v>29</v>
      </c>
      <c r="BD35" s="209">
        <f t="shared" ca="1" si="6"/>
        <v>45</v>
      </c>
      <c r="BF35" s="173" t="str">
        <f t="shared" ca="1" si="7"/>
        <v>TECO Energy, Inc.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TE</v>
      </c>
    </row>
    <row r="36" spans="1:61" ht="13.8" x14ac:dyDescent="0.25">
      <c r="A36" s="223" t="s">
        <v>295</v>
      </c>
      <c r="B36" s="224" t="s">
        <v>140</v>
      </c>
      <c r="C36" s="224">
        <v>19</v>
      </c>
      <c r="D36" s="224" t="s">
        <v>296</v>
      </c>
      <c r="E36" s="225" t="str">
        <f t="shared" ca="1" si="8"/>
        <v>R</v>
      </c>
      <c r="F36" s="348"/>
      <c r="G36" s="349">
        <f t="shared" ca="1" si="1"/>
        <v>50</v>
      </c>
      <c r="H36" s="350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35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273</v>
      </c>
      <c r="AR36" s="207" t="s">
        <v>140</v>
      </c>
      <c r="AS36" s="207">
        <v>19</v>
      </c>
      <c r="AT36" s="207" t="s">
        <v>274</v>
      </c>
      <c r="AV36" s="168">
        <f t="shared" si="21"/>
        <v>15</v>
      </c>
      <c r="AW36" s="168">
        <f>COUNTIF( AV$7:AV36, AV36 )</f>
        <v>10</v>
      </c>
      <c r="AX36" s="208">
        <f t="shared" si="22"/>
        <v>16</v>
      </c>
      <c r="AY36" s="168">
        <f t="shared" si="23"/>
        <v>24</v>
      </c>
      <c r="AZ36" s="169"/>
      <c r="BA36" s="169"/>
      <c r="BC36" s="168">
        <f t="shared" ca="1" si="24"/>
        <v>30</v>
      </c>
      <c r="BD36" s="209">
        <f t="shared" ca="1" si="6"/>
        <v>47</v>
      </c>
      <c r="BF36" s="173" t="str">
        <f t="shared" ca="1" si="7"/>
        <v>Unitil Corporation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*UTL</v>
      </c>
    </row>
    <row r="37" spans="1:61" ht="13.8" x14ac:dyDescent="0.25">
      <c r="A37" s="223" t="s">
        <v>354</v>
      </c>
      <c r="B37" s="224" t="s">
        <v>140</v>
      </c>
      <c r="C37" s="224">
        <v>19</v>
      </c>
      <c r="D37" s="224" t="s">
        <v>355</v>
      </c>
      <c r="E37" s="225" t="str">
        <f t="shared" ca="1" si="8"/>
        <v>R</v>
      </c>
      <c r="F37" s="348"/>
      <c r="G37" s="349">
        <f t="shared" ca="1" si="1"/>
        <v>53</v>
      </c>
      <c r="H37" s="350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36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297</v>
      </c>
      <c r="AR37" s="207" t="s">
        <v>141</v>
      </c>
      <c r="AS37" s="207">
        <v>18</v>
      </c>
      <c r="AT37" s="207" t="s">
        <v>298</v>
      </c>
      <c r="AV37" s="168">
        <f t="shared" si="21"/>
        <v>32</v>
      </c>
      <c r="AW37" s="168">
        <f>COUNTIF( AV$7:AV37, AV37 )</f>
        <v>10</v>
      </c>
      <c r="AX37" s="208">
        <f t="shared" si="22"/>
        <v>33</v>
      </c>
      <c r="AY37" s="168">
        <f t="shared" si="23"/>
        <v>41</v>
      </c>
      <c r="AZ37" s="169"/>
      <c r="BA37" s="169"/>
      <c r="BC37" s="168">
        <f t="shared" ca="1" si="24"/>
        <v>31</v>
      </c>
      <c r="BD37" s="209">
        <f t="shared" ca="1" si="6"/>
        <v>49</v>
      </c>
      <c r="BF37" s="173" t="str">
        <f t="shared" ca="1" si="7"/>
        <v>Westar Energy, Inc.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WR</v>
      </c>
    </row>
    <row r="38" spans="1:61" ht="13.8" x14ac:dyDescent="0.25">
      <c r="A38" s="223" t="s">
        <v>222</v>
      </c>
      <c r="B38" s="224" t="s">
        <v>141</v>
      </c>
      <c r="C38" s="224">
        <v>18</v>
      </c>
      <c r="D38" s="224" t="s">
        <v>223</v>
      </c>
      <c r="E38" s="225" t="str">
        <f t="shared" ca="1" si="8"/>
        <v>R</v>
      </c>
      <c r="F38" s="348"/>
      <c r="G38" s="349">
        <f t="shared" ca="1" si="1"/>
        <v>10</v>
      </c>
      <c r="H38" s="350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37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277</v>
      </c>
      <c r="AR38" s="207" t="s">
        <v>139</v>
      </c>
      <c r="AS38" s="207">
        <v>20</v>
      </c>
      <c r="AT38" s="207" t="s">
        <v>278</v>
      </c>
      <c r="AV38" s="168">
        <f t="shared" si="21"/>
        <v>3</v>
      </c>
      <c r="AW38" s="168">
        <f>COUNTIF( AV$7:AV38, AV38 )</f>
        <v>7</v>
      </c>
      <c r="AX38" s="208">
        <f t="shared" si="22"/>
        <v>3.7</v>
      </c>
      <c r="AY38" s="168">
        <f t="shared" si="23"/>
        <v>9</v>
      </c>
      <c r="AZ38" s="169"/>
      <c r="BA38" s="169"/>
      <c r="BC38" s="168">
        <f t="shared" ca="1" si="24"/>
        <v>32</v>
      </c>
      <c r="BD38" s="209">
        <f t="shared" ca="1" si="6"/>
        <v>4</v>
      </c>
      <c r="BF38" s="173" t="str">
        <f t="shared" ca="1" si="7"/>
        <v>American Electric Power Company, Inc.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AEP</v>
      </c>
    </row>
    <row r="39" spans="1:61" ht="13.8" x14ac:dyDescent="0.25">
      <c r="A39" s="223" t="s">
        <v>238</v>
      </c>
      <c r="B39" s="224" t="s">
        <v>141</v>
      </c>
      <c r="C39" s="224">
        <v>18</v>
      </c>
      <c r="D39" s="224" t="s">
        <v>239</v>
      </c>
      <c r="E39" s="225" t="str">
        <f t="shared" ca="1" si="8"/>
        <v>R</v>
      </c>
      <c r="F39" s="348"/>
      <c r="G39" s="349">
        <f t="shared" ca="1" si="1"/>
        <v>11</v>
      </c>
      <c r="H39" s="350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38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299</v>
      </c>
      <c r="AR39" s="207" t="s">
        <v>141</v>
      </c>
      <c r="AS39" s="207">
        <v>18</v>
      </c>
      <c r="AT39" s="207" t="s">
        <v>300</v>
      </c>
      <c r="AV39" s="168">
        <f t="shared" si="21"/>
        <v>32</v>
      </c>
      <c r="AW39" s="168">
        <f>COUNTIF( AV$7:AV39, AV39 )</f>
        <v>11</v>
      </c>
      <c r="AX39" s="208">
        <f t="shared" si="22"/>
        <v>33.1</v>
      </c>
      <c r="AY39" s="168">
        <f t="shared" si="23"/>
        <v>42</v>
      </c>
      <c r="AZ39" s="169"/>
      <c r="BA39" s="169"/>
      <c r="BC39" s="168">
        <f t="shared" ca="1" si="24"/>
        <v>33</v>
      </c>
      <c r="BD39" s="209">
        <f t="shared" ca="1" si="6"/>
        <v>5</v>
      </c>
      <c r="BF39" s="173" t="str">
        <f t="shared" ref="BF39:BI63" ca="1" si="25">OFFSET( AQ$6, $BD39, 0 )</f>
        <v>Avista Corporation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AVA</v>
      </c>
    </row>
    <row r="40" spans="1:61" ht="13.8" x14ac:dyDescent="0.25">
      <c r="A40" s="223" t="s">
        <v>245</v>
      </c>
      <c r="B40" s="224" t="s">
        <v>141</v>
      </c>
      <c r="C40" s="224">
        <v>18</v>
      </c>
      <c r="D40" s="224" t="s">
        <v>246</v>
      </c>
      <c r="E40" s="225" t="str">
        <f t="shared" ca="1" si="8"/>
        <v>R</v>
      </c>
      <c r="F40" s="348"/>
      <c r="G40" s="349">
        <f t="shared" ca="1" si="1"/>
        <v>12</v>
      </c>
      <c r="H40" s="350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39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382</v>
      </c>
      <c r="AR40" s="207" t="s">
        <v>140</v>
      </c>
      <c r="AS40" s="207">
        <v>19</v>
      </c>
      <c r="AT40" s="207" t="s">
        <v>383</v>
      </c>
      <c r="AV40" s="168">
        <f t="shared" si="21"/>
        <v>15</v>
      </c>
      <c r="AW40" s="168">
        <f>COUNTIF( AV$7:AV40, AV40 )</f>
        <v>11</v>
      </c>
      <c r="AX40" s="208">
        <f t="shared" si="22"/>
        <v>16.100000000000001</v>
      </c>
      <c r="AY40" s="168">
        <f t="shared" si="23"/>
        <v>25</v>
      </c>
      <c r="AZ40" s="169"/>
      <c r="BA40" s="169"/>
      <c r="BC40" s="168">
        <f t="shared" ca="1" si="24"/>
        <v>34</v>
      </c>
      <c r="BD40" s="209">
        <f t="shared" ca="1" si="6"/>
        <v>7</v>
      </c>
      <c r="BF40" s="173" t="str">
        <f t="shared" ca="1" si="25"/>
        <v>Black Hills Corporation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BKH</v>
      </c>
    </row>
    <row r="41" spans="1:61" ht="13.8" x14ac:dyDescent="0.25">
      <c r="A41" s="223" t="s">
        <v>328</v>
      </c>
      <c r="B41" s="224" t="s">
        <v>141</v>
      </c>
      <c r="C41" s="224">
        <v>18</v>
      </c>
      <c r="D41" s="224" t="s">
        <v>331</v>
      </c>
      <c r="E41" s="225" t="str">
        <f t="shared" ca="1" si="8"/>
        <v>R</v>
      </c>
      <c r="F41" s="348"/>
      <c r="G41" s="349">
        <f t="shared" ca="1" si="1"/>
        <v>21</v>
      </c>
      <c r="H41" s="350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40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301</v>
      </c>
      <c r="AR41" s="207" t="s">
        <v>141</v>
      </c>
      <c r="AS41" s="207">
        <v>18</v>
      </c>
      <c r="AT41" s="207" t="s">
        <v>302</v>
      </c>
      <c r="AV41" s="168">
        <f t="shared" si="21"/>
        <v>32</v>
      </c>
      <c r="AW41" s="168">
        <f>COUNTIF( AV$7:AV41, AV41 )</f>
        <v>12</v>
      </c>
      <c r="AX41" s="208">
        <f t="shared" si="22"/>
        <v>33.200000000000003</v>
      </c>
      <c r="AY41" s="168">
        <f t="shared" si="23"/>
        <v>43</v>
      </c>
      <c r="AZ41" s="169"/>
      <c r="BA41" s="169"/>
      <c r="BC41" s="168">
        <f t="shared" ca="1" si="24"/>
        <v>35</v>
      </c>
      <c r="BD41" s="209">
        <f t="shared" ca="1" si="6"/>
        <v>17</v>
      </c>
      <c r="BF41" s="173" t="str">
        <f t="shared" ca="1" si="25"/>
        <v>El Paso Electric Company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EE</v>
      </c>
    </row>
    <row r="42" spans="1:61" ht="13.8" x14ac:dyDescent="0.25">
      <c r="A42" s="223" t="s">
        <v>367</v>
      </c>
      <c r="B42" s="224" t="s">
        <v>141</v>
      </c>
      <c r="C42" s="224">
        <v>18</v>
      </c>
      <c r="D42" s="224" t="s">
        <v>368</v>
      </c>
      <c r="E42" s="225" t="str">
        <f t="shared" ca="1" si="8"/>
        <v>R</v>
      </c>
      <c r="F42" s="348"/>
      <c r="G42" s="349">
        <f t="shared" ca="1" si="1"/>
        <v>22</v>
      </c>
      <c r="H42" s="350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41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281</v>
      </c>
      <c r="AR42" s="207" t="s">
        <v>139</v>
      </c>
      <c r="AS42" s="207">
        <v>20</v>
      </c>
      <c r="AT42" s="207" t="s">
        <v>282</v>
      </c>
      <c r="AV42" s="168">
        <f t="shared" si="21"/>
        <v>3</v>
      </c>
      <c r="AW42" s="168">
        <f>COUNTIF( AV$7:AV42, AV42 )</f>
        <v>8</v>
      </c>
      <c r="AX42" s="208">
        <f t="shared" si="22"/>
        <v>3.8</v>
      </c>
      <c r="AY42" s="168">
        <f t="shared" si="23"/>
        <v>10</v>
      </c>
      <c r="AZ42" s="169"/>
      <c r="BA42" s="169"/>
      <c r="BC42" s="168">
        <f t="shared" ca="1" si="24"/>
        <v>36</v>
      </c>
      <c r="BD42" s="209">
        <f t="shared" ca="1" si="6"/>
        <v>18</v>
      </c>
      <c r="BF42" s="173" t="str">
        <f t="shared" ca="1" si="25"/>
        <v>Empire District Electric Company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EDE</v>
      </c>
    </row>
    <row r="43" spans="1:61" ht="13.8" x14ac:dyDescent="0.25">
      <c r="A43" s="223" t="s">
        <v>267</v>
      </c>
      <c r="B43" s="224" t="s">
        <v>141</v>
      </c>
      <c r="C43" s="224">
        <v>18</v>
      </c>
      <c r="D43" s="224" t="s">
        <v>268</v>
      </c>
      <c r="E43" s="225" t="str">
        <f t="shared" ca="1" si="8"/>
        <v>R</v>
      </c>
      <c r="F43" s="348"/>
      <c r="G43" s="349">
        <f t="shared" ca="1" si="1"/>
        <v>23</v>
      </c>
      <c r="H43" s="350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42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303</v>
      </c>
      <c r="AR43" s="207" t="s">
        <v>141</v>
      </c>
      <c r="AS43" s="207">
        <v>18</v>
      </c>
      <c r="AT43" s="207" t="s">
        <v>304</v>
      </c>
      <c r="AV43" s="168">
        <f t="shared" si="21"/>
        <v>32</v>
      </c>
      <c r="AW43" s="168">
        <f>COUNTIF( AV$7:AV43, AV43 )</f>
        <v>13</v>
      </c>
      <c r="AX43" s="208">
        <f t="shared" si="22"/>
        <v>33.299999999999997</v>
      </c>
      <c r="AY43" s="168">
        <f t="shared" si="23"/>
        <v>44</v>
      </c>
      <c r="AZ43" s="169"/>
      <c r="BA43" s="169"/>
      <c r="BC43" s="168">
        <f t="shared" ca="1" si="24"/>
        <v>37</v>
      </c>
      <c r="BD43" s="209">
        <f t="shared" ca="1" si="6"/>
        <v>19</v>
      </c>
      <c r="BF43" s="173" t="str">
        <f t="shared" ca="1" si="25"/>
        <v>Entergy Corporation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ETR</v>
      </c>
    </row>
    <row r="44" spans="1:61" ht="13.8" x14ac:dyDescent="0.25">
      <c r="A44" s="223" t="s">
        <v>269</v>
      </c>
      <c r="B44" s="224" t="s">
        <v>141</v>
      </c>
      <c r="C44" s="224">
        <v>18</v>
      </c>
      <c r="D44" s="224" t="s">
        <v>270</v>
      </c>
      <c r="E44" s="225" t="str">
        <f t="shared" ca="1" si="8"/>
        <v>MR</v>
      </c>
      <c r="F44" s="348"/>
      <c r="G44" s="349">
        <f t="shared" ca="1" si="1"/>
        <v>24</v>
      </c>
      <c r="H44" s="350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43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285</v>
      </c>
      <c r="AR44" s="207" t="s">
        <v>141</v>
      </c>
      <c r="AS44" s="207">
        <v>18</v>
      </c>
      <c r="AT44" s="207" t="s">
        <v>286</v>
      </c>
      <c r="AV44" s="168">
        <f t="shared" si="21"/>
        <v>32</v>
      </c>
      <c r="AW44" s="168">
        <f>COUNTIF( AV$7:AV44, AV44 )</f>
        <v>14</v>
      </c>
      <c r="AX44" s="208">
        <f t="shared" si="22"/>
        <v>33.4</v>
      </c>
      <c r="AY44" s="168">
        <f t="shared" si="23"/>
        <v>45</v>
      </c>
      <c r="AZ44" s="169"/>
      <c r="BA44" s="169"/>
      <c r="BC44" s="168">
        <f t="shared" ca="1" si="24"/>
        <v>38</v>
      </c>
      <c r="BD44" s="209">
        <f t="shared" ca="1" si="6"/>
        <v>21</v>
      </c>
      <c r="BF44" s="173" t="str">
        <f t="shared" ca="1" si="25"/>
        <v>Exelon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EXC</v>
      </c>
    </row>
    <row r="45" spans="1:61" ht="13.8" x14ac:dyDescent="0.25">
      <c r="A45" s="223" t="s">
        <v>387</v>
      </c>
      <c r="B45" s="224" t="s">
        <v>141</v>
      </c>
      <c r="C45" s="224">
        <v>18</v>
      </c>
      <c r="D45" s="224" t="s">
        <v>388</v>
      </c>
      <c r="E45" s="225" t="str">
        <f t="shared" ca="1" si="8"/>
        <v>R</v>
      </c>
      <c r="F45" s="348"/>
      <c r="G45" s="349">
        <f t="shared" ca="1" si="1"/>
        <v>57</v>
      </c>
      <c r="H45" s="350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44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243</v>
      </c>
      <c r="AR45" s="207" t="s">
        <v>139</v>
      </c>
      <c r="AS45" s="207">
        <v>20</v>
      </c>
      <c r="AT45" s="207" t="s">
        <v>244</v>
      </c>
      <c r="AV45" s="168">
        <f t="shared" si="21"/>
        <v>3</v>
      </c>
      <c r="AW45" s="168">
        <f>COUNTIF( AV$7:AV45, AV45 )</f>
        <v>9</v>
      </c>
      <c r="AX45" s="208">
        <f t="shared" si="22"/>
        <v>3.9</v>
      </c>
      <c r="AY45" s="168">
        <f t="shared" si="23"/>
        <v>11</v>
      </c>
      <c r="AZ45" s="169"/>
      <c r="BA45" s="169"/>
      <c r="BC45" s="168">
        <f t="shared" ca="1" si="24"/>
        <v>39</v>
      </c>
      <c r="BD45" s="209">
        <f t="shared" ca="1" si="6"/>
        <v>25</v>
      </c>
      <c r="BF45" s="173" t="str">
        <f t="shared" ca="1" si="25"/>
        <v>Iberdrola USA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**EAST</v>
      </c>
    </row>
    <row r="46" spans="1:61" ht="13.8" x14ac:dyDescent="0.25">
      <c r="A46" s="223" t="s">
        <v>283</v>
      </c>
      <c r="B46" s="224" t="s">
        <v>141</v>
      </c>
      <c r="C46" s="224">
        <v>18</v>
      </c>
      <c r="D46" s="224" t="s">
        <v>284</v>
      </c>
      <c r="E46" s="225" t="str">
        <f t="shared" ca="1" si="8"/>
        <v>R</v>
      </c>
      <c r="F46" s="348"/>
      <c r="G46" s="349">
        <f t="shared" ca="1" si="1"/>
        <v>28</v>
      </c>
      <c r="H46" s="350"/>
      <c r="I46" s="191"/>
      <c r="K46" s="191"/>
      <c r="N46" s="351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45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289</v>
      </c>
      <c r="AR46" s="207" t="s">
        <v>140</v>
      </c>
      <c r="AS46" s="207">
        <v>19</v>
      </c>
      <c r="AT46" s="207" t="s">
        <v>290</v>
      </c>
      <c r="AV46" s="168">
        <f t="shared" si="21"/>
        <v>15</v>
      </c>
      <c r="AW46" s="168">
        <f>COUNTIF( AV$7:AV46, AV46 )</f>
        <v>12</v>
      </c>
      <c r="AX46" s="208">
        <f t="shared" si="22"/>
        <v>16.2</v>
      </c>
      <c r="AY46" s="168">
        <f t="shared" si="23"/>
        <v>26</v>
      </c>
      <c r="AZ46" s="169"/>
      <c r="BA46" s="169"/>
      <c r="BC46" s="168">
        <f t="shared" ca="1" si="24"/>
        <v>40</v>
      </c>
      <c r="BD46" s="209">
        <f t="shared" ca="1" si="6"/>
        <v>26</v>
      </c>
      <c r="BF46" s="173" t="str">
        <f t="shared" ca="1" si="25"/>
        <v>IDACORP, Inc.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IDA</v>
      </c>
    </row>
    <row r="47" spans="1:61" ht="13.8" x14ac:dyDescent="0.25">
      <c r="A47" s="223" t="s">
        <v>297</v>
      </c>
      <c r="B47" s="224" t="s">
        <v>141</v>
      </c>
      <c r="C47" s="224">
        <v>18</v>
      </c>
      <c r="D47" s="224" t="s">
        <v>298</v>
      </c>
      <c r="E47" s="225" t="str">
        <f t="shared" ca="1" si="8"/>
        <v>R</v>
      </c>
      <c r="F47" s="348"/>
      <c r="G47" s="349">
        <f t="shared" ca="1" si="1"/>
        <v>35</v>
      </c>
      <c r="H47" s="350"/>
      <c r="I47" s="350"/>
      <c r="J47" s="187" t="s">
        <v>373</v>
      </c>
      <c r="K47" s="191"/>
      <c r="M47" s="351"/>
      <c r="N47" s="351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46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305</v>
      </c>
      <c r="AR47" s="207" t="s">
        <v>142</v>
      </c>
      <c r="AS47" s="207">
        <v>17</v>
      </c>
      <c r="AT47" s="207" t="s">
        <v>306</v>
      </c>
      <c r="AV47" s="168">
        <f t="shared" si="21"/>
        <v>47</v>
      </c>
      <c r="AW47" s="168">
        <f>COUNTIF( AV$7:AV47, AV47 )</f>
        <v>3</v>
      </c>
      <c r="AX47" s="208">
        <f t="shared" si="22"/>
        <v>47.3</v>
      </c>
      <c r="AY47" s="168">
        <f t="shared" si="23"/>
        <v>49</v>
      </c>
      <c r="AZ47" s="169"/>
      <c r="BA47" s="169"/>
      <c r="BC47" s="168">
        <f t="shared" ca="1" si="24"/>
        <v>41</v>
      </c>
      <c r="BD47" s="209">
        <f t="shared" ca="1" si="6"/>
        <v>31</v>
      </c>
      <c r="BF47" s="173" t="str">
        <f t="shared" ca="1" si="25"/>
        <v>NorthWestern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NWE</v>
      </c>
    </row>
    <row r="48" spans="1:61" ht="13.8" x14ac:dyDescent="0.25">
      <c r="A48" s="223" t="s">
        <v>299</v>
      </c>
      <c r="B48" s="224" t="s">
        <v>141</v>
      </c>
      <c r="C48" s="224">
        <v>18</v>
      </c>
      <c r="D48" s="224" t="s">
        <v>300</v>
      </c>
      <c r="E48" s="225" t="str">
        <f t="shared" ca="1" si="8"/>
        <v>R</v>
      </c>
      <c r="F48" s="348"/>
      <c r="G48" s="349">
        <f t="shared" ca="1" si="1"/>
        <v>37</v>
      </c>
      <c r="H48" s="350"/>
      <c r="I48" s="350"/>
      <c r="K48" s="191"/>
      <c r="M48" s="351"/>
      <c r="N48" s="351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47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347</v>
      </c>
      <c r="AR48" s="207" t="s">
        <v>140</v>
      </c>
      <c r="AS48" s="207">
        <v>19</v>
      </c>
      <c r="AT48" s="207" t="s">
        <v>348</v>
      </c>
      <c r="AV48" s="168">
        <f t="shared" si="21"/>
        <v>15</v>
      </c>
      <c r="AW48" s="168">
        <f>COUNTIF( AV$7:AV48, AV48 )</f>
        <v>13</v>
      </c>
      <c r="AX48" s="208">
        <f t="shared" si="22"/>
        <v>16.3</v>
      </c>
      <c r="AY48" s="168">
        <f t="shared" si="23"/>
        <v>27</v>
      </c>
      <c r="AZ48" s="169"/>
      <c r="BA48" s="169"/>
      <c r="BC48" s="168">
        <f t="shared" ca="1" si="24"/>
        <v>42</v>
      </c>
      <c r="BD48" s="209">
        <f t="shared" ca="1" si="6"/>
        <v>33</v>
      </c>
      <c r="BF48" s="173" t="str">
        <f t="shared" ca="1" si="25"/>
        <v>Otter Tail Corporation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OTTR</v>
      </c>
    </row>
    <row r="49" spans="1:61" ht="13.8" x14ac:dyDescent="0.25">
      <c r="A49" s="223" t="s">
        <v>301</v>
      </c>
      <c r="B49" s="224" t="s">
        <v>141</v>
      </c>
      <c r="C49" s="224">
        <v>18</v>
      </c>
      <c r="D49" s="224" t="s">
        <v>302</v>
      </c>
      <c r="E49" s="225" t="str">
        <f t="shared" ca="1" si="8"/>
        <v>R</v>
      </c>
      <c r="F49" s="348"/>
      <c r="G49" s="349">
        <f t="shared" ca="1" si="1"/>
        <v>39</v>
      </c>
      <c r="H49" s="350"/>
      <c r="I49" s="350"/>
      <c r="J49" s="191"/>
      <c r="K49" s="191"/>
      <c r="M49" s="351"/>
      <c r="N49" s="351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48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4"/>
        <v/>
      </c>
      <c r="AQ49" s="207" t="s">
        <v>291</v>
      </c>
      <c r="AR49" s="207" t="s">
        <v>140</v>
      </c>
      <c r="AS49" s="207">
        <v>19</v>
      </c>
      <c r="AT49" s="207" t="s">
        <v>292</v>
      </c>
      <c r="AV49" s="168">
        <f t="shared" si="21"/>
        <v>15</v>
      </c>
      <c r="AW49" s="168">
        <f>COUNTIF( AV$7:AV49, AV49 )</f>
        <v>14</v>
      </c>
      <c r="AX49" s="208">
        <f t="shared" si="22"/>
        <v>16.399999999999999</v>
      </c>
      <c r="AY49" s="168">
        <f t="shared" si="23"/>
        <v>28</v>
      </c>
      <c r="AZ49" s="169"/>
      <c r="BA49" s="169"/>
      <c r="BC49" s="168">
        <f t="shared" ca="1" si="24"/>
        <v>43</v>
      </c>
      <c r="BD49" s="209">
        <f t="shared" ca="1" si="6"/>
        <v>35</v>
      </c>
      <c r="BF49" s="173" t="str">
        <f t="shared" ca="1" si="25"/>
        <v>PG&amp;E Corporation</v>
      </c>
      <c r="BG49" s="173" t="str">
        <f t="shared" ca="1" si="25"/>
        <v>BBB</v>
      </c>
      <c r="BH49" s="173">
        <f t="shared" ca="1" si="25"/>
        <v>18</v>
      </c>
      <c r="BI49" s="173" t="str">
        <f t="shared" ca="1" si="25"/>
        <v>PCG</v>
      </c>
    </row>
    <row r="50" spans="1:61" ht="13.8" x14ac:dyDescent="0.25">
      <c r="A50" s="223" t="s">
        <v>303</v>
      </c>
      <c r="B50" s="224" t="s">
        <v>141</v>
      </c>
      <c r="C50" s="224">
        <v>18</v>
      </c>
      <c r="D50" s="224" t="s">
        <v>304</v>
      </c>
      <c r="E50" s="225" t="str">
        <f t="shared" ca="1" si="8"/>
        <v>R</v>
      </c>
      <c r="F50" s="348"/>
      <c r="G50" s="349">
        <f t="shared" ca="1" si="1"/>
        <v>41</v>
      </c>
      <c r="H50" s="350"/>
      <c r="I50" s="350"/>
      <c r="J50" s="191"/>
      <c r="K50" s="191"/>
      <c r="M50" s="351"/>
      <c r="N50" s="351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49</v>
      </c>
      <c r="AK50" s="169" t="str">
        <f t="shared" ca="1" si="20"/>
        <v>BBB</v>
      </c>
      <c r="AL50" s="169">
        <f t="shared" ca="1" si="20"/>
        <v>18</v>
      </c>
      <c r="AM50" s="169" t="str">
        <f t="shared" ca="1" si="4"/>
        <v/>
      </c>
      <c r="AQ50" s="207" t="s">
        <v>293</v>
      </c>
      <c r="AR50" s="207" t="s">
        <v>166</v>
      </c>
      <c r="AS50" s="207">
        <v>21</v>
      </c>
      <c r="AT50" s="207" t="s">
        <v>294</v>
      </c>
      <c r="AV50" s="168">
        <f t="shared" si="21"/>
        <v>1</v>
      </c>
      <c r="AW50" s="168">
        <f>COUNTIF( AV$7:AV50, AV50 )</f>
        <v>2</v>
      </c>
      <c r="AX50" s="208">
        <f t="shared" si="22"/>
        <v>1.2</v>
      </c>
      <c r="AY50" s="168">
        <f t="shared" si="23"/>
        <v>2</v>
      </c>
      <c r="AZ50" s="169"/>
      <c r="BA50" s="169"/>
      <c r="BC50" s="168">
        <f t="shared" ca="1" si="24"/>
        <v>44</v>
      </c>
      <c r="BD50" s="209">
        <f t="shared" ca="1" si="6"/>
        <v>37</v>
      </c>
      <c r="BF50" s="173" t="str">
        <f t="shared" ca="1" si="25"/>
        <v>PNM Resources, Inc.</v>
      </c>
      <c r="BG50" s="173" t="str">
        <f t="shared" ca="1" si="25"/>
        <v>BBB</v>
      </c>
      <c r="BH50" s="173">
        <f t="shared" ca="1" si="25"/>
        <v>18</v>
      </c>
      <c r="BI50" s="173" t="str">
        <f t="shared" ca="1" si="25"/>
        <v>PNM</v>
      </c>
    </row>
    <row r="51" spans="1:61" ht="13.8" x14ac:dyDescent="0.25">
      <c r="A51" s="223" t="s">
        <v>285</v>
      </c>
      <c r="B51" s="224" t="s">
        <v>141</v>
      </c>
      <c r="C51" s="224">
        <v>18</v>
      </c>
      <c r="D51" s="224" t="s">
        <v>286</v>
      </c>
      <c r="E51" s="225" t="str">
        <f t="shared" ca="1" si="8"/>
        <v>R</v>
      </c>
      <c r="F51" s="348"/>
      <c r="G51" s="349">
        <f t="shared" ca="1" si="1"/>
        <v>42</v>
      </c>
      <c r="H51" s="350"/>
      <c r="I51" s="350"/>
      <c r="J51" s="191"/>
      <c r="K51" s="191"/>
      <c r="M51" s="351"/>
      <c r="N51" s="351"/>
      <c r="AF51" s="169">
        <f t="shared" si="2"/>
        <v>0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50</v>
      </c>
      <c r="AK51" s="169" t="str">
        <f t="shared" ca="1" si="20"/>
        <v>BBB</v>
      </c>
      <c r="AL51" s="169">
        <f t="shared" ca="1" si="20"/>
        <v>18</v>
      </c>
      <c r="AM51" s="169" t="str">
        <f t="shared" ca="1" si="4"/>
        <v/>
      </c>
      <c r="AQ51" s="207" t="s">
        <v>369</v>
      </c>
      <c r="AR51" s="207" t="s">
        <v>140</v>
      </c>
      <c r="AS51" s="207">
        <v>19</v>
      </c>
      <c r="AT51" s="207" t="s">
        <v>375</v>
      </c>
      <c r="AV51" s="168">
        <f t="shared" si="21"/>
        <v>15</v>
      </c>
      <c r="AW51" s="168">
        <f>COUNTIF( AV$7:AV51, AV51 )</f>
        <v>15</v>
      </c>
      <c r="AX51" s="208">
        <f t="shared" si="22"/>
        <v>16.5</v>
      </c>
      <c r="AY51" s="168">
        <f t="shared" si="23"/>
        <v>29</v>
      </c>
      <c r="AZ51" s="169"/>
      <c r="BA51" s="169"/>
      <c r="BC51" s="168">
        <f t="shared" ca="1" si="24"/>
        <v>45</v>
      </c>
      <c r="BD51" s="209">
        <f t="shared" ca="1" si="6"/>
        <v>38</v>
      </c>
      <c r="BF51" s="173" t="str">
        <f t="shared" ca="1" si="25"/>
        <v>Portland General Electric Company</v>
      </c>
      <c r="BG51" s="173" t="str">
        <f t="shared" ca="1" si="25"/>
        <v>BBB</v>
      </c>
      <c r="BH51" s="173">
        <f t="shared" ca="1" si="25"/>
        <v>18</v>
      </c>
      <c r="BI51" s="173" t="str">
        <f t="shared" ca="1" si="25"/>
        <v>POR</v>
      </c>
    </row>
    <row r="52" spans="1:61" ht="13.8" x14ac:dyDescent="0.25">
      <c r="A52" s="223" t="s">
        <v>389</v>
      </c>
      <c r="B52" s="224" t="s">
        <v>141</v>
      </c>
      <c r="C52" s="224">
        <v>18</v>
      </c>
      <c r="D52" s="224" t="s">
        <v>390</v>
      </c>
      <c r="E52" s="225" t="str">
        <f t="shared" ca="1" si="8"/>
        <v>R</v>
      </c>
      <c r="F52" s="348"/>
      <c r="G52" s="349">
        <f t="shared" ca="1" si="1"/>
        <v>49</v>
      </c>
      <c r="H52" s="350"/>
      <c r="I52" s="350"/>
      <c r="J52" s="191"/>
      <c r="K52" s="191"/>
      <c r="AF52" s="169">
        <f t="shared" si="2"/>
        <v>0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52</v>
      </c>
      <c r="AK52" s="169" t="str">
        <f t="shared" ca="1" si="20"/>
        <v>BBB</v>
      </c>
      <c r="AL52" s="169">
        <f t="shared" ca="1" si="20"/>
        <v>18</v>
      </c>
      <c r="AM52" s="169" t="str">
        <f t="shared" ca="1" si="4"/>
        <v/>
      </c>
      <c r="AQ52" s="207" t="s">
        <v>389</v>
      </c>
      <c r="AR52" s="207" t="s">
        <v>141</v>
      </c>
      <c r="AS52" s="207">
        <v>18</v>
      </c>
      <c r="AT52" s="207" t="s">
        <v>390</v>
      </c>
      <c r="AV52" s="168">
        <f t="shared" si="21"/>
        <v>32</v>
      </c>
      <c r="AW52" s="168">
        <f>COUNTIF( AV$7:AV52, AV52 )</f>
        <v>15</v>
      </c>
      <c r="AX52" s="208">
        <f t="shared" si="22"/>
        <v>33.5</v>
      </c>
      <c r="AY52" s="168">
        <f t="shared" si="23"/>
        <v>46</v>
      </c>
      <c r="AZ52" s="169"/>
      <c r="BA52" s="169"/>
      <c r="BC52" s="168">
        <f t="shared" ca="1" si="24"/>
        <v>46</v>
      </c>
      <c r="BD52" s="209">
        <f t="shared" ca="1" si="6"/>
        <v>46</v>
      </c>
      <c r="BF52" s="173" t="str">
        <f t="shared" ca="1" si="25"/>
        <v>UIL Holdings Corporation</v>
      </c>
      <c r="BG52" s="173" t="str">
        <f t="shared" ca="1" si="25"/>
        <v>BBB</v>
      </c>
      <c r="BH52" s="173">
        <f t="shared" ca="1" si="25"/>
        <v>18</v>
      </c>
      <c r="BI52" s="173" t="str">
        <f t="shared" ca="1" si="25"/>
        <v>UIL</v>
      </c>
    </row>
    <row r="53" spans="1:61" ht="13.8" x14ac:dyDescent="0.25">
      <c r="A53" s="223" t="s">
        <v>275</v>
      </c>
      <c r="B53" s="224" t="s">
        <v>142</v>
      </c>
      <c r="C53" s="224">
        <v>17</v>
      </c>
      <c r="D53" s="224" t="s">
        <v>276</v>
      </c>
      <c r="E53" s="225" t="str">
        <f t="shared" ca="1" si="8"/>
        <v>MR</v>
      </c>
      <c r="F53" s="348"/>
      <c r="G53" s="349">
        <f t="shared" ca="1" si="1"/>
        <v>25</v>
      </c>
      <c r="H53" s="350"/>
      <c r="I53" s="350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295</v>
      </c>
      <c r="AR53" s="207" t="s">
        <v>140</v>
      </c>
      <c r="AS53" s="207">
        <v>19</v>
      </c>
      <c r="AT53" s="207" t="s">
        <v>376</v>
      </c>
      <c r="AV53" s="168">
        <f t="shared" si="21"/>
        <v>15</v>
      </c>
      <c r="AW53" s="168">
        <f>COUNTIF( AV$7:AV53, AV53 )</f>
        <v>16</v>
      </c>
      <c r="AX53" s="208">
        <f t="shared" si="22"/>
        <v>16.600000000000001</v>
      </c>
      <c r="AY53" s="168">
        <f t="shared" si="23"/>
        <v>30</v>
      </c>
      <c r="AZ53" s="169"/>
      <c r="BA53" s="169"/>
      <c r="BC53" s="168">
        <f t="shared" ca="1" si="24"/>
        <v>47</v>
      </c>
      <c r="BD53" s="209">
        <f t="shared" ca="1" si="6"/>
        <v>22</v>
      </c>
      <c r="BF53" s="173" t="str">
        <f t="shared" ca="1" si="25"/>
        <v>FirstEnergy Corp.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FE</v>
      </c>
    </row>
    <row r="54" spans="1:61" ht="13.8" x14ac:dyDescent="0.25">
      <c r="A54" s="223" t="s">
        <v>279</v>
      </c>
      <c r="B54" s="224" t="s">
        <v>142</v>
      </c>
      <c r="C54" s="224">
        <v>17</v>
      </c>
      <c r="D54" s="224" t="s">
        <v>280</v>
      </c>
      <c r="E54" s="225" t="str">
        <f t="shared" ca="1" si="8"/>
        <v>D</v>
      </c>
      <c r="F54" s="348"/>
      <c r="G54" s="349">
        <f t="shared" ca="1" si="1"/>
        <v>27</v>
      </c>
      <c r="H54" s="350"/>
      <c r="I54" s="350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8"/>
        <v/>
      </c>
      <c r="AJ54" s="169">
        <f t="shared" ca="1" si="19"/>
        <v>54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4"/>
        <v/>
      </c>
      <c r="AQ54" s="207" t="s">
        <v>345</v>
      </c>
      <c r="AR54" s="207" t="s">
        <v>139</v>
      </c>
      <c r="AS54" s="207">
        <v>20</v>
      </c>
      <c r="AT54" s="207" t="s">
        <v>346</v>
      </c>
      <c r="AV54" s="168">
        <f t="shared" si="21"/>
        <v>3</v>
      </c>
      <c r="AW54" s="168">
        <f>COUNTIF( AV$7:AV54, AV54 )</f>
        <v>10</v>
      </c>
      <c r="AX54" s="208">
        <f t="shared" si="22"/>
        <v>4</v>
      </c>
      <c r="AY54" s="168">
        <f t="shared" si="23"/>
        <v>12</v>
      </c>
      <c r="AZ54" s="169"/>
      <c r="BA54" s="169"/>
      <c r="BC54" s="168">
        <f t="shared" ca="1" si="24"/>
        <v>48</v>
      </c>
      <c r="BD54" s="209">
        <f t="shared" ca="1" si="6"/>
        <v>24</v>
      </c>
      <c r="BF54" s="173" t="str">
        <f t="shared" ca="1" si="25"/>
        <v>Hawaiian Electric Industries, Inc.</v>
      </c>
      <c r="BG54" s="173" t="str">
        <f t="shared" ca="1" si="25"/>
        <v>BBB-</v>
      </c>
      <c r="BH54" s="173">
        <f t="shared" ca="1" si="25"/>
        <v>17</v>
      </c>
      <c r="BI54" s="173" t="str">
        <f t="shared" ca="1" si="25"/>
        <v>HE</v>
      </c>
    </row>
    <row r="55" spans="1:61" ht="13.8" x14ac:dyDescent="0.25">
      <c r="A55" s="223" t="s">
        <v>305</v>
      </c>
      <c r="B55" s="224" t="s">
        <v>142</v>
      </c>
      <c r="C55" s="224">
        <v>17</v>
      </c>
      <c r="D55" s="224" t="s">
        <v>306</v>
      </c>
      <c r="E55" s="225" t="str">
        <f t="shared" ca="1" si="8"/>
        <v>R</v>
      </c>
      <c r="F55" s="348"/>
      <c r="G55" s="349">
        <f t="shared" ca="1" si="1"/>
        <v>62</v>
      </c>
      <c r="H55" s="350"/>
      <c r="I55" s="350"/>
      <c r="J55" s="191"/>
      <c r="K55" s="191"/>
      <c r="AF55" s="169">
        <f t="shared" si="2"/>
        <v>1</v>
      </c>
      <c r="AG55" s="169" t="str">
        <f t="shared" ca="1" si="3"/>
        <v/>
      </c>
      <c r="AH55" s="169" t="str">
        <f t="shared" ca="1" si="18"/>
        <v/>
      </c>
      <c r="AJ55" s="169">
        <f t="shared" ca="1" si="19"/>
        <v>56</v>
      </c>
      <c r="AK55" s="169" t="str">
        <f t="shared" ca="1" si="20"/>
        <v>BBB-</v>
      </c>
      <c r="AL55" s="169">
        <f t="shared" ca="1" si="20"/>
        <v>17</v>
      </c>
      <c r="AM55" s="169" t="str">
        <f t="shared" ca="1" si="4"/>
        <v/>
      </c>
      <c r="AQ55" s="207" t="s">
        <v>354</v>
      </c>
      <c r="AR55" s="207" t="s">
        <v>140</v>
      </c>
      <c r="AS55" s="207">
        <v>19</v>
      </c>
      <c r="AT55" s="207" t="s">
        <v>355</v>
      </c>
      <c r="AV55" s="168">
        <f t="shared" si="21"/>
        <v>15</v>
      </c>
      <c r="AW55" s="168">
        <f>COUNTIF( AV$7:AV55, AV55 )</f>
        <v>17</v>
      </c>
      <c r="AX55" s="208">
        <f t="shared" si="22"/>
        <v>16.7</v>
      </c>
      <c r="AY55" s="168">
        <f t="shared" si="23"/>
        <v>31</v>
      </c>
      <c r="AZ55" s="169"/>
      <c r="BA55" s="169"/>
      <c r="BC55" s="168">
        <f t="shared" ca="1" si="24"/>
        <v>49</v>
      </c>
      <c r="BD55" s="209">
        <f t="shared" ca="1" si="6"/>
        <v>41</v>
      </c>
      <c r="BF55" s="173" t="str">
        <f t="shared" ca="1" si="25"/>
        <v>Puget Energy, Inc.</v>
      </c>
      <c r="BG55" s="173" t="str">
        <f t="shared" ca="1" si="25"/>
        <v>BBB-</v>
      </c>
      <c r="BH55" s="173">
        <f t="shared" ca="1" si="25"/>
        <v>17</v>
      </c>
      <c r="BI55" s="173" t="str">
        <f t="shared" ca="1" si="25"/>
        <v>**PSD</v>
      </c>
    </row>
    <row r="56" spans="1:61" ht="13.8" x14ac:dyDescent="0.25">
      <c r="A56" s="223" t="s">
        <v>287</v>
      </c>
      <c r="B56" s="224" t="s">
        <v>173</v>
      </c>
      <c r="C56" s="224">
        <v>16</v>
      </c>
      <c r="D56" s="224" t="s">
        <v>288</v>
      </c>
      <c r="E56" s="225" t="str">
        <f t="shared" ca="1" si="8"/>
        <v>R</v>
      </c>
      <c r="F56" s="348"/>
      <c r="G56" s="349">
        <f t="shared" ca="1" si="1"/>
        <v>60</v>
      </c>
      <c r="H56" s="350"/>
      <c r="I56" s="350"/>
      <c r="J56" s="191"/>
      <c r="K56" s="191"/>
      <c r="AF56" s="169">
        <f t="shared" si="2"/>
        <v>0</v>
      </c>
      <c r="AG56" s="169" t="str">
        <f t="shared" ca="1" si="3"/>
        <v/>
      </c>
      <c r="AH56" s="169" t="str">
        <f t="shared" ca="1" si="18"/>
        <v/>
      </c>
      <c r="AJ56" s="169">
        <f t="shared" ca="1" si="19"/>
        <v>57</v>
      </c>
      <c r="AK56" s="169" t="str">
        <f t="shared" ca="1" si="20"/>
        <v>BB+</v>
      </c>
      <c r="AL56" s="169">
        <f t="shared" ca="1" si="20"/>
        <v>16</v>
      </c>
      <c r="AM56" s="169" t="str">
        <f t="shared" ca="1" si="4"/>
        <v/>
      </c>
      <c r="AQ56" s="207" t="s">
        <v>247</v>
      </c>
      <c r="AR56" s="207" t="s">
        <v>139</v>
      </c>
      <c r="AS56" s="207">
        <v>20</v>
      </c>
      <c r="AT56" s="207" t="s">
        <v>248</v>
      </c>
      <c r="AV56" s="168">
        <f t="shared" si="21"/>
        <v>3</v>
      </c>
      <c r="AW56" s="168">
        <f>COUNTIF( AV$7:AV56, AV56 )</f>
        <v>11</v>
      </c>
      <c r="AX56" s="208">
        <f t="shared" si="22"/>
        <v>4.0999999999999996</v>
      </c>
      <c r="AY56" s="168">
        <f t="shared" si="23"/>
        <v>13</v>
      </c>
      <c r="AZ56" s="169"/>
      <c r="BA56" s="169"/>
      <c r="BC56" s="168">
        <f t="shared" ca="1" si="24"/>
        <v>50</v>
      </c>
      <c r="BD56" s="209">
        <f t="shared" ca="1" si="6"/>
        <v>27</v>
      </c>
      <c r="BF56" s="173" t="str">
        <f t="shared" ca="1" si="25"/>
        <v>IPALCO Enterprises, Inc.</v>
      </c>
      <c r="BG56" s="173" t="str">
        <f t="shared" ca="1" si="25"/>
        <v>BB+</v>
      </c>
      <c r="BH56" s="173">
        <f t="shared" ca="1" si="25"/>
        <v>16</v>
      </c>
      <c r="BI56" s="173" t="str">
        <f t="shared" ca="1" si="25"/>
        <v>**IPALCO</v>
      </c>
    </row>
    <row r="57" spans="1:61" ht="13.8" x14ac:dyDescent="0.25">
      <c r="A57" s="223" t="s">
        <v>259</v>
      </c>
      <c r="B57" s="224" t="s">
        <v>175</v>
      </c>
      <c r="C57" s="224">
        <v>15</v>
      </c>
      <c r="D57" s="224" t="s">
        <v>260</v>
      </c>
      <c r="E57" s="225" t="str">
        <f t="shared" ca="1" si="8"/>
        <v>R</v>
      </c>
      <c r="F57" s="348"/>
      <c r="G57" s="349">
        <f t="shared" ca="1" si="1"/>
        <v>58</v>
      </c>
      <c r="H57" s="350"/>
      <c r="I57" s="350"/>
      <c r="J57" s="191"/>
      <c r="K57" s="191"/>
      <c r="AF57" s="169">
        <f t="shared" si="2"/>
        <v>1</v>
      </c>
      <c r="AG57" s="169" t="str">
        <f t="shared" ca="1" si="3"/>
        <v/>
      </c>
      <c r="AH57" s="169" t="str">
        <f t="shared" ca="1" si="18"/>
        <v/>
      </c>
      <c r="AJ57" s="169">
        <f t="shared" ca="1" si="19"/>
        <v>58</v>
      </c>
      <c r="AK57" s="169" t="str">
        <f t="shared" ca="1" si="20"/>
        <v>BB</v>
      </c>
      <c r="AL57" s="169">
        <f t="shared" ca="1" si="20"/>
        <v>15</v>
      </c>
      <c r="AM57" s="169" t="str">
        <f t="shared" ca="1" si="4"/>
        <v/>
      </c>
      <c r="AQ57" s="207" t="s">
        <v>251</v>
      </c>
      <c r="AR57" s="207" t="s">
        <v>139</v>
      </c>
      <c r="AS57" s="207">
        <v>20</v>
      </c>
      <c r="AT57" s="207" t="s">
        <v>252</v>
      </c>
      <c r="AV57" s="168">
        <f t="shared" si="21"/>
        <v>3</v>
      </c>
      <c r="AW57" s="168">
        <f>COUNTIF( AV$7:AV57, AV57 )</f>
        <v>12</v>
      </c>
      <c r="AX57" s="208">
        <f t="shared" si="22"/>
        <v>4.2</v>
      </c>
      <c r="AY57" s="168">
        <f t="shared" si="23"/>
        <v>14</v>
      </c>
      <c r="AZ57" s="169"/>
      <c r="BA57" s="169"/>
      <c r="BC57" s="168">
        <f t="shared" ca="1" si="24"/>
        <v>51</v>
      </c>
      <c r="BD57" s="209">
        <f t="shared" ca="1" si="6"/>
        <v>13</v>
      </c>
      <c r="BF57" s="173" t="str">
        <f t="shared" ca="1" si="25"/>
        <v>DPL Inc.</v>
      </c>
      <c r="BG57" s="173" t="str">
        <f t="shared" ca="1" si="25"/>
        <v>BB</v>
      </c>
      <c r="BH57" s="173">
        <f t="shared" ca="1" si="25"/>
        <v>15</v>
      </c>
      <c r="BI57" s="173" t="str">
        <f t="shared" ca="1" si="25"/>
        <v>**DPL</v>
      </c>
    </row>
    <row r="58" spans="1:61" ht="13.8" x14ac:dyDescent="0.25">
      <c r="A58" s="223"/>
      <c r="B58" s="224"/>
      <c r="C58" s="224"/>
      <c r="D58" s="224"/>
      <c r="E58" s="225" t="str">
        <f t="shared" ca="1" si="8"/>
        <v/>
      </c>
      <c r="F58" s="348"/>
      <c r="G58" s="349" t="str">
        <f t="shared" ca="1" si="1"/>
        <v/>
      </c>
      <c r="H58" s="350"/>
      <c r="I58" s="350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1</v>
      </c>
      <c r="AX58" s="208">
        <f t="shared" si="22"/>
        <v>99.1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8" x14ac:dyDescent="0.25">
      <c r="A59" s="223"/>
      <c r="B59" s="224"/>
      <c r="C59" s="224"/>
      <c r="D59" s="224"/>
      <c r="E59" s="225" t="str">
        <f t="shared" ca="1" si="8"/>
        <v/>
      </c>
      <c r="F59" s="348"/>
      <c r="G59" s="349" t="str">
        <f t="shared" ca="1" si="1"/>
        <v/>
      </c>
      <c r="H59" s="350"/>
      <c r="I59" s="350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2</v>
      </c>
      <c r="AX59" s="208">
        <f t="shared" si="22"/>
        <v>99.2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" thickBot="1" x14ac:dyDescent="0.3">
      <c r="A60" s="192"/>
      <c r="B60" s="193"/>
      <c r="C60" s="193"/>
      <c r="D60" s="193"/>
      <c r="E60" s="194" t="str">
        <f t="shared" ca="1" si="8"/>
        <v/>
      </c>
      <c r="F60" s="350"/>
      <c r="G60" s="353" t="str">
        <f t="shared" ca="1" si="1"/>
        <v/>
      </c>
      <c r="H60" s="350"/>
      <c r="I60" s="350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3</v>
      </c>
      <c r="AX60" s="208">
        <f t="shared" si="22"/>
        <v>99.3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8" x14ac:dyDescent="0.25">
      <c r="A61" s="226" t="s">
        <v>384</v>
      </c>
      <c r="B61" s="227" t="s">
        <v>162</v>
      </c>
      <c r="C61" s="227">
        <v>23</v>
      </c>
      <c r="D61" s="227" t="s">
        <v>309</v>
      </c>
      <c r="E61" s="228" t="str">
        <f t="shared" ca="1" si="8"/>
        <v>MR</v>
      </c>
      <c r="F61" s="354"/>
      <c r="G61" s="355">
        <f t="shared" ca="1" si="1"/>
        <v>31</v>
      </c>
      <c r="H61" s="350"/>
      <c r="I61" s="350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4</v>
      </c>
      <c r="AX61" s="208">
        <f t="shared" si="22"/>
        <v>99.4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8" x14ac:dyDescent="0.25">
      <c r="A62" s="223" t="s">
        <v>371</v>
      </c>
      <c r="B62" s="224"/>
      <c r="C62" s="224"/>
      <c r="D62" s="224" t="s">
        <v>359</v>
      </c>
      <c r="E62" s="225" t="str">
        <f t="shared" ca="1" si="8"/>
        <v>D</v>
      </c>
      <c r="F62" s="348"/>
      <c r="G62" s="349">
        <f t="shared" ca="1" si="1"/>
        <v>59</v>
      </c>
      <c r="H62" s="350"/>
      <c r="I62" s="350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>
        <f t="shared" ca="1" si="19"/>
        <v>62</v>
      </c>
      <c r="AK62" s="169">
        <f t="shared" ca="1" si="20"/>
        <v>0</v>
      </c>
      <c r="AL62" s="169">
        <f t="shared" ca="1" si="20"/>
        <v>0</v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5</v>
      </c>
      <c r="AX62" s="208">
        <f t="shared" si="22"/>
        <v>99.5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/>
      <c r="B63" s="229"/>
      <c r="C63" s="224"/>
      <c r="D63" s="224"/>
      <c r="E63" s="225"/>
      <c r="F63" s="348"/>
      <c r="G63" s="349"/>
      <c r="H63" s="350"/>
      <c r="I63" s="350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6</v>
      </c>
      <c r="AX63" s="208">
        <f t="shared" si="22"/>
        <v>99.6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/>
      <c r="B64" s="229"/>
      <c r="C64" s="224"/>
      <c r="D64" s="224"/>
      <c r="E64" s="225"/>
      <c r="F64" s="348"/>
      <c r="G64" s="349"/>
      <c r="H64" s="350"/>
      <c r="I64" s="350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308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58" ht="13.8" x14ac:dyDescent="0.25">
      <c r="A65" s="223"/>
      <c r="B65" s="229"/>
      <c r="C65" s="224"/>
      <c r="D65" s="224"/>
      <c r="E65" s="225"/>
      <c r="F65" s="348"/>
      <c r="G65" s="349"/>
      <c r="H65" s="350"/>
      <c r="I65" s="350"/>
      <c r="N65" s="168" t="s">
        <v>310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 t="s">
        <v>371</v>
      </c>
      <c r="AR65" s="207"/>
      <c r="AS65" s="207"/>
      <c r="AT65" s="207" t="s">
        <v>359</v>
      </c>
      <c r="AU65" s="207"/>
      <c r="AZ65" s="169"/>
      <c r="BA65" s="169"/>
      <c r="BF65" s="169"/>
    </row>
    <row r="66" spans="1:58" ht="13.8" x14ac:dyDescent="0.25">
      <c r="A66" s="195"/>
      <c r="B66" s="196"/>
      <c r="C66" s="185"/>
      <c r="D66" s="185"/>
      <c r="E66" s="182"/>
      <c r="F66" s="350"/>
      <c r="H66" s="350"/>
      <c r="I66" s="350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50"/>
      <c r="H67" s="350"/>
      <c r="I67" s="350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8" x14ac:dyDescent="0.25">
      <c r="A68" s="200" t="s">
        <v>311</v>
      </c>
      <c r="B68" s="189" t="str">
        <f ca="1">OFFSET( Scale!$H$5, ROUND( C68, 0 ) - 1, 1 )</f>
        <v>BBB+</v>
      </c>
      <c r="C68" s="201">
        <f>AVERAGE(C7:C65)</f>
        <v>18.846153846153847</v>
      </c>
      <c r="D68" s="201"/>
      <c r="E68" s="201"/>
      <c r="F68" s="350"/>
      <c r="H68" s="350"/>
      <c r="I68" s="350"/>
      <c r="J68" s="351"/>
      <c r="K68" s="351"/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50"/>
      <c r="H69" s="350"/>
      <c r="I69" s="350"/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1"/>
      <c r="K70" s="351"/>
    </row>
    <row r="71" spans="1:58" x14ac:dyDescent="0.25">
      <c r="A71" s="203" t="s">
        <v>312</v>
      </c>
      <c r="F71" s="173"/>
      <c r="H71" s="173"/>
      <c r="I71" s="173"/>
    </row>
    <row r="72" spans="1:58" x14ac:dyDescent="0.25">
      <c r="A72" s="203" t="s">
        <v>313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314</v>
      </c>
      <c r="B73" s="173"/>
      <c r="D73" s="173"/>
      <c r="E73" s="173"/>
      <c r="F73" s="204"/>
      <c r="H73" s="204"/>
      <c r="I73" s="204"/>
    </row>
    <row r="74" spans="1:58" x14ac:dyDescent="0.25">
      <c r="A74" s="203" t="s">
        <v>315</v>
      </c>
      <c r="D74" s="204"/>
      <c r="F74" s="206"/>
      <c r="H74" s="206"/>
      <c r="I74" s="206"/>
      <c r="AQ74" s="207"/>
      <c r="AR74" s="207"/>
      <c r="AS74" s="207"/>
    </row>
    <row r="75" spans="1:58" x14ac:dyDescent="0.25">
      <c r="A75" s="203" t="s">
        <v>316</v>
      </c>
      <c r="D75" s="204"/>
      <c r="F75" s="206"/>
      <c r="H75" s="206"/>
      <c r="I75" s="206"/>
      <c r="AQ75" s="207"/>
      <c r="AR75" s="207"/>
      <c r="AS75" s="207"/>
    </row>
    <row r="76" spans="1:58" x14ac:dyDescent="0.25">
      <c r="A76" s="203"/>
      <c r="AQ76" s="207"/>
      <c r="AR76" s="207"/>
      <c r="AS76" s="207"/>
    </row>
    <row r="77" spans="1:58" x14ac:dyDescent="0.25">
      <c r="C77" s="190">
        <f>SUMPRODUCT( L8:L13, Y8:Y13 ) / L14</f>
        <v>18.826923076923077</v>
      </c>
      <c r="E77" s="191"/>
      <c r="G77" s="353"/>
      <c r="J77" s="173"/>
      <c r="K77" s="173"/>
      <c r="AQ77" s="207"/>
      <c r="AR77" s="207"/>
      <c r="AS77" s="207"/>
    </row>
    <row r="78" spans="1:58" s="173" customFormat="1" ht="13.8" x14ac:dyDescent="0.2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ref="AQ7:AT57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608" priority="28" stopIfTrue="1">
      <formula>IF( $AH7 = 1, TRUE, FALSE )</formula>
    </cfRule>
    <cfRule type="expression" dxfId="607" priority="29" stopIfTrue="1">
      <formula>IF( $AG7 = 1, TRUE, FALSE )</formula>
    </cfRule>
    <cfRule type="expression" dxfId="606" priority="30" stopIfTrue="1">
      <formula>IF( $AF7 = 1, TRUE, FALSE )</formula>
    </cfRule>
  </conditionalFormatting>
  <conditionalFormatting sqref="A67:E67">
    <cfRule type="expression" dxfId="605" priority="31" stopIfTrue="1">
      <formula>IF( $AH67 = 1, TRUE, FALSE )</formula>
    </cfRule>
    <cfRule type="expression" dxfId="604" priority="32" stopIfTrue="1">
      <formula>IF( $AG67 = 1, TRUE, FALSE )</formula>
    </cfRule>
    <cfRule type="expression" dxfId="603" priority="33" stopIfTrue="1">
      <formula>IF( $AF67 = 1, TRUE, FALSE )</formula>
    </cfRule>
  </conditionalFormatting>
  <conditionalFormatting sqref="A66:E66">
    <cfRule type="expression" dxfId="602" priority="25" stopIfTrue="1">
      <formula>IF( $AH66 = 1, TRUE, FALSE )</formula>
    </cfRule>
    <cfRule type="expression" dxfId="601" priority="26" stopIfTrue="1">
      <formula>IF( $AG66 = 1, TRUE, FALSE )</formula>
    </cfRule>
    <cfRule type="expression" dxfId="600" priority="27" stopIfTrue="1">
      <formula>IF( $AF66 = 1, TRUE, FALSE )</formula>
    </cfRule>
  </conditionalFormatting>
  <conditionalFormatting sqref="A8:D58 B7:D7">
    <cfRule type="expression" dxfId="599" priority="22" stopIfTrue="1">
      <formula>IF( $AH7 = 1, TRUE, FALSE )</formula>
    </cfRule>
    <cfRule type="expression" dxfId="598" priority="23" stopIfTrue="1">
      <formula>IF( $AG7 = 1, TRUE, FALSE )</formula>
    </cfRule>
    <cfRule type="expression" dxfId="597" priority="24" stopIfTrue="1">
      <formula>IF( $AF7 = 1, TRUE, FALSE )</formula>
    </cfRule>
  </conditionalFormatting>
  <conditionalFormatting sqref="A59:D59">
    <cfRule type="expression" dxfId="596" priority="19" stopIfTrue="1">
      <formula>IF( $AH59 = 1, TRUE, FALSE )</formula>
    </cfRule>
    <cfRule type="expression" dxfId="595" priority="20" stopIfTrue="1">
      <formula>IF( $AG59 = 1, TRUE, FALSE )</formula>
    </cfRule>
    <cfRule type="expression" dxfId="594" priority="21" stopIfTrue="1">
      <formula>IF( $AF59 = 1, TRUE, FALSE )</formula>
    </cfRule>
  </conditionalFormatting>
  <conditionalFormatting sqref="A61:D65">
    <cfRule type="expression" dxfId="593" priority="16" stopIfTrue="1">
      <formula>IF( $AH61 = 1, TRUE, FALSE )</formula>
    </cfRule>
    <cfRule type="expression" dxfId="592" priority="17" stopIfTrue="1">
      <formula>IF( $AG61 = 1, TRUE, FALSE )</formula>
    </cfRule>
    <cfRule type="expression" dxfId="591" priority="18" stopIfTrue="1">
      <formula>IF( $AF61 = 1, TRUE, FALSE )</formula>
    </cfRule>
  </conditionalFormatting>
  <conditionalFormatting sqref="U8:U12">
    <cfRule type="cellIs" dxfId="590" priority="15" operator="equal">
      <formula>0</formula>
    </cfRule>
  </conditionalFormatting>
  <conditionalFormatting sqref="O8:O12 Q8:Q12">
    <cfRule type="cellIs" dxfId="589" priority="14" operator="equal">
      <formula>0</formula>
    </cfRule>
  </conditionalFormatting>
  <conditionalFormatting sqref="V8:V12">
    <cfRule type="cellIs" dxfId="588" priority="13" operator="equal">
      <formula>0</formula>
    </cfRule>
  </conditionalFormatting>
  <conditionalFormatting sqref="S8:S12">
    <cfRule type="cellIs" dxfId="587" priority="11" operator="equal">
      <formula>0</formula>
    </cfRule>
  </conditionalFormatting>
  <conditionalFormatting sqref="R8:R12">
    <cfRule type="cellIs" dxfId="586" priority="12" operator="equal">
      <formula>0</formula>
    </cfRule>
  </conditionalFormatting>
  <conditionalFormatting sqref="P8:P12">
    <cfRule type="cellIs" dxfId="585" priority="10" operator="equal">
      <formula>0</formula>
    </cfRule>
  </conditionalFormatting>
  <conditionalFormatting sqref="M8:M12">
    <cfRule type="cellIs" dxfId="584" priority="9" operator="equal">
      <formula>0</formula>
    </cfRule>
  </conditionalFormatting>
  <conditionalFormatting sqref="T8:T12">
    <cfRule type="cellIs" dxfId="583" priority="8" operator="equal">
      <formula>0</formula>
    </cfRule>
  </conditionalFormatting>
  <conditionalFormatting sqref="N8:N12">
    <cfRule type="cellIs" dxfId="582" priority="7" operator="equal">
      <formula>0</formula>
    </cfRule>
  </conditionalFormatting>
  <conditionalFormatting sqref="K8:K12">
    <cfRule type="cellIs" dxfId="581" priority="6" operator="equal">
      <formula>0</formula>
    </cfRule>
  </conditionalFormatting>
  <conditionalFormatting sqref="I8:I12">
    <cfRule type="cellIs" dxfId="580" priority="5" operator="equal">
      <formula>0</formula>
    </cfRule>
  </conditionalFormatting>
  <conditionalFormatting sqref="W8:W12">
    <cfRule type="cellIs" dxfId="579" priority="4" operator="equal">
      <formula>0</formula>
    </cfRule>
  </conditionalFormatting>
  <conditionalFormatting sqref="A7">
    <cfRule type="expression" dxfId="578" priority="1" stopIfTrue="1">
      <formula>IF( $AH7 = 1, TRUE, FALSE )</formula>
    </cfRule>
    <cfRule type="expression" dxfId="577" priority="2" stopIfTrue="1">
      <formula>IF( $AG7 = 1, TRUE, FALSE )</formula>
    </cfRule>
    <cfRule type="expression" dxfId="576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customWidth="1"/>
    <col min="23" max="23" width="2" style="168" customWidth="1"/>
    <col min="24" max="24" width="4.109375" style="168" customWidth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15.88671875" style="169" hidden="1" customWidth="1" outlineLevel="1" collapsed="1"/>
    <col min="37" max="38" width="15.88671875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style="168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-- 2015 Q1</v>
      </c>
      <c r="G1" s="175" t="s">
        <v>195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 x14ac:dyDescent="0.25">
      <c r="A2" s="167"/>
      <c r="E2" s="171" t="str">
        <f>G2</f>
        <v>Reg_Percent_2013</v>
      </c>
      <c r="G2" s="172" t="s">
        <v>391</v>
      </c>
      <c r="AJ2" s="173" t="str">
        <f>AJ4 &amp; AJ3</f>
        <v>'Credit_2014Q4'!d:d</v>
      </c>
      <c r="AK2" s="173" t="str">
        <f>AK4 &amp; AK3</f>
        <v>'Credit_2014Q4'!b1</v>
      </c>
      <c r="AL2" s="173" t="str">
        <f>AL4 &amp; AL3</f>
        <v>'Credit_2014Q4'!c1</v>
      </c>
      <c r="AQ2" s="169"/>
    </row>
    <row r="3" spans="1:61" ht="18" hidden="1" outlineLevel="1" x14ac:dyDescent="0.25">
      <c r="A3" s="167"/>
      <c r="E3" s="174" t="str">
        <f>"'" &amp; E2 &amp; "'!"</f>
        <v>'Reg_Percent_2013'!</v>
      </c>
      <c r="G3" s="168" t="str">
        <f>"'" &amp; G2 &amp; "'!"</f>
        <v>'Reg_Percent_2013'!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205</v>
      </c>
      <c r="AK3" s="149" t="s">
        <v>206</v>
      </c>
      <c r="AL3" s="149" t="s">
        <v>207</v>
      </c>
      <c r="AQ3" s="169"/>
    </row>
    <row r="4" spans="1:61" ht="18" hidden="1" outlineLevel="1" x14ac:dyDescent="0.25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>$AQ$5</f>
        <v>'Credit_2014Q4'!</v>
      </c>
      <c r="AK4" s="169" t="str">
        <f t="shared" ref="AK4:AL4" si="0">$AQ$5</f>
        <v>'Credit_2014Q4'!</v>
      </c>
      <c r="AL4" s="169" t="str">
        <f t="shared" si="0"/>
        <v>'Credit_2014Q4'!</v>
      </c>
      <c r="AQ4" s="169"/>
    </row>
    <row r="5" spans="1:61" ht="13.8" collapsed="1" x14ac:dyDescent="0.25">
      <c r="E5" s="176" t="s">
        <v>209</v>
      </c>
      <c r="G5" s="170" t="s">
        <v>199</v>
      </c>
      <c r="I5" s="230"/>
      <c r="J5" s="389" t="s">
        <v>210</v>
      </c>
      <c r="K5" s="230"/>
      <c r="L5" s="391" t="str">
        <f>"All Companies" &amp; CHAR( 10 ) &amp; "("&amp; L14 &amp; ")"</f>
        <v>All Companies
(53)</v>
      </c>
      <c r="M5" s="391"/>
      <c r="N5" s="230"/>
      <c r="O5" s="389" t="str">
        <f ca="1">"Regulated" &amp; CHAR( 10 ) &amp; "(" &amp; O14 &amp; ")"</f>
        <v>Regulated
(38)</v>
      </c>
      <c r="P5" s="393"/>
      <c r="Q5" s="230"/>
      <c r="R5" s="389" t="str">
        <f ca="1">"Mostly Regulated" &amp; CHAR( 10 ) &amp; "(" &amp; R14 &amp; ")"</f>
        <v>Mostly Regulated
(13)</v>
      </c>
      <c r="S5" s="393"/>
      <c r="T5" s="230"/>
      <c r="U5" s="389" t="str">
        <f ca="1">"Diversified" &amp; CHAR( 10 ) &amp; "(" &amp; U14 &amp; ")"</f>
        <v>Diversified
(2)</v>
      </c>
      <c r="V5" s="393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393</v>
      </c>
    </row>
    <row r="6" spans="1:61" ht="28.5" customHeight="1" x14ac:dyDescent="0.25">
      <c r="A6" s="219" t="s">
        <v>212</v>
      </c>
      <c r="B6" s="220" t="s">
        <v>60</v>
      </c>
      <c r="C6" s="249" t="s">
        <v>214</v>
      </c>
      <c r="D6" s="221"/>
      <c r="E6" s="222">
        <f ca="1">INDIRECT( E3 &amp; G1 )</f>
        <v>41639</v>
      </c>
      <c r="I6" s="231"/>
      <c r="J6" s="390"/>
      <c r="K6" s="231"/>
      <c r="L6" s="392"/>
      <c r="M6" s="392"/>
      <c r="N6" s="231"/>
      <c r="O6" s="390"/>
      <c r="P6" s="390"/>
      <c r="Q6" s="231"/>
      <c r="R6" s="390" t="s">
        <v>136</v>
      </c>
      <c r="S6" s="390"/>
      <c r="T6" s="231"/>
      <c r="U6" s="390"/>
      <c r="V6" s="390"/>
      <c r="W6" s="231"/>
      <c r="AE6" s="178"/>
      <c r="AJ6" s="179"/>
    </row>
    <row r="7" spans="1:61" ht="13.8" x14ac:dyDescent="0.25">
      <c r="A7" s="223" t="s">
        <v>293</v>
      </c>
      <c r="B7" s="224" t="s">
        <v>166</v>
      </c>
      <c r="C7" s="224">
        <v>21</v>
      </c>
      <c r="D7" s="224" t="s">
        <v>294</v>
      </c>
      <c r="E7" s="225" t="str">
        <f ca="1">IF( LEN( $G7 ) = 0, "", OFFSET( INDIRECT( E$3 &amp; E$4 ), $G7 - 1, 0 ) )</f>
        <v>R</v>
      </c>
      <c r="F7" s="348"/>
      <c r="G7" s="349">
        <f t="shared" ref="G7:G62" ca="1" si="1">IF( LEN( $D7 ) = 0, "", MATCH( $D7, INDIRECT( G$3 &amp; G$4 ), 0 ) )</f>
        <v>47</v>
      </c>
      <c r="H7" s="350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217</v>
      </c>
      <c r="AR7" s="207" t="s">
        <v>140</v>
      </c>
      <c r="AS7" s="207">
        <v>19</v>
      </c>
      <c r="AT7" s="207" t="s">
        <v>218</v>
      </c>
      <c r="AV7" s="168">
        <f>IF( LEN( AS7 ) = 0, 99, RANK( AS7, $AS$7:$AS$63 ) )</f>
        <v>14</v>
      </c>
      <c r="AW7" s="168">
        <f>COUNTIF( AV7:AV$7, AV7 )</f>
        <v>1</v>
      </c>
      <c r="AX7" s="208">
        <f>AV7 + AW7 / 10</f>
        <v>14.1</v>
      </c>
      <c r="AY7" s="168">
        <f>RANK( AX7, $AX$7:$AX$63, 1 )</f>
        <v>14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45</v>
      </c>
      <c r="BF7" s="173" t="str">
        <f t="shared" ref="BF7:BI38" ca="1" si="7">OFFSET( AQ$6, $BD7, 0 )</f>
        <v>Southern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SO</v>
      </c>
    </row>
    <row r="8" spans="1:61" ht="13.8" x14ac:dyDescent="0.25">
      <c r="A8" s="223" t="s">
        <v>219</v>
      </c>
      <c r="B8" s="224" t="s">
        <v>139</v>
      </c>
      <c r="C8" s="224">
        <v>20</v>
      </c>
      <c r="D8" s="224" t="s">
        <v>220</v>
      </c>
      <c r="E8" s="225" t="str">
        <f t="shared" ref="E8:E62" ca="1" si="8">IF( LEN( $G8 ) = 0, "", OFFSET( INDIRECT( E$3 &amp; E$4 ), $G8 - 1, 0 ) )</f>
        <v>R</v>
      </c>
      <c r="F8" s="348"/>
      <c r="G8" s="349">
        <f t="shared" ca="1" si="1"/>
        <v>8</v>
      </c>
      <c r="H8" s="350"/>
      <c r="I8" s="233"/>
      <c r="J8" s="213" t="s">
        <v>137</v>
      </c>
      <c r="K8" s="233"/>
      <c r="L8" s="213">
        <f t="shared" ref="L8:L13" si="9">COUNTIF($C$7:$C$67,$X8)</f>
        <v>2</v>
      </c>
      <c r="M8" s="214">
        <f t="shared" ref="M8:M13" si="10">IF( L8 = 0, "", L8/L$14 )</f>
        <v>3.7735849056603772E-2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2.6315789473684209E-2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7.6923076923076927E-2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7">SUM(O8, R8, U8)</f>
        <v>2</v>
      </c>
      <c r="AC8" s="351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4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ref="AV8:AV63" si="21">IF( LEN( AS8 ) = 0, 99, RANK( AS8, $AS$7:$AS$63 ) )</f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ref="AY8:AY63" si="23">RANK( AX8, $AX$7:$AX$63, 1 )</f>
        <v>2</v>
      </c>
      <c r="AZ8" s="169"/>
      <c r="BA8" s="169"/>
      <c r="BC8" s="168">
        <f ca="1">OFFSET( BC8, -1, 0 ) + 1</f>
        <v>2</v>
      </c>
      <c r="BD8" s="209">
        <f t="shared" ca="1" si="6"/>
        <v>2</v>
      </c>
      <c r="BF8" s="173" t="str">
        <f t="shared" ca="1" si="7"/>
        <v>Alliant Energy Corporation</v>
      </c>
      <c r="BG8" s="173" t="str">
        <f t="shared" ca="1" si="7"/>
        <v>A-</v>
      </c>
      <c r="BH8" s="173">
        <f t="shared" ca="1" si="7"/>
        <v>20</v>
      </c>
      <c r="BI8" s="173" t="str">
        <f t="shared" ca="1" si="7"/>
        <v>LNT</v>
      </c>
    </row>
    <row r="9" spans="1:61" ht="13.8" x14ac:dyDescent="0.25">
      <c r="A9" s="223" t="s">
        <v>249</v>
      </c>
      <c r="B9" s="224" t="s">
        <v>139</v>
      </c>
      <c r="C9" s="224">
        <v>20</v>
      </c>
      <c r="D9" s="224" t="s">
        <v>250</v>
      </c>
      <c r="E9" s="225" t="str">
        <f t="shared" ca="1" si="8"/>
        <v>MR</v>
      </c>
      <c r="F9" s="348"/>
      <c r="G9" s="349">
        <f t="shared" ca="1" si="1"/>
        <v>13</v>
      </c>
      <c r="H9" s="350"/>
      <c r="I9" s="234"/>
      <c r="J9" s="215" t="s">
        <v>139</v>
      </c>
      <c r="K9" s="234"/>
      <c r="L9" s="215">
        <f t="shared" si="9"/>
        <v>12</v>
      </c>
      <c r="M9" s="216">
        <f t="shared" si="10"/>
        <v>0.22641509433962265</v>
      </c>
      <c r="N9" s="234"/>
      <c r="O9" s="215">
        <f t="shared" ca="1" si="11"/>
        <v>8</v>
      </c>
      <c r="P9" s="216">
        <f t="shared" ca="1" si="12"/>
        <v>0.21052631578947367</v>
      </c>
      <c r="Q9" s="234"/>
      <c r="R9" s="215">
        <f t="shared" ca="1" si="13"/>
        <v>4</v>
      </c>
      <c r="S9" s="216">
        <f t="shared" ca="1" si="14"/>
        <v>0.30769230769230771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7"/>
        <v>12</v>
      </c>
      <c r="AC9" s="351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si="21"/>
        <v>14</v>
      </c>
      <c r="AW9" s="168">
        <f>COUNTIF( AV$7:AV9, AV9 )</f>
        <v>2</v>
      </c>
      <c r="AX9" s="208">
        <f t="shared" si="22"/>
        <v>14.2</v>
      </c>
      <c r="AY9" s="168">
        <f t="shared" si="23"/>
        <v>15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8</v>
      </c>
      <c r="BF9" s="173" t="str">
        <f t="shared" ca="1" si="7"/>
        <v>CenterPoint Energy, Inc.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CNP</v>
      </c>
    </row>
    <row r="10" spans="1:61" ht="13.8" x14ac:dyDescent="0.25">
      <c r="A10" s="223" t="s">
        <v>227</v>
      </c>
      <c r="B10" s="224" t="s">
        <v>139</v>
      </c>
      <c r="C10" s="224">
        <v>20</v>
      </c>
      <c r="D10" s="224" t="s">
        <v>228</v>
      </c>
      <c r="E10" s="225" t="str">
        <f t="shared" ca="1" si="8"/>
        <v>R</v>
      </c>
      <c r="F10" s="348"/>
      <c r="G10" s="349">
        <f t="shared" ca="1" si="1"/>
        <v>16</v>
      </c>
      <c r="H10" s="350"/>
      <c r="I10" s="234"/>
      <c r="J10" s="215" t="s">
        <v>140</v>
      </c>
      <c r="K10" s="234"/>
      <c r="L10" s="215">
        <f t="shared" si="9"/>
        <v>17</v>
      </c>
      <c r="M10" s="216">
        <f t="shared" si="10"/>
        <v>0.32075471698113206</v>
      </c>
      <c r="N10" s="234"/>
      <c r="O10" s="215">
        <f t="shared" ca="1" si="11"/>
        <v>12</v>
      </c>
      <c r="P10" s="216">
        <f t="shared" ca="1" si="12"/>
        <v>0.31578947368421051</v>
      </c>
      <c r="Q10" s="234"/>
      <c r="R10" s="215">
        <f t="shared" ca="1" si="13"/>
        <v>4</v>
      </c>
      <c r="S10" s="216">
        <f t="shared" ca="1" si="14"/>
        <v>0.30769230769230771</v>
      </c>
      <c r="T10" s="234"/>
      <c r="U10" s="215">
        <f t="shared" ca="1" si="15"/>
        <v>1</v>
      </c>
      <c r="V10" s="216">
        <f t="shared" ca="1" si="16"/>
        <v>0.5</v>
      </c>
      <c r="W10" s="234"/>
      <c r="X10" s="186" t="s">
        <v>229</v>
      </c>
      <c r="Y10" s="186">
        <v>19</v>
      </c>
      <c r="Z10" s="186">
        <v>1</v>
      </c>
      <c r="AA10" s="185">
        <f t="shared" ca="1" si="17"/>
        <v>17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222</v>
      </c>
      <c r="AR10" s="207" t="s">
        <v>141</v>
      </c>
      <c r="AS10" s="207">
        <v>18</v>
      </c>
      <c r="AT10" s="207" t="s">
        <v>223</v>
      </c>
      <c r="AV10" s="168">
        <f t="shared" si="21"/>
        <v>31</v>
      </c>
      <c r="AW10" s="168">
        <f>COUNTIF( AV$7:AV10, AV10 )</f>
        <v>1</v>
      </c>
      <c r="AX10" s="208">
        <f t="shared" si="22"/>
        <v>31.1</v>
      </c>
      <c r="AY10" s="168">
        <f t="shared" si="23"/>
        <v>31</v>
      </c>
      <c r="AZ10" s="169"/>
      <c r="BA10" s="169"/>
      <c r="BC10" s="168">
        <f t="shared" ca="1" si="24"/>
        <v>4</v>
      </c>
      <c r="BD10" s="209">
        <f t="shared" ca="1" si="6"/>
        <v>11</v>
      </c>
      <c r="BF10" s="173" t="str">
        <f t="shared" ca="1" si="7"/>
        <v>Consolidated Edison,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ED</v>
      </c>
    </row>
    <row r="11" spans="1:61" ht="13.8" x14ac:dyDescent="0.25">
      <c r="A11" s="223" t="s">
        <v>361</v>
      </c>
      <c r="B11" s="224" t="s">
        <v>139</v>
      </c>
      <c r="C11" s="224">
        <v>20</v>
      </c>
      <c r="D11" s="224" t="s">
        <v>194</v>
      </c>
      <c r="E11" s="225" t="str">
        <f t="shared" ca="1" si="8"/>
        <v>MR</v>
      </c>
      <c r="F11" s="348"/>
      <c r="G11" s="349">
        <f t="shared" ca="1" si="1"/>
        <v>17</v>
      </c>
      <c r="H11" s="350"/>
      <c r="I11" s="234"/>
      <c r="J11" s="215" t="s">
        <v>141</v>
      </c>
      <c r="K11" s="234"/>
      <c r="L11" s="215">
        <f t="shared" si="9"/>
        <v>16</v>
      </c>
      <c r="M11" s="216">
        <f t="shared" si="10"/>
        <v>0.30188679245283018</v>
      </c>
      <c r="N11" s="234"/>
      <c r="O11" s="215">
        <f t="shared" ca="1" si="11"/>
        <v>14</v>
      </c>
      <c r="P11" s="216">
        <f t="shared" ca="1" si="12"/>
        <v>0.36842105263157893</v>
      </c>
      <c r="Q11" s="234"/>
      <c r="R11" s="215">
        <f t="shared" ca="1" si="13"/>
        <v>2</v>
      </c>
      <c r="S11" s="216">
        <f t="shared" ca="1" si="14"/>
        <v>0.15384615384615385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7"/>
        <v>16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238</v>
      </c>
      <c r="AR11" s="207" t="s">
        <v>141</v>
      </c>
      <c r="AS11" s="207">
        <v>18</v>
      </c>
      <c r="AT11" s="207" t="s">
        <v>239</v>
      </c>
      <c r="AV11" s="168">
        <f t="shared" si="21"/>
        <v>31</v>
      </c>
      <c r="AW11" s="168">
        <f>COUNTIF( AV$7:AV11, AV11 )</f>
        <v>2</v>
      </c>
      <c r="AX11" s="208">
        <f t="shared" si="22"/>
        <v>31.2</v>
      </c>
      <c r="AY11" s="168">
        <f t="shared" si="23"/>
        <v>32</v>
      </c>
      <c r="AZ11" s="169"/>
      <c r="BA11" s="169"/>
      <c r="BC11" s="168">
        <f t="shared" ca="1" si="24"/>
        <v>5</v>
      </c>
      <c r="BD11" s="209">
        <f t="shared" ca="1" si="6"/>
        <v>12</v>
      </c>
      <c r="BF11" s="173" t="str">
        <f t="shared" ca="1" si="7"/>
        <v>Dominion Resources,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D</v>
      </c>
    </row>
    <row r="12" spans="1:61" ht="13.8" x14ac:dyDescent="0.25">
      <c r="A12" s="223" t="s">
        <v>394</v>
      </c>
      <c r="B12" s="224" t="s">
        <v>139</v>
      </c>
      <c r="C12" s="224">
        <v>20</v>
      </c>
      <c r="D12" s="224" t="s">
        <v>236</v>
      </c>
      <c r="E12" s="225" t="str">
        <f t="shared" ca="1" si="8"/>
        <v>R</v>
      </c>
      <c r="F12" s="348"/>
      <c r="G12" s="349">
        <f t="shared" ca="1" si="1"/>
        <v>34</v>
      </c>
      <c r="H12" s="350"/>
      <c r="I12" s="234"/>
      <c r="J12" s="215" t="s">
        <v>142</v>
      </c>
      <c r="K12" s="234"/>
      <c r="L12" s="215">
        <f t="shared" si="9"/>
        <v>4</v>
      </c>
      <c r="M12" s="216">
        <f t="shared" si="10"/>
        <v>7.5471698113207544E-2</v>
      </c>
      <c r="N12" s="234"/>
      <c r="O12" s="215">
        <f t="shared" ca="1" si="11"/>
        <v>1</v>
      </c>
      <c r="P12" s="216">
        <f t="shared" ca="1" si="12"/>
        <v>2.6315789473684209E-2</v>
      </c>
      <c r="Q12" s="234"/>
      <c r="R12" s="215">
        <f t="shared" ca="1" si="13"/>
        <v>2</v>
      </c>
      <c r="S12" s="216">
        <f t="shared" ca="1" si="14"/>
        <v>0.15384615384615385</v>
      </c>
      <c r="T12" s="234"/>
      <c r="U12" s="215">
        <f t="shared" ca="1" si="15"/>
        <v>1</v>
      </c>
      <c r="V12" s="216">
        <f t="shared" ca="1" si="16"/>
        <v>0.5</v>
      </c>
      <c r="W12" s="234"/>
      <c r="X12" s="186" t="s">
        <v>237</v>
      </c>
      <c r="Y12" s="186">
        <v>17</v>
      </c>
      <c r="Z12" s="186">
        <v>1</v>
      </c>
      <c r="AA12" s="185">
        <f t="shared" ca="1" si="17"/>
        <v>4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215</v>
      </c>
      <c r="AR12" s="207" t="s">
        <v>140</v>
      </c>
      <c r="AS12" s="207">
        <v>19</v>
      </c>
      <c r="AT12" s="207" t="s">
        <v>216</v>
      </c>
      <c r="AV12" s="168">
        <f t="shared" si="21"/>
        <v>14</v>
      </c>
      <c r="AW12" s="168">
        <f>COUNTIF( AV$7:AV12, AV12 )</f>
        <v>3</v>
      </c>
      <c r="AX12" s="208">
        <f t="shared" si="22"/>
        <v>14.3</v>
      </c>
      <c r="AY12" s="168">
        <f t="shared" si="23"/>
        <v>16</v>
      </c>
      <c r="AZ12" s="169"/>
      <c r="BA12" s="169"/>
      <c r="BC12" s="168">
        <f t="shared" ca="1" si="24"/>
        <v>6</v>
      </c>
      <c r="BD12" s="209">
        <f t="shared" ca="1" si="6"/>
        <v>20</v>
      </c>
      <c r="BF12" s="173" t="str">
        <f t="shared" ca="1" si="7"/>
        <v>Eversource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ES</v>
      </c>
    </row>
    <row r="13" spans="1:61" ht="13.8" x14ac:dyDescent="0.25">
      <c r="A13" s="223" t="s">
        <v>395</v>
      </c>
      <c r="B13" s="224" t="s">
        <v>139</v>
      </c>
      <c r="C13" s="224">
        <v>20</v>
      </c>
      <c r="D13" s="224" t="s">
        <v>396</v>
      </c>
      <c r="E13" s="225" t="str">
        <f t="shared" ca="1" si="8"/>
        <v>R</v>
      </c>
      <c r="F13" s="348"/>
      <c r="G13" s="349">
        <f t="shared" ca="1" si="1"/>
        <v>29</v>
      </c>
      <c r="H13" s="350"/>
      <c r="I13" s="235"/>
      <c r="J13" s="217" t="s">
        <v>143</v>
      </c>
      <c r="K13" s="235"/>
      <c r="L13" s="217">
        <f t="shared" si="9"/>
        <v>2</v>
      </c>
      <c r="M13" s="218">
        <f t="shared" si="10"/>
        <v>3.7735849056603772E-2</v>
      </c>
      <c r="N13" s="235"/>
      <c r="O13" s="217">
        <f t="shared" ca="1" si="11"/>
        <v>2</v>
      </c>
      <c r="P13" s="218">
        <f t="shared" ca="1" si="12"/>
        <v>5.2631578947368418E-2</v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242</v>
      </c>
      <c r="Y13" s="186">
        <v>16</v>
      </c>
      <c r="Z13" s="186">
        <v>1</v>
      </c>
      <c r="AA13" s="188">
        <f t="shared" ca="1" si="17"/>
        <v>2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245</v>
      </c>
      <c r="AR13" s="207" t="s">
        <v>141</v>
      </c>
      <c r="AS13" s="207">
        <v>18</v>
      </c>
      <c r="AT13" s="207" t="s">
        <v>246</v>
      </c>
      <c r="AV13" s="168">
        <f t="shared" si="21"/>
        <v>31</v>
      </c>
      <c r="AW13" s="168">
        <f>COUNTIF( AV$7:AV13, AV13 )</f>
        <v>3</v>
      </c>
      <c r="AX13" s="208">
        <f t="shared" si="22"/>
        <v>31.3</v>
      </c>
      <c r="AY13" s="168">
        <f t="shared" si="23"/>
        <v>33</v>
      </c>
      <c r="AZ13" s="169"/>
      <c r="BA13" s="169"/>
      <c r="BC13" s="168">
        <f t="shared" ca="1" si="24"/>
        <v>7</v>
      </c>
      <c r="BD13" s="209">
        <f t="shared" ca="1" si="6"/>
        <v>27</v>
      </c>
      <c r="BF13" s="173" t="str">
        <f t="shared" ca="1" si="7"/>
        <v>Integrys Energy Group, Inc.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TEG</v>
      </c>
    </row>
    <row r="14" spans="1:61" ht="13.8" x14ac:dyDescent="0.25">
      <c r="A14" s="223" t="s">
        <v>240</v>
      </c>
      <c r="B14" s="224" t="s">
        <v>139</v>
      </c>
      <c r="C14" s="224">
        <v>20</v>
      </c>
      <c r="D14" s="224" t="s">
        <v>241</v>
      </c>
      <c r="E14" s="225" t="str">
        <f t="shared" ca="1" si="8"/>
        <v>MR</v>
      </c>
      <c r="F14" s="348"/>
      <c r="G14" s="349">
        <f t="shared" ca="1" si="1"/>
        <v>32</v>
      </c>
      <c r="H14" s="350"/>
      <c r="I14" s="236"/>
      <c r="J14" s="211" t="s">
        <v>144</v>
      </c>
      <c r="K14" s="236"/>
      <c r="L14" s="211">
        <f>SUM(L8:L13)</f>
        <v>53</v>
      </c>
      <c r="M14" s="212">
        <f>L14/L$14</f>
        <v>1</v>
      </c>
      <c r="N14" s="236"/>
      <c r="O14" s="211">
        <f ca="1">SUM(O8:O13)</f>
        <v>38</v>
      </c>
      <c r="P14" s="212">
        <f ca="1">O14/O$14</f>
        <v>1</v>
      </c>
      <c r="Q14" s="236"/>
      <c r="R14" s="211">
        <f ca="1">SUM(R8:R13)</f>
        <v>13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18.735849056603772</v>
      </c>
      <c r="Z14" s="190"/>
      <c r="AA14" s="189">
        <f ca="1">SUM(AA8:AA13)</f>
        <v>53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249</v>
      </c>
      <c r="AR14" s="207" t="s">
        <v>139</v>
      </c>
      <c r="AS14" s="207">
        <v>20</v>
      </c>
      <c r="AT14" s="207" t="s">
        <v>250</v>
      </c>
      <c r="AV14" s="168">
        <f>IF( LEN( AS14 ) = 0, 99, RANK( AS14, $AS$7:$AS$63 ) )</f>
        <v>2</v>
      </c>
      <c r="AW14" s="168">
        <f>COUNTIF( AV$7:AV14, AV14 )</f>
        <v>2</v>
      </c>
      <c r="AX14" s="208">
        <f t="shared" si="22"/>
        <v>2.2000000000000002</v>
      </c>
      <c r="AY14" s="168">
        <f t="shared" si="23"/>
        <v>3</v>
      </c>
      <c r="AZ14" s="169"/>
      <c r="BA14" s="169"/>
      <c r="BC14" s="168">
        <f t="shared" ca="1" si="24"/>
        <v>8</v>
      </c>
      <c r="BD14" s="209">
        <f t="shared" ca="1" si="6"/>
        <v>30</v>
      </c>
      <c r="BF14" s="173" t="str">
        <f t="shared" ca="1" si="7"/>
        <v>NextEra Energy,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NEE</v>
      </c>
    </row>
    <row r="15" spans="1:61" ht="13.8" x14ac:dyDescent="0.25">
      <c r="A15" s="223" t="s">
        <v>277</v>
      </c>
      <c r="B15" s="224" t="s">
        <v>139</v>
      </c>
      <c r="C15" s="224">
        <v>20</v>
      </c>
      <c r="D15" s="224" t="s">
        <v>278</v>
      </c>
      <c r="E15" s="225" t="str">
        <f t="shared" ca="1" si="8"/>
        <v>R</v>
      </c>
      <c r="F15" s="348"/>
      <c r="G15" s="349">
        <f t="shared" ca="1" si="1"/>
        <v>36</v>
      </c>
      <c r="H15" s="350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254</v>
      </c>
      <c r="AR15" s="207" t="s">
        <v>140</v>
      </c>
      <c r="AS15" s="207">
        <v>19</v>
      </c>
      <c r="AT15" s="207" t="s">
        <v>378</v>
      </c>
      <c r="AV15" s="168">
        <f t="shared" si="21"/>
        <v>14</v>
      </c>
      <c r="AW15" s="168">
        <f>COUNTIF( AV$7:AV15, AV15 )</f>
        <v>4</v>
      </c>
      <c r="AX15" s="208">
        <f t="shared" si="22"/>
        <v>14.4</v>
      </c>
      <c r="AY15" s="168">
        <f t="shared" si="23"/>
        <v>17</v>
      </c>
      <c r="AZ15" s="169"/>
      <c r="BA15" s="169"/>
      <c r="BC15" s="168">
        <f t="shared" ca="1" si="24"/>
        <v>9</v>
      </c>
      <c r="BD15" s="209">
        <f t="shared" ca="1" si="6"/>
        <v>33</v>
      </c>
      <c r="BF15" s="173" t="str">
        <f t="shared" ca="1" si="7"/>
        <v>OGE Energy Corp.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OGE</v>
      </c>
    </row>
    <row r="16" spans="1:61" ht="13.8" x14ac:dyDescent="0.25">
      <c r="A16" s="223" t="s">
        <v>281</v>
      </c>
      <c r="B16" s="224" t="s">
        <v>139</v>
      </c>
      <c r="C16" s="224">
        <v>20</v>
      </c>
      <c r="D16" s="224" t="s">
        <v>282</v>
      </c>
      <c r="E16" s="225" t="str">
        <f t="shared" ca="1" si="8"/>
        <v>R</v>
      </c>
      <c r="F16" s="348"/>
      <c r="G16" s="349">
        <f t="shared" ca="1" si="1"/>
        <v>40</v>
      </c>
      <c r="H16" s="350"/>
      <c r="I16" s="232"/>
      <c r="J16" s="210" t="s">
        <v>253</v>
      </c>
      <c r="K16" s="232"/>
      <c r="L16" s="386">
        <f t="array" ref="L16">SUM( IF( LEN( $C$7:$C$65 ) = 0, 0, $C$7:$C$65 ) ) / SUM( IF( LEN( $C$7:$C$65 ) = 0, 0, 1  ) )</f>
        <v>18.754716981132077</v>
      </c>
      <c r="M16" s="387"/>
      <c r="N16" s="232"/>
      <c r="O16" s="386">
        <f t="array" aca="1" ref="O16" ca="1">SUM( IF( LEN( $C$7:$C$65 ) = 0, 0, IF( $E$7:$E$65 = O3, $C$7:$C$65, 0 ) ) ) / SUM( IF( LEN( $C$7:$C$65 ) = 0, 0, IF( $E$7:$E$65 = O3, 1, 0 ) ) )</f>
        <v>18.657894736842106</v>
      </c>
      <c r="P16" s="387"/>
      <c r="Q16" s="232"/>
      <c r="R16" s="386">
        <f t="array" aca="1" ref="R16" ca="1">SUM( IF( LEN( $C$7:$C$65 ) = 0, 0, IF( $E$7:$E$65 = R3, $C$7:$C$65, 0 ) ) ) / SUM( IF( LEN( $C$7:$C$65 ) = 0, 0, IF( $E$7:$E$65 = R3, 1, 0 ) ) )</f>
        <v>19.153846153846153</v>
      </c>
      <c r="S16" s="387"/>
      <c r="T16" s="232"/>
      <c r="U16" s="386">
        <f t="array" aca="1" ref="U16" ca="1">SUM( IF( LEN( $C$7:$C$65 ) = 0, 0, IF( $E$7:$E$65 = U3, $C$7:$C$65, 0 ) ) ) / SUM( IF( LEN( $C$7:$C$65 ) = 0, 0, IF( $E$7:$E$65 = U3, 1, 0 ) ) )</f>
        <v>18</v>
      </c>
      <c r="V16" s="388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256</v>
      </c>
      <c r="AR16" s="207" t="s">
        <v>140</v>
      </c>
      <c r="AS16" s="207">
        <v>19</v>
      </c>
      <c r="AT16" s="207" t="s">
        <v>257</v>
      </c>
      <c r="AV16" s="168">
        <f t="shared" si="21"/>
        <v>14</v>
      </c>
      <c r="AW16" s="168">
        <f>COUNTIF( AV$7:AV16, AV16 )</f>
        <v>5</v>
      </c>
      <c r="AX16" s="208">
        <f t="shared" si="22"/>
        <v>14.5</v>
      </c>
      <c r="AY16" s="168">
        <f t="shared" si="23"/>
        <v>18</v>
      </c>
      <c r="AZ16" s="169"/>
      <c r="BA16" s="169"/>
      <c r="BC16" s="168">
        <f t="shared" ca="1" si="24"/>
        <v>10</v>
      </c>
      <c r="BD16" s="209">
        <f t="shared" ca="1" si="6"/>
        <v>37</v>
      </c>
      <c r="BF16" s="173" t="str">
        <f t="shared" ca="1" si="7"/>
        <v>Pinnacle West Capital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PNW</v>
      </c>
    </row>
    <row r="17" spans="1:61" ht="13.8" x14ac:dyDescent="0.25">
      <c r="A17" s="223" t="s">
        <v>345</v>
      </c>
      <c r="B17" s="224" t="s">
        <v>139</v>
      </c>
      <c r="C17" s="224">
        <v>20</v>
      </c>
      <c r="D17" s="224" t="s">
        <v>346</v>
      </c>
      <c r="E17" s="225" t="str">
        <f t="shared" ca="1" si="8"/>
        <v>MR</v>
      </c>
      <c r="F17" s="348"/>
      <c r="G17" s="349">
        <f t="shared" ca="1" si="1"/>
        <v>52</v>
      </c>
      <c r="H17" s="350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227</v>
      </c>
      <c r="AR17" s="207" t="s">
        <v>139</v>
      </c>
      <c r="AS17" s="207">
        <v>20</v>
      </c>
      <c r="AT17" s="207" t="s">
        <v>228</v>
      </c>
      <c r="AV17" s="168">
        <f t="shared" si="21"/>
        <v>2</v>
      </c>
      <c r="AW17" s="168">
        <f>COUNTIF( AV$7:AV17, AV17 )</f>
        <v>3</v>
      </c>
      <c r="AX17" s="208">
        <f t="shared" si="22"/>
        <v>2.2999999999999998</v>
      </c>
      <c r="AY17" s="168">
        <f t="shared" si="23"/>
        <v>4</v>
      </c>
      <c r="AZ17" s="169"/>
      <c r="BA17" s="169"/>
      <c r="BC17" s="168">
        <f t="shared" ca="1" si="24"/>
        <v>11</v>
      </c>
      <c r="BD17" s="209">
        <f t="shared" ca="1" si="6"/>
        <v>49</v>
      </c>
      <c r="BF17" s="173" t="str">
        <f t="shared" ca="1" si="7"/>
        <v>Vectren Corporation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VVC</v>
      </c>
    </row>
    <row r="18" spans="1:61" ht="13.8" x14ac:dyDescent="0.25">
      <c r="A18" s="223" t="s">
        <v>247</v>
      </c>
      <c r="B18" s="224" t="s">
        <v>139</v>
      </c>
      <c r="C18" s="224">
        <v>20</v>
      </c>
      <c r="D18" s="224" t="s">
        <v>248</v>
      </c>
      <c r="E18" s="225" t="str">
        <f t="shared" ca="1" si="8"/>
        <v>R</v>
      </c>
      <c r="F18" s="348"/>
      <c r="G18" s="349">
        <f t="shared" ca="1" si="1"/>
        <v>54</v>
      </c>
      <c r="H18" s="350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361</v>
      </c>
      <c r="AR18" s="207" t="s">
        <v>139</v>
      </c>
      <c r="AS18" s="207">
        <v>20</v>
      </c>
      <c r="AT18" s="207" t="s">
        <v>194</v>
      </c>
      <c r="AV18" s="168">
        <f t="shared" si="21"/>
        <v>2</v>
      </c>
      <c r="AW18" s="168">
        <f>COUNTIF( AV$7:AV18, AV18 )</f>
        <v>4</v>
      </c>
      <c r="AX18" s="208">
        <f t="shared" si="22"/>
        <v>2.4</v>
      </c>
      <c r="AY18" s="168">
        <f t="shared" si="23"/>
        <v>5</v>
      </c>
      <c r="AZ18" s="169"/>
      <c r="BA18" s="169"/>
      <c r="BC18" s="168">
        <f t="shared" ca="1" si="24"/>
        <v>12</v>
      </c>
      <c r="BD18" s="209">
        <f t="shared" ca="1" si="6"/>
        <v>51</v>
      </c>
      <c r="BF18" s="173" t="str">
        <f t="shared" ca="1" si="7"/>
        <v>Wisconsin Energy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WEC</v>
      </c>
    </row>
    <row r="19" spans="1:61" ht="13.8" x14ac:dyDescent="0.25">
      <c r="A19" s="223" t="s">
        <v>251</v>
      </c>
      <c r="B19" s="224" t="s">
        <v>139</v>
      </c>
      <c r="C19" s="224">
        <v>20</v>
      </c>
      <c r="D19" s="224" t="s">
        <v>252</v>
      </c>
      <c r="E19" s="225" t="str">
        <f t="shared" ca="1" si="8"/>
        <v>R</v>
      </c>
      <c r="F19" s="348"/>
      <c r="G19" s="349">
        <f t="shared" ca="1" si="1"/>
        <v>55</v>
      </c>
      <c r="H19" s="350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259</v>
      </c>
      <c r="AR19" s="207" t="s">
        <v>175</v>
      </c>
      <c r="AS19" s="207">
        <v>15</v>
      </c>
      <c r="AT19" s="207" t="s">
        <v>260</v>
      </c>
      <c r="AV19" s="168">
        <f t="shared" si="21"/>
        <v>52</v>
      </c>
      <c r="AW19" s="168">
        <f>COUNTIF( AV$7:AV19, AV19 )</f>
        <v>1</v>
      </c>
      <c r="AX19" s="208">
        <f t="shared" si="22"/>
        <v>52.1</v>
      </c>
      <c r="AY19" s="168">
        <f t="shared" si="23"/>
        <v>52</v>
      </c>
      <c r="AZ19" s="169"/>
      <c r="BA19" s="169"/>
      <c r="BC19" s="168">
        <f t="shared" ca="1" si="24"/>
        <v>13</v>
      </c>
      <c r="BD19" s="209">
        <f t="shared" ca="1" si="6"/>
        <v>52</v>
      </c>
      <c r="BF19" s="173" t="str">
        <f t="shared" ca="1" si="7"/>
        <v>Xcel Energy Inc.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XEL</v>
      </c>
    </row>
    <row r="20" spans="1:61" ht="13.8" x14ac:dyDescent="0.25">
      <c r="A20" s="223" t="s">
        <v>217</v>
      </c>
      <c r="B20" s="224" t="s">
        <v>140</v>
      </c>
      <c r="C20" s="224">
        <v>19</v>
      </c>
      <c r="D20" s="224" t="s">
        <v>218</v>
      </c>
      <c r="E20" s="225" t="str">
        <f t="shared" ca="1" si="8"/>
        <v>R</v>
      </c>
      <c r="F20" s="348"/>
      <c r="G20" s="349">
        <f t="shared" ca="1" si="1"/>
        <v>7</v>
      </c>
      <c r="H20" s="350"/>
      <c r="I20" s="352"/>
      <c r="K20" s="352"/>
      <c r="N20" s="352"/>
      <c r="O20" s="173"/>
      <c r="Q20" s="352"/>
      <c r="T20" s="352"/>
      <c r="W20" s="352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4"/>
        <v/>
      </c>
      <c r="AQ20" s="207" t="s">
        <v>261</v>
      </c>
      <c r="AR20" s="207" t="s">
        <v>140</v>
      </c>
      <c r="AS20" s="207">
        <v>19</v>
      </c>
      <c r="AT20" s="207" t="s">
        <v>262</v>
      </c>
      <c r="AV20" s="168">
        <f t="shared" si="21"/>
        <v>14</v>
      </c>
      <c r="AW20" s="168">
        <f>COUNTIF( AV$7:AV20, AV20 )</f>
        <v>6</v>
      </c>
      <c r="AX20" s="208">
        <f t="shared" si="22"/>
        <v>14.6</v>
      </c>
      <c r="AY20" s="168">
        <f t="shared" si="23"/>
        <v>19</v>
      </c>
      <c r="AZ20" s="169"/>
      <c r="BA20" s="169"/>
      <c r="BC20" s="168">
        <f t="shared" ca="1" si="24"/>
        <v>14</v>
      </c>
      <c r="BD20" s="209">
        <f t="shared" ca="1" si="6"/>
        <v>1</v>
      </c>
      <c r="BF20" s="173" t="str">
        <f t="shared" ca="1" si="7"/>
        <v>ALLETE, Inc.</v>
      </c>
      <c r="BG20" s="173" t="str">
        <f t="shared" ca="1" si="7"/>
        <v>BBB+</v>
      </c>
      <c r="BH20" s="173">
        <f t="shared" ca="1" si="7"/>
        <v>19</v>
      </c>
      <c r="BI20" s="173" t="str">
        <f t="shared" ca="1" si="7"/>
        <v>ALE</v>
      </c>
    </row>
    <row r="21" spans="1:61" ht="13.8" x14ac:dyDescent="0.25">
      <c r="A21" s="223" t="s">
        <v>225</v>
      </c>
      <c r="B21" s="224" t="s">
        <v>140</v>
      </c>
      <c r="C21" s="224">
        <v>19</v>
      </c>
      <c r="D21" s="224" t="s">
        <v>226</v>
      </c>
      <c r="E21" s="225" t="str">
        <f t="shared" ca="1" si="8"/>
        <v>R</v>
      </c>
      <c r="F21" s="348"/>
      <c r="G21" s="349">
        <f t="shared" ca="1" si="1"/>
        <v>9</v>
      </c>
      <c r="H21" s="350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263</v>
      </c>
      <c r="AR21" s="207" t="s">
        <v>140</v>
      </c>
      <c r="AS21" s="207">
        <v>19</v>
      </c>
      <c r="AT21" s="207" t="s">
        <v>264</v>
      </c>
      <c r="AV21" s="168">
        <f t="shared" si="21"/>
        <v>14</v>
      </c>
      <c r="AW21" s="168">
        <f>COUNTIF( AV$7:AV21, AV21 )</f>
        <v>7</v>
      </c>
      <c r="AX21" s="208">
        <f t="shared" si="22"/>
        <v>14.7</v>
      </c>
      <c r="AY21" s="168">
        <f t="shared" si="23"/>
        <v>20</v>
      </c>
      <c r="AZ21" s="169"/>
      <c r="BA21" s="169"/>
      <c r="BC21" s="168">
        <f t="shared" ca="1" si="24"/>
        <v>15</v>
      </c>
      <c r="BD21" s="209">
        <f t="shared" ca="1" si="6"/>
        <v>3</v>
      </c>
      <c r="BF21" s="173" t="str">
        <f t="shared" ca="1" si="7"/>
        <v>Ameren Corporation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AEE</v>
      </c>
    </row>
    <row r="22" spans="1:61" ht="13.8" x14ac:dyDescent="0.25">
      <c r="A22" s="223" t="s">
        <v>215</v>
      </c>
      <c r="B22" s="224" t="s">
        <v>140</v>
      </c>
      <c r="C22" s="224">
        <v>19</v>
      </c>
      <c r="D22" s="224" t="s">
        <v>216</v>
      </c>
      <c r="E22" s="225" t="str">
        <f t="shared" ca="1" si="8"/>
        <v>MR</v>
      </c>
      <c r="F22" s="348"/>
      <c r="G22" s="349">
        <f t="shared" ca="1" si="1"/>
        <v>61</v>
      </c>
      <c r="H22" s="350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265</v>
      </c>
      <c r="AR22" s="207" t="s">
        <v>140</v>
      </c>
      <c r="AS22" s="207">
        <v>19</v>
      </c>
      <c r="AT22" s="207" t="s">
        <v>266</v>
      </c>
      <c r="AV22" s="168">
        <f t="shared" si="21"/>
        <v>14</v>
      </c>
      <c r="AW22" s="168">
        <f>COUNTIF( AV$7:AV22, AV22 )</f>
        <v>8</v>
      </c>
      <c r="AX22" s="208">
        <f t="shared" si="22"/>
        <v>14.8</v>
      </c>
      <c r="AY22" s="168">
        <f t="shared" si="23"/>
        <v>21</v>
      </c>
      <c r="AZ22" s="169"/>
      <c r="BA22" s="169"/>
      <c r="BC22" s="168">
        <f t="shared" ca="1" si="24"/>
        <v>16</v>
      </c>
      <c r="BD22" s="209">
        <f t="shared" ca="1" si="6"/>
        <v>6</v>
      </c>
      <c r="BF22" s="173" t="str">
        <f t="shared" ca="1" si="7"/>
        <v>Berkshire Energy Holdings Company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**BRK</v>
      </c>
    </row>
    <row r="23" spans="1:61" ht="13.8" x14ac:dyDescent="0.25">
      <c r="A23" s="223" t="s">
        <v>254</v>
      </c>
      <c r="B23" s="224" t="s">
        <v>140</v>
      </c>
      <c r="C23" s="224">
        <v>19</v>
      </c>
      <c r="D23" s="224" t="s">
        <v>378</v>
      </c>
      <c r="E23" s="225" t="str">
        <f t="shared" ca="1" si="8"/>
        <v>R</v>
      </c>
      <c r="F23" s="348"/>
      <c r="G23" s="349">
        <f t="shared" ca="1" si="1"/>
        <v>14</v>
      </c>
      <c r="H23" s="350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328</v>
      </c>
      <c r="AR23" s="207" t="s">
        <v>141</v>
      </c>
      <c r="AS23" s="207">
        <v>18</v>
      </c>
      <c r="AT23" s="207" t="s">
        <v>331</v>
      </c>
      <c r="AV23" s="168">
        <f t="shared" si="21"/>
        <v>31</v>
      </c>
      <c r="AW23" s="168">
        <f>COUNTIF( AV$7:AV23, AV23 )</f>
        <v>4</v>
      </c>
      <c r="AX23" s="208">
        <f t="shared" si="22"/>
        <v>31.4</v>
      </c>
      <c r="AY23" s="168">
        <f t="shared" si="23"/>
        <v>34</v>
      </c>
      <c r="AZ23" s="169"/>
      <c r="BA23" s="169"/>
      <c r="BC23" s="168">
        <f t="shared" ca="1" si="24"/>
        <v>17</v>
      </c>
      <c r="BD23" s="209">
        <f t="shared" ca="1" si="6"/>
        <v>9</v>
      </c>
      <c r="BF23" s="173" t="str">
        <f t="shared" ca="1" si="7"/>
        <v>Cleco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CNL</v>
      </c>
    </row>
    <row r="24" spans="1:61" ht="13.8" x14ac:dyDescent="0.25">
      <c r="A24" s="223" t="s">
        <v>256</v>
      </c>
      <c r="B24" s="224" t="s">
        <v>140</v>
      </c>
      <c r="C24" s="224">
        <v>19</v>
      </c>
      <c r="D24" s="224" t="s">
        <v>257</v>
      </c>
      <c r="E24" s="225" t="str">
        <f t="shared" ca="1" si="8"/>
        <v>R</v>
      </c>
      <c r="F24" s="348"/>
      <c r="G24" s="349">
        <f t="shared" ca="1" si="1"/>
        <v>15</v>
      </c>
      <c r="H24" s="350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367</v>
      </c>
      <c r="AR24" s="207" t="s">
        <v>141</v>
      </c>
      <c r="AS24" s="207">
        <v>18</v>
      </c>
      <c r="AT24" s="207" t="s">
        <v>368</v>
      </c>
      <c r="AV24" s="168">
        <f t="shared" si="21"/>
        <v>31</v>
      </c>
      <c r="AW24" s="168">
        <f>COUNTIF( AV$7:AV24, AV24 )</f>
        <v>5</v>
      </c>
      <c r="AX24" s="208">
        <f t="shared" si="22"/>
        <v>31.5</v>
      </c>
      <c r="AY24" s="168">
        <f t="shared" si="23"/>
        <v>35</v>
      </c>
      <c r="AZ24" s="169"/>
      <c r="BA24" s="169"/>
      <c r="BC24" s="168">
        <f t="shared" ca="1" si="24"/>
        <v>18</v>
      </c>
      <c r="BD24" s="209">
        <f t="shared" ca="1" si="6"/>
        <v>10</v>
      </c>
      <c r="BF24" s="173" t="str">
        <f t="shared" ca="1" si="7"/>
        <v>CMS Energy Corporation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CMS</v>
      </c>
    </row>
    <row r="25" spans="1:61" ht="13.8" x14ac:dyDescent="0.25">
      <c r="A25" s="223" t="s">
        <v>261</v>
      </c>
      <c r="B25" s="224" t="s">
        <v>140</v>
      </c>
      <c r="C25" s="224">
        <v>19</v>
      </c>
      <c r="D25" s="224" t="s">
        <v>262</v>
      </c>
      <c r="E25" s="225" t="str">
        <f t="shared" ca="1" si="8"/>
        <v>R</v>
      </c>
      <c r="F25" s="348"/>
      <c r="G25" s="349">
        <f t="shared" ca="1" si="1"/>
        <v>18</v>
      </c>
      <c r="H25" s="350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267</v>
      </c>
      <c r="AR25" s="207" t="s">
        <v>141</v>
      </c>
      <c r="AS25" s="207">
        <v>18</v>
      </c>
      <c r="AT25" s="207" t="s">
        <v>268</v>
      </c>
      <c r="AV25" s="168">
        <f t="shared" si="21"/>
        <v>31</v>
      </c>
      <c r="AW25" s="168">
        <f>COUNTIF( AV$7:AV25, AV25 )</f>
        <v>6</v>
      </c>
      <c r="AX25" s="208">
        <f t="shared" si="22"/>
        <v>31.6</v>
      </c>
      <c r="AY25" s="168">
        <f t="shared" si="23"/>
        <v>36</v>
      </c>
      <c r="AZ25" s="169"/>
      <c r="BA25" s="169"/>
      <c r="BC25" s="168">
        <f t="shared" ca="1" si="24"/>
        <v>19</v>
      </c>
      <c r="BD25" s="209">
        <f t="shared" ca="1" si="6"/>
        <v>14</v>
      </c>
      <c r="BF25" s="173" t="str">
        <f t="shared" ca="1" si="7"/>
        <v>DTE Energy Company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DTE</v>
      </c>
    </row>
    <row r="26" spans="1:61" ht="13.8" x14ac:dyDescent="0.25">
      <c r="A26" s="223" t="s">
        <v>263</v>
      </c>
      <c r="B26" s="224" t="s">
        <v>140</v>
      </c>
      <c r="C26" s="224">
        <v>19</v>
      </c>
      <c r="D26" s="224" t="s">
        <v>264</v>
      </c>
      <c r="E26" s="225" t="str">
        <f t="shared" ca="1" si="8"/>
        <v>R</v>
      </c>
      <c r="F26" s="348"/>
      <c r="G26" s="349">
        <f t="shared" ca="1" si="1"/>
        <v>19</v>
      </c>
      <c r="H26" s="350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394</v>
      </c>
      <c r="AR26" s="207" t="s">
        <v>139</v>
      </c>
      <c r="AS26" s="207">
        <v>20</v>
      </c>
      <c r="AT26" s="207" t="s">
        <v>236</v>
      </c>
      <c r="AV26" s="168">
        <f t="shared" si="21"/>
        <v>2</v>
      </c>
      <c r="AW26" s="168">
        <f>COUNTIF( AV$7:AV26, AV26 )</f>
        <v>5</v>
      </c>
      <c r="AX26" s="208">
        <f t="shared" si="22"/>
        <v>2.5</v>
      </c>
      <c r="AY26" s="168">
        <f t="shared" si="23"/>
        <v>6</v>
      </c>
      <c r="AZ26" s="169"/>
      <c r="BA26" s="169"/>
      <c r="BC26" s="168">
        <f t="shared" ca="1" si="24"/>
        <v>20</v>
      </c>
      <c r="BD26" s="209">
        <f t="shared" ca="1" si="6"/>
        <v>15</v>
      </c>
      <c r="BF26" s="173" t="str">
        <f t="shared" ca="1" si="7"/>
        <v>Duke Energy Corporation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DUK</v>
      </c>
    </row>
    <row r="27" spans="1:61" ht="13.8" x14ac:dyDescent="0.25">
      <c r="A27" s="223" t="s">
        <v>265</v>
      </c>
      <c r="B27" s="224" t="s">
        <v>140</v>
      </c>
      <c r="C27" s="224">
        <v>19</v>
      </c>
      <c r="D27" s="224" t="s">
        <v>266</v>
      </c>
      <c r="E27" s="225" t="str">
        <f t="shared" ca="1" si="8"/>
        <v>R</v>
      </c>
      <c r="F27" s="348"/>
      <c r="G27" s="349">
        <f t="shared" ca="1" si="1"/>
        <v>20</v>
      </c>
      <c r="H27" s="350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269</v>
      </c>
      <c r="AR27" s="207" t="s">
        <v>141</v>
      </c>
      <c r="AS27" s="207">
        <v>18</v>
      </c>
      <c r="AT27" s="207" t="s">
        <v>270</v>
      </c>
      <c r="AV27" s="168">
        <f t="shared" si="21"/>
        <v>31</v>
      </c>
      <c r="AW27" s="168">
        <f>COUNTIF( AV$7:AV27, AV27 )</f>
        <v>7</v>
      </c>
      <c r="AX27" s="208">
        <f t="shared" si="22"/>
        <v>31.7</v>
      </c>
      <c r="AY27" s="168">
        <f t="shared" si="23"/>
        <v>37</v>
      </c>
      <c r="AZ27" s="169"/>
      <c r="BA27" s="169"/>
      <c r="BC27" s="168">
        <f t="shared" ca="1" si="24"/>
        <v>21</v>
      </c>
      <c r="BD27" s="209">
        <f t="shared" ca="1" si="6"/>
        <v>16</v>
      </c>
      <c r="BF27" s="173" t="str">
        <f t="shared" ca="1" si="7"/>
        <v>Edison International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EIX</v>
      </c>
    </row>
    <row r="28" spans="1:61" ht="13.8" x14ac:dyDescent="0.25">
      <c r="A28" s="223" t="s">
        <v>352</v>
      </c>
      <c r="B28" s="224" t="s">
        <v>140</v>
      </c>
      <c r="C28" s="224">
        <v>19</v>
      </c>
      <c r="D28" s="224" t="s">
        <v>353</v>
      </c>
      <c r="E28" s="225" t="str">
        <f t="shared" ca="1" si="8"/>
        <v>R</v>
      </c>
      <c r="F28" s="348"/>
      <c r="G28" s="349">
        <f t="shared" ca="1" si="1"/>
        <v>26</v>
      </c>
      <c r="H28" s="350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275</v>
      </c>
      <c r="AR28" s="207" t="s">
        <v>142</v>
      </c>
      <c r="AS28" s="207">
        <v>17</v>
      </c>
      <c r="AT28" s="207" t="s">
        <v>276</v>
      </c>
      <c r="AV28" s="168">
        <f t="shared" si="21"/>
        <v>47</v>
      </c>
      <c r="AW28" s="168">
        <f>COUNTIF( AV$7:AV28, AV28 )</f>
        <v>1</v>
      </c>
      <c r="AX28" s="208">
        <f t="shared" si="22"/>
        <v>47.1</v>
      </c>
      <c r="AY28" s="168">
        <f t="shared" si="23"/>
        <v>47</v>
      </c>
      <c r="AZ28" s="169"/>
      <c r="BA28" s="169"/>
      <c r="BC28" s="168">
        <f t="shared" ca="1" si="24"/>
        <v>22</v>
      </c>
      <c r="BD28" s="209">
        <f t="shared" ca="1" si="6"/>
        <v>23</v>
      </c>
      <c r="BF28" s="173" t="str">
        <f t="shared" ca="1" si="7"/>
        <v>Great Plains Energy Inc.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GXP</v>
      </c>
    </row>
    <row r="29" spans="1:61" ht="13.8" x14ac:dyDescent="0.25">
      <c r="A29" s="223" t="s">
        <v>271</v>
      </c>
      <c r="B29" s="224" t="s">
        <v>140</v>
      </c>
      <c r="C29" s="224">
        <v>19</v>
      </c>
      <c r="D29" s="224" t="s">
        <v>272</v>
      </c>
      <c r="E29" s="225" t="str">
        <f t="shared" ca="1" si="8"/>
        <v>D</v>
      </c>
      <c r="F29" s="348"/>
      <c r="G29" s="349">
        <f t="shared" ca="1" si="1"/>
        <v>30</v>
      </c>
      <c r="H29" s="350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352</v>
      </c>
      <c r="AR29" s="207" t="s">
        <v>140</v>
      </c>
      <c r="AS29" s="207">
        <v>19</v>
      </c>
      <c r="AT29" s="207" t="s">
        <v>353</v>
      </c>
      <c r="AV29" s="168">
        <f t="shared" si="21"/>
        <v>14</v>
      </c>
      <c r="AW29" s="168">
        <f>COUNTIF( AV$7:AV29, AV29 )</f>
        <v>9</v>
      </c>
      <c r="AX29" s="208">
        <f t="shared" si="22"/>
        <v>14.9</v>
      </c>
      <c r="AY29" s="168">
        <f t="shared" si="23"/>
        <v>22</v>
      </c>
      <c r="AZ29" s="169"/>
      <c r="BA29" s="169"/>
      <c r="BC29" s="168">
        <f t="shared" ca="1" si="24"/>
        <v>23</v>
      </c>
      <c r="BD29" s="209">
        <f t="shared" ca="1" si="6"/>
        <v>29</v>
      </c>
      <c r="BF29" s="173" t="str">
        <f t="shared" ca="1" si="7"/>
        <v>MDU Resources Group, Inc.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MDU</v>
      </c>
    </row>
    <row r="30" spans="1:61" ht="13.8" x14ac:dyDescent="0.25">
      <c r="A30" s="223" t="s">
        <v>382</v>
      </c>
      <c r="B30" s="224" t="s">
        <v>140</v>
      </c>
      <c r="C30" s="224">
        <v>19</v>
      </c>
      <c r="D30" s="224" t="s">
        <v>383</v>
      </c>
      <c r="E30" s="225" t="str">
        <f t="shared" ca="1" si="8"/>
        <v>R</v>
      </c>
      <c r="F30" s="348"/>
      <c r="G30" s="349">
        <f t="shared" ca="1" si="1"/>
        <v>38</v>
      </c>
      <c r="H30" s="350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279</v>
      </c>
      <c r="AR30" s="207" t="s">
        <v>142</v>
      </c>
      <c r="AS30" s="207">
        <v>17</v>
      </c>
      <c r="AT30" s="207" t="s">
        <v>280</v>
      </c>
      <c r="AV30" s="168">
        <f t="shared" si="21"/>
        <v>47</v>
      </c>
      <c r="AW30" s="168">
        <f>COUNTIF( AV$7:AV30, AV30 )</f>
        <v>2</v>
      </c>
      <c r="AX30" s="208">
        <f t="shared" si="22"/>
        <v>47.2</v>
      </c>
      <c r="AY30" s="168">
        <f t="shared" si="23"/>
        <v>48</v>
      </c>
      <c r="AZ30" s="169"/>
      <c r="BA30" s="169"/>
      <c r="BC30" s="168">
        <f t="shared" ca="1" si="24"/>
        <v>24</v>
      </c>
      <c r="BD30" s="209">
        <f t="shared" ca="1" si="6"/>
        <v>35</v>
      </c>
      <c r="BF30" s="173" t="str">
        <f t="shared" ca="1" si="7"/>
        <v>Pepco Holdings,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POM</v>
      </c>
    </row>
    <row r="31" spans="1:61" ht="13.8" x14ac:dyDescent="0.25">
      <c r="A31" s="223" t="s">
        <v>289</v>
      </c>
      <c r="B31" s="224" t="s">
        <v>140</v>
      </c>
      <c r="C31" s="224">
        <v>19</v>
      </c>
      <c r="D31" s="224" t="s">
        <v>290</v>
      </c>
      <c r="E31" s="225" t="str">
        <f t="shared" ca="1" si="8"/>
        <v>MR</v>
      </c>
      <c r="F31" s="348"/>
      <c r="G31" s="349">
        <f t="shared" ca="1" si="1"/>
        <v>44</v>
      </c>
      <c r="H31" s="350"/>
      <c r="I31" s="237"/>
      <c r="J31" s="191"/>
      <c r="K31" s="237"/>
      <c r="N31" s="237"/>
      <c r="O31" s="351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387</v>
      </c>
      <c r="AR31" s="207" t="s">
        <v>141</v>
      </c>
      <c r="AS31" s="207">
        <v>18</v>
      </c>
      <c r="AT31" s="207" t="s">
        <v>388</v>
      </c>
      <c r="AV31" s="168">
        <f t="shared" si="21"/>
        <v>31</v>
      </c>
      <c r="AW31" s="168">
        <f>COUNTIF( AV$7:AV31, AV31 )</f>
        <v>8</v>
      </c>
      <c r="AX31" s="208">
        <f t="shared" si="22"/>
        <v>31.8</v>
      </c>
      <c r="AY31" s="168">
        <f t="shared" si="23"/>
        <v>38</v>
      </c>
      <c r="AZ31" s="169"/>
      <c r="BA31" s="169"/>
      <c r="BC31" s="168">
        <f t="shared" ca="1" si="24"/>
        <v>25</v>
      </c>
      <c r="BD31" s="209">
        <f t="shared" ca="1" si="6"/>
        <v>41</v>
      </c>
      <c r="BF31" s="173" t="str">
        <f t="shared" ca="1" si="7"/>
        <v>Public Service Enterprise Group Incorporated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PEG</v>
      </c>
    </row>
    <row r="32" spans="1:61" ht="13.8" x14ac:dyDescent="0.25">
      <c r="A32" s="223" t="s">
        <v>347</v>
      </c>
      <c r="B32" s="224" t="s">
        <v>140</v>
      </c>
      <c r="C32" s="224">
        <v>19</v>
      </c>
      <c r="D32" s="224" t="s">
        <v>348</v>
      </c>
      <c r="E32" s="225" t="str">
        <f t="shared" ca="1" si="8"/>
        <v>MR</v>
      </c>
      <c r="F32" s="348"/>
      <c r="G32" s="349">
        <f t="shared" ca="1" si="1"/>
        <v>45</v>
      </c>
      <c r="H32" s="350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32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283</v>
      </c>
      <c r="AR32" s="207" t="s">
        <v>141</v>
      </c>
      <c r="AS32" s="207">
        <v>18</v>
      </c>
      <c r="AT32" s="207" t="s">
        <v>284</v>
      </c>
      <c r="AV32" s="168">
        <f t="shared" si="21"/>
        <v>31</v>
      </c>
      <c r="AW32" s="168">
        <f>COUNTIF( AV$7:AV32, AV32 )</f>
        <v>9</v>
      </c>
      <c r="AX32" s="208">
        <f t="shared" si="22"/>
        <v>31.9</v>
      </c>
      <c r="AY32" s="168">
        <f t="shared" si="23"/>
        <v>39</v>
      </c>
      <c r="AZ32" s="169"/>
      <c r="BA32" s="169"/>
      <c r="BC32" s="168">
        <f t="shared" ca="1" si="24"/>
        <v>26</v>
      </c>
      <c r="BD32" s="209">
        <f t="shared" ca="1" si="6"/>
        <v>43</v>
      </c>
      <c r="BF32" s="173" t="str">
        <f t="shared" ca="1" si="7"/>
        <v>SCANA Corporation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SCG</v>
      </c>
    </row>
    <row r="33" spans="1:61" ht="13.8" x14ac:dyDescent="0.25">
      <c r="A33" s="223" t="s">
        <v>291</v>
      </c>
      <c r="B33" s="224" t="s">
        <v>140</v>
      </c>
      <c r="C33" s="224">
        <v>19</v>
      </c>
      <c r="D33" s="224" t="s">
        <v>292</v>
      </c>
      <c r="E33" s="225" t="str">
        <f t="shared" ca="1" si="8"/>
        <v>MR</v>
      </c>
      <c r="F33" s="348"/>
      <c r="G33" s="349">
        <f t="shared" ca="1" si="1"/>
        <v>46</v>
      </c>
      <c r="H33" s="350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33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395</v>
      </c>
      <c r="AR33" s="207" t="s">
        <v>139</v>
      </c>
      <c r="AS33" s="207">
        <v>20</v>
      </c>
      <c r="AT33" s="207" t="s">
        <v>396</v>
      </c>
      <c r="AV33" s="168">
        <f t="shared" si="21"/>
        <v>2</v>
      </c>
      <c r="AW33" s="168">
        <f>COUNTIF( AV$7:AV33, AV33 )</f>
        <v>6</v>
      </c>
      <c r="AX33" s="208">
        <f t="shared" si="22"/>
        <v>2.6</v>
      </c>
      <c r="AY33" s="168">
        <f t="shared" si="23"/>
        <v>7</v>
      </c>
      <c r="AZ33" s="169"/>
      <c r="BA33" s="169"/>
      <c r="BC33" s="168">
        <f t="shared" ca="1" si="24"/>
        <v>27</v>
      </c>
      <c r="BD33" s="209">
        <f t="shared" ca="1" si="6"/>
        <v>44</v>
      </c>
      <c r="BF33" s="173" t="str">
        <f t="shared" ca="1" si="7"/>
        <v>Sempra Energy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SRE</v>
      </c>
    </row>
    <row r="34" spans="1:61" ht="13.8" x14ac:dyDescent="0.25">
      <c r="A34" s="223" t="s">
        <v>369</v>
      </c>
      <c r="B34" s="224" t="s">
        <v>140</v>
      </c>
      <c r="C34" s="224">
        <v>19</v>
      </c>
      <c r="D34" s="224" t="s">
        <v>375</v>
      </c>
      <c r="E34" s="225" t="str">
        <f t="shared" ca="1" si="8"/>
        <v>R</v>
      </c>
      <c r="F34" s="348"/>
      <c r="G34" s="349">
        <f t="shared" ca="1" si="1"/>
        <v>48</v>
      </c>
      <c r="H34" s="350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34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287</v>
      </c>
      <c r="AR34" s="207" t="s">
        <v>173</v>
      </c>
      <c r="AS34" s="207">
        <v>16</v>
      </c>
      <c r="AT34" s="207" t="s">
        <v>288</v>
      </c>
      <c r="AV34" s="168">
        <f t="shared" si="21"/>
        <v>51</v>
      </c>
      <c r="AW34" s="168">
        <f>COUNTIF( AV$7:AV34, AV34 )</f>
        <v>1</v>
      </c>
      <c r="AX34" s="208">
        <f t="shared" si="22"/>
        <v>51.1</v>
      </c>
      <c r="AY34" s="168">
        <f t="shared" si="23"/>
        <v>51</v>
      </c>
      <c r="AZ34" s="169"/>
      <c r="BA34" s="169"/>
      <c r="BC34" s="168">
        <f t="shared" ca="1" si="24"/>
        <v>28</v>
      </c>
      <c r="BD34" s="209">
        <f t="shared" ca="1" si="6"/>
        <v>46</v>
      </c>
      <c r="BF34" s="173" t="str">
        <f t="shared" ca="1" si="7"/>
        <v>TECO Energy, Inc.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TE</v>
      </c>
    </row>
    <row r="35" spans="1:61" ht="13.8" x14ac:dyDescent="0.25">
      <c r="A35" s="223" t="s">
        <v>295</v>
      </c>
      <c r="B35" s="224" t="s">
        <v>140</v>
      </c>
      <c r="C35" s="224">
        <v>19</v>
      </c>
      <c r="D35" s="224" t="s">
        <v>296</v>
      </c>
      <c r="E35" s="225" t="str">
        <f t="shared" ca="1" si="8"/>
        <v>R</v>
      </c>
      <c r="F35" s="348"/>
      <c r="G35" s="349">
        <f t="shared" ca="1" si="1"/>
        <v>50</v>
      </c>
      <c r="H35" s="350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35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271</v>
      </c>
      <c r="AR35" s="207" t="s">
        <v>140</v>
      </c>
      <c r="AS35" s="207">
        <v>19</v>
      </c>
      <c r="AT35" s="207" t="s">
        <v>272</v>
      </c>
      <c r="AV35" s="168">
        <f t="shared" si="21"/>
        <v>14</v>
      </c>
      <c r="AW35" s="168">
        <f>COUNTIF( AV$7:AV35, AV35 )</f>
        <v>10</v>
      </c>
      <c r="AX35" s="208">
        <f t="shared" si="22"/>
        <v>15</v>
      </c>
      <c r="AY35" s="168">
        <f t="shared" si="23"/>
        <v>23</v>
      </c>
      <c r="AZ35" s="169"/>
      <c r="BA35" s="169"/>
      <c r="BC35" s="168">
        <f t="shared" ca="1" si="24"/>
        <v>29</v>
      </c>
      <c r="BD35" s="209">
        <f t="shared" ca="1" si="6"/>
        <v>48</v>
      </c>
      <c r="BF35" s="173" t="str">
        <f t="shared" ca="1" si="7"/>
        <v>Unitil Corporation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*UTL</v>
      </c>
    </row>
    <row r="36" spans="1:61" ht="13.8" x14ac:dyDescent="0.25">
      <c r="A36" s="223" t="s">
        <v>354</v>
      </c>
      <c r="B36" s="224" t="s">
        <v>140</v>
      </c>
      <c r="C36" s="224">
        <v>19</v>
      </c>
      <c r="D36" s="224" t="s">
        <v>355</v>
      </c>
      <c r="E36" s="225" t="str">
        <f t="shared" ca="1" si="8"/>
        <v>R</v>
      </c>
      <c r="F36" s="348"/>
      <c r="G36" s="349">
        <f t="shared" ca="1" si="1"/>
        <v>53</v>
      </c>
      <c r="H36" s="350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36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240</v>
      </c>
      <c r="AR36" s="207" t="s">
        <v>139</v>
      </c>
      <c r="AS36" s="207">
        <v>20</v>
      </c>
      <c r="AT36" s="207" t="s">
        <v>241</v>
      </c>
      <c r="AV36" s="168">
        <f t="shared" si="21"/>
        <v>2</v>
      </c>
      <c r="AW36" s="168">
        <f>COUNTIF( AV$7:AV36, AV36 )</f>
        <v>7</v>
      </c>
      <c r="AX36" s="208">
        <f t="shared" si="22"/>
        <v>2.7</v>
      </c>
      <c r="AY36" s="168">
        <f t="shared" si="23"/>
        <v>8</v>
      </c>
      <c r="AZ36" s="169"/>
      <c r="BA36" s="169"/>
      <c r="BC36" s="168">
        <f t="shared" ca="1" si="24"/>
        <v>30</v>
      </c>
      <c r="BD36" s="209">
        <f t="shared" ca="1" si="6"/>
        <v>50</v>
      </c>
      <c r="BF36" s="173" t="str">
        <f t="shared" ca="1" si="7"/>
        <v>Westar Energy, Inc.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WR</v>
      </c>
    </row>
    <row r="37" spans="1:61" ht="13.8" x14ac:dyDescent="0.25">
      <c r="A37" s="223" t="s">
        <v>222</v>
      </c>
      <c r="B37" s="224" t="s">
        <v>141</v>
      </c>
      <c r="C37" s="224">
        <v>18</v>
      </c>
      <c r="D37" s="224" t="s">
        <v>223</v>
      </c>
      <c r="E37" s="225" t="str">
        <f t="shared" ca="1" si="8"/>
        <v>R</v>
      </c>
      <c r="F37" s="348"/>
      <c r="G37" s="349">
        <f t="shared" ca="1" si="1"/>
        <v>10</v>
      </c>
      <c r="H37" s="350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37</v>
      </c>
      <c r="AK37" s="169" t="str">
        <f t="shared" ca="1" si="20"/>
        <v>BBB</v>
      </c>
      <c r="AL37" s="169">
        <f t="shared" ca="1" si="20"/>
        <v>18</v>
      </c>
      <c r="AM37" s="169" t="str">
        <f t="shared" ca="1" si="4"/>
        <v/>
      </c>
      <c r="AQ37" s="207" t="s">
        <v>273</v>
      </c>
      <c r="AR37" s="207" t="s">
        <v>142</v>
      </c>
      <c r="AS37" s="207">
        <v>17</v>
      </c>
      <c r="AT37" s="207" t="s">
        <v>274</v>
      </c>
      <c r="AV37" s="168">
        <f t="shared" si="21"/>
        <v>47</v>
      </c>
      <c r="AW37" s="168">
        <f>COUNTIF( AV$7:AV37, AV37 )</f>
        <v>3</v>
      </c>
      <c r="AX37" s="208">
        <f t="shared" si="22"/>
        <v>47.3</v>
      </c>
      <c r="AY37" s="168">
        <f t="shared" si="23"/>
        <v>49</v>
      </c>
      <c r="AZ37" s="169"/>
      <c r="BA37" s="169"/>
      <c r="BC37" s="168">
        <f t="shared" ca="1" si="24"/>
        <v>31</v>
      </c>
      <c r="BD37" s="209">
        <f t="shared" ca="1" si="6"/>
        <v>4</v>
      </c>
      <c r="BF37" s="173" t="str">
        <f t="shared" ca="1" si="7"/>
        <v>American Electric Power Company, Inc.</v>
      </c>
      <c r="BG37" s="173" t="str">
        <f t="shared" ca="1" si="7"/>
        <v>BBB</v>
      </c>
      <c r="BH37" s="173">
        <f t="shared" ca="1" si="7"/>
        <v>18</v>
      </c>
      <c r="BI37" s="173" t="str">
        <f t="shared" ca="1" si="7"/>
        <v>AEP</v>
      </c>
    </row>
    <row r="38" spans="1:61" ht="13.8" x14ac:dyDescent="0.25">
      <c r="A38" s="223" t="s">
        <v>238</v>
      </c>
      <c r="B38" s="224" t="s">
        <v>141</v>
      </c>
      <c r="C38" s="224">
        <v>18</v>
      </c>
      <c r="D38" s="224" t="s">
        <v>239</v>
      </c>
      <c r="E38" s="225" t="str">
        <f t="shared" ca="1" si="8"/>
        <v>R</v>
      </c>
      <c r="F38" s="348"/>
      <c r="G38" s="349">
        <f t="shared" ca="1" si="1"/>
        <v>11</v>
      </c>
      <c r="H38" s="350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38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297</v>
      </c>
      <c r="AR38" s="207" t="s">
        <v>141</v>
      </c>
      <c r="AS38" s="207">
        <v>18</v>
      </c>
      <c r="AT38" s="207" t="s">
        <v>298</v>
      </c>
      <c r="AV38" s="168">
        <f t="shared" si="21"/>
        <v>31</v>
      </c>
      <c r="AW38" s="168">
        <f>COUNTIF( AV$7:AV38, AV38 )</f>
        <v>10</v>
      </c>
      <c r="AX38" s="208">
        <f t="shared" si="22"/>
        <v>32</v>
      </c>
      <c r="AY38" s="168">
        <f t="shared" si="23"/>
        <v>40</v>
      </c>
      <c r="AZ38" s="169"/>
      <c r="BA38" s="169"/>
      <c r="BC38" s="168">
        <f t="shared" ca="1" si="24"/>
        <v>32</v>
      </c>
      <c r="BD38" s="209">
        <f t="shared" ca="1" si="6"/>
        <v>5</v>
      </c>
      <c r="BF38" s="173" t="str">
        <f t="shared" ca="1" si="7"/>
        <v>Avista Corporation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AVA</v>
      </c>
    </row>
    <row r="39" spans="1:61" ht="13.8" x14ac:dyDescent="0.25">
      <c r="A39" s="223" t="s">
        <v>245</v>
      </c>
      <c r="B39" s="224" t="s">
        <v>141</v>
      </c>
      <c r="C39" s="224">
        <v>18</v>
      </c>
      <c r="D39" s="224" t="s">
        <v>246</v>
      </c>
      <c r="E39" s="225" t="str">
        <f t="shared" ca="1" si="8"/>
        <v>R</v>
      </c>
      <c r="F39" s="348"/>
      <c r="G39" s="349">
        <f t="shared" ca="1" si="1"/>
        <v>12</v>
      </c>
      <c r="H39" s="350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39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277</v>
      </c>
      <c r="AR39" s="207" t="s">
        <v>139</v>
      </c>
      <c r="AS39" s="207">
        <v>20</v>
      </c>
      <c r="AT39" s="207" t="s">
        <v>278</v>
      </c>
      <c r="AV39" s="168">
        <f t="shared" si="21"/>
        <v>2</v>
      </c>
      <c r="AW39" s="168">
        <f>COUNTIF( AV$7:AV39, AV39 )</f>
        <v>8</v>
      </c>
      <c r="AX39" s="208">
        <f t="shared" si="22"/>
        <v>2.8</v>
      </c>
      <c r="AY39" s="168">
        <f t="shared" si="23"/>
        <v>9</v>
      </c>
      <c r="AZ39" s="169"/>
      <c r="BA39" s="169"/>
      <c r="BC39" s="168">
        <f t="shared" ca="1" si="24"/>
        <v>33</v>
      </c>
      <c r="BD39" s="209">
        <f t="shared" ca="1" si="6"/>
        <v>7</v>
      </c>
      <c r="BF39" s="173" t="str">
        <f t="shared" ref="BF39:BI63" ca="1" si="25">OFFSET( AQ$6, $BD39, 0 )</f>
        <v>Black Hills Corporation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BKH</v>
      </c>
    </row>
    <row r="40" spans="1:61" ht="13.8" x14ac:dyDescent="0.25">
      <c r="A40" s="223" t="s">
        <v>328</v>
      </c>
      <c r="B40" s="224" t="s">
        <v>141</v>
      </c>
      <c r="C40" s="224">
        <v>18</v>
      </c>
      <c r="D40" s="224" t="s">
        <v>331</v>
      </c>
      <c r="E40" s="225" t="str">
        <f t="shared" ca="1" si="8"/>
        <v>R</v>
      </c>
      <c r="F40" s="348"/>
      <c r="G40" s="349">
        <f t="shared" ca="1" si="1"/>
        <v>21</v>
      </c>
      <c r="H40" s="350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40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299</v>
      </c>
      <c r="AR40" s="207" t="s">
        <v>141</v>
      </c>
      <c r="AS40" s="207">
        <v>18</v>
      </c>
      <c r="AT40" s="207" t="s">
        <v>300</v>
      </c>
      <c r="AV40" s="168">
        <f t="shared" si="21"/>
        <v>31</v>
      </c>
      <c r="AW40" s="168">
        <f>COUNTIF( AV$7:AV40, AV40 )</f>
        <v>11</v>
      </c>
      <c r="AX40" s="208">
        <f t="shared" si="22"/>
        <v>32.1</v>
      </c>
      <c r="AY40" s="168">
        <f t="shared" si="23"/>
        <v>41</v>
      </c>
      <c r="AZ40" s="169"/>
      <c r="BA40" s="169"/>
      <c r="BC40" s="168">
        <f t="shared" ca="1" si="24"/>
        <v>34</v>
      </c>
      <c r="BD40" s="209">
        <f t="shared" ca="1" si="6"/>
        <v>17</v>
      </c>
      <c r="BF40" s="173" t="str">
        <f t="shared" ca="1" si="25"/>
        <v>El Paso Electric Company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EE</v>
      </c>
    </row>
    <row r="41" spans="1:61" ht="13.8" x14ac:dyDescent="0.25">
      <c r="A41" s="223" t="s">
        <v>367</v>
      </c>
      <c r="B41" s="224" t="s">
        <v>141</v>
      </c>
      <c r="C41" s="224">
        <v>18</v>
      </c>
      <c r="D41" s="224" t="s">
        <v>368</v>
      </c>
      <c r="E41" s="225" t="str">
        <f t="shared" ca="1" si="8"/>
        <v>R</v>
      </c>
      <c r="F41" s="348"/>
      <c r="G41" s="349">
        <f t="shared" ca="1" si="1"/>
        <v>22</v>
      </c>
      <c r="H41" s="350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382</v>
      </c>
      <c r="AR41" s="207" t="s">
        <v>140</v>
      </c>
      <c r="AS41" s="207">
        <v>19</v>
      </c>
      <c r="AT41" s="207" t="s">
        <v>383</v>
      </c>
      <c r="AV41" s="168">
        <f t="shared" si="21"/>
        <v>14</v>
      </c>
      <c r="AW41" s="168">
        <f>COUNTIF( AV$7:AV41, AV41 )</f>
        <v>11</v>
      </c>
      <c r="AX41" s="208">
        <f t="shared" si="22"/>
        <v>15.1</v>
      </c>
      <c r="AY41" s="168">
        <f t="shared" si="23"/>
        <v>24</v>
      </c>
      <c r="AZ41" s="169"/>
      <c r="BA41" s="169"/>
      <c r="BC41" s="168">
        <f t="shared" ca="1" si="24"/>
        <v>35</v>
      </c>
      <c r="BD41" s="209">
        <f t="shared" ca="1" si="6"/>
        <v>18</v>
      </c>
      <c r="BF41" s="173" t="str">
        <f t="shared" ca="1" si="25"/>
        <v>Empire District Electric Company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EDE</v>
      </c>
    </row>
    <row r="42" spans="1:61" ht="13.8" x14ac:dyDescent="0.25">
      <c r="A42" s="223" t="s">
        <v>267</v>
      </c>
      <c r="B42" s="224" t="s">
        <v>141</v>
      </c>
      <c r="C42" s="224">
        <v>18</v>
      </c>
      <c r="D42" s="224" t="s">
        <v>268</v>
      </c>
      <c r="E42" s="225" t="str">
        <f t="shared" ca="1" si="8"/>
        <v>R</v>
      </c>
      <c r="F42" s="348"/>
      <c r="G42" s="349">
        <f t="shared" ca="1" si="1"/>
        <v>23</v>
      </c>
      <c r="H42" s="350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301</v>
      </c>
      <c r="AR42" s="207" t="s">
        <v>141</v>
      </c>
      <c r="AS42" s="207">
        <v>18</v>
      </c>
      <c r="AT42" s="207" t="s">
        <v>302</v>
      </c>
      <c r="AV42" s="168">
        <f t="shared" si="21"/>
        <v>31</v>
      </c>
      <c r="AW42" s="168">
        <f>COUNTIF( AV$7:AV42, AV42 )</f>
        <v>12</v>
      </c>
      <c r="AX42" s="208">
        <f t="shared" si="22"/>
        <v>32.200000000000003</v>
      </c>
      <c r="AY42" s="168">
        <f t="shared" si="23"/>
        <v>42</v>
      </c>
      <c r="AZ42" s="169"/>
      <c r="BA42" s="169"/>
      <c r="BC42" s="168">
        <f t="shared" ca="1" si="24"/>
        <v>36</v>
      </c>
      <c r="BD42" s="209">
        <f t="shared" ca="1" si="6"/>
        <v>19</v>
      </c>
      <c r="BF42" s="173" t="str">
        <f t="shared" ca="1" si="25"/>
        <v>Entergy Corporation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ETR</v>
      </c>
    </row>
    <row r="43" spans="1:61" ht="13.8" x14ac:dyDescent="0.25">
      <c r="A43" s="223" t="s">
        <v>269</v>
      </c>
      <c r="B43" s="224" t="s">
        <v>141</v>
      </c>
      <c r="C43" s="224">
        <v>18</v>
      </c>
      <c r="D43" s="224" t="s">
        <v>270</v>
      </c>
      <c r="E43" s="225" t="str">
        <f t="shared" ca="1" si="8"/>
        <v>MR</v>
      </c>
      <c r="F43" s="348"/>
      <c r="G43" s="349">
        <f t="shared" ca="1" si="1"/>
        <v>24</v>
      </c>
      <c r="H43" s="350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281</v>
      </c>
      <c r="AR43" s="207" t="s">
        <v>139</v>
      </c>
      <c r="AS43" s="207">
        <v>20</v>
      </c>
      <c r="AT43" s="207" t="s">
        <v>282</v>
      </c>
      <c r="AV43" s="168">
        <f t="shared" si="21"/>
        <v>2</v>
      </c>
      <c r="AW43" s="168">
        <f>COUNTIF( AV$7:AV43, AV43 )</f>
        <v>9</v>
      </c>
      <c r="AX43" s="208">
        <f t="shared" si="22"/>
        <v>2.9</v>
      </c>
      <c r="AY43" s="168">
        <f t="shared" si="23"/>
        <v>10</v>
      </c>
      <c r="AZ43" s="169"/>
      <c r="BA43" s="169"/>
      <c r="BC43" s="168">
        <f t="shared" ca="1" si="24"/>
        <v>37</v>
      </c>
      <c r="BD43" s="209">
        <f t="shared" ca="1" si="6"/>
        <v>21</v>
      </c>
      <c r="BF43" s="173" t="str">
        <f t="shared" ca="1" si="25"/>
        <v>Exelon Corporation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EXC</v>
      </c>
    </row>
    <row r="44" spans="1:61" ht="13.8" x14ac:dyDescent="0.25">
      <c r="A44" s="223" t="s">
        <v>387</v>
      </c>
      <c r="B44" s="224" t="s">
        <v>141</v>
      </c>
      <c r="C44" s="224">
        <v>18</v>
      </c>
      <c r="D44" s="224" t="s">
        <v>388</v>
      </c>
      <c r="E44" s="225" t="str">
        <f t="shared" ca="1" si="8"/>
        <v>R</v>
      </c>
      <c r="F44" s="348"/>
      <c r="G44" s="349">
        <f t="shared" ca="1" si="1"/>
        <v>57</v>
      </c>
      <c r="H44" s="350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303</v>
      </c>
      <c r="AR44" s="207" t="s">
        <v>141</v>
      </c>
      <c r="AS44" s="207">
        <v>18</v>
      </c>
      <c r="AT44" s="207" t="s">
        <v>304</v>
      </c>
      <c r="AV44" s="168">
        <f t="shared" si="21"/>
        <v>31</v>
      </c>
      <c r="AW44" s="168">
        <f>COUNTIF( AV$7:AV44, AV44 )</f>
        <v>13</v>
      </c>
      <c r="AX44" s="208">
        <f t="shared" si="22"/>
        <v>32.299999999999997</v>
      </c>
      <c r="AY44" s="168">
        <f t="shared" si="23"/>
        <v>43</v>
      </c>
      <c r="AZ44" s="169"/>
      <c r="BA44" s="169"/>
      <c r="BC44" s="168">
        <f t="shared" ca="1" si="24"/>
        <v>38</v>
      </c>
      <c r="BD44" s="209">
        <f t="shared" ca="1" si="6"/>
        <v>25</v>
      </c>
      <c r="BF44" s="173" t="str">
        <f t="shared" ca="1" si="25"/>
        <v>Iberdrola USA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**EAST</v>
      </c>
    </row>
    <row r="45" spans="1:61" ht="13.8" x14ac:dyDescent="0.25">
      <c r="A45" s="223" t="s">
        <v>283</v>
      </c>
      <c r="B45" s="224" t="s">
        <v>141</v>
      </c>
      <c r="C45" s="224">
        <v>18</v>
      </c>
      <c r="D45" s="224" t="s">
        <v>284</v>
      </c>
      <c r="E45" s="225" t="str">
        <f t="shared" ca="1" si="8"/>
        <v>R</v>
      </c>
      <c r="F45" s="348"/>
      <c r="G45" s="349">
        <f t="shared" ca="1" si="1"/>
        <v>28</v>
      </c>
      <c r="H45" s="350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285</v>
      </c>
      <c r="AR45" s="207" t="s">
        <v>141</v>
      </c>
      <c r="AS45" s="207">
        <v>18</v>
      </c>
      <c r="AT45" s="207" t="s">
        <v>286</v>
      </c>
      <c r="AV45" s="168">
        <f t="shared" si="21"/>
        <v>31</v>
      </c>
      <c r="AW45" s="168">
        <f>COUNTIF( AV$7:AV45, AV45 )</f>
        <v>14</v>
      </c>
      <c r="AX45" s="208">
        <f t="shared" si="22"/>
        <v>32.4</v>
      </c>
      <c r="AY45" s="168">
        <f t="shared" si="23"/>
        <v>44</v>
      </c>
      <c r="AZ45" s="169"/>
      <c r="BA45" s="169"/>
      <c r="BC45" s="168">
        <f t="shared" ca="1" si="24"/>
        <v>39</v>
      </c>
      <c r="BD45" s="209">
        <f t="shared" ca="1" si="6"/>
        <v>26</v>
      </c>
      <c r="BF45" s="173" t="str">
        <f t="shared" ca="1" si="25"/>
        <v>IDACORP, Inc.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IDA</v>
      </c>
    </row>
    <row r="46" spans="1:61" ht="13.8" x14ac:dyDescent="0.25">
      <c r="A46" s="223" t="s">
        <v>297</v>
      </c>
      <c r="B46" s="224" t="s">
        <v>141</v>
      </c>
      <c r="C46" s="224">
        <v>18</v>
      </c>
      <c r="D46" s="224" t="s">
        <v>298</v>
      </c>
      <c r="E46" s="225" t="str">
        <f t="shared" ca="1" si="8"/>
        <v>R</v>
      </c>
      <c r="F46" s="348"/>
      <c r="G46" s="349">
        <f t="shared" ca="1" si="1"/>
        <v>35</v>
      </c>
      <c r="H46" s="350"/>
      <c r="I46" s="191"/>
      <c r="K46" s="191"/>
      <c r="N46" s="351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46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243</v>
      </c>
      <c r="AR46" s="207" t="s">
        <v>141</v>
      </c>
      <c r="AS46" s="207">
        <v>18</v>
      </c>
      <c r="AT46" s="207" t="s">
        <v>244</v>
      </c>
      <c r="AV46" s="168">
        <f t="shared" si="21"/>
        <v>31</v>
      </c>
      <c r="AW46" s="168">
        <f>COUNTIF( AV$7:AV46, AV46 )</f>
        <v>15</v>
      </c>
      <c r="AX46" s="208">
        <f t="shared" si="22"/>
        <v>32.5</v>
      </c>
      <c r="AY46" s="168">
        <f t="shared" si="23"/>
        <v>45</v>
      </c>
      <c r="AZ46" s="169"/>
      <c r="BA46" s="169"/>
      <c r="BC46" s="168">
        <f t="shared" ca="1" si="24"/>
        <v>40</v>
      </c>
      <c r="BD46" s="209">
        <f t="shared" ca="1" si="6"/>
        <v>32</v>
      </c>
      <c r="BF46" s="173" t="str">
        <f t="shared" ca="1" si="25"/>
        <v>NorthWestern Corporation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NWE</v>
      </c>
    </row>
    <row r="47" spans="1:61" ht="13.8" x14ac:dyDescent="0.25">
      <c r="A47" s="223" t="s">
        <v>299</v>
      </c>
      <c r="B47" s="224" t="s">
        <v>141</v>
      </c>
      <c r="C47" s="224">
        <v>18</v>
      </c>
      <c r="D47" s="224" t="s">
        <v>300</v>
      </c>
      <c r="E47" s="225" t="str">
        <f t="shared" ca="1" si="8"/>
        <v>R</v>
      </c>
      <c r="F47" s="348"/>
      <c r="G47" s="349">
        <f t="shared" ca="1" si="1"/>
        <v>37</v>
      </c>
      <c r="H47" s="350"/>
      <c r="I47" s="350"/>
      <c r="J47" s="187" t="s">
        <v>373</v>
      </c>
      <c r="K47" s="191"/>
      <c r="M47" s="351"/>
      <c r="N47" s="351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47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289</v>
      </c>
      <c r="AR47" s="207" t="s">
        <v>140</v>
      </c>
      <c r="AS47" s="207">
        <v>19</v>
      </c>
      <c r="AT47" s="207" t="s">
        <v>290</v>
      </c>
      <c r="AV47" s="168">
        <f t="shared" si="21"/>
        <v>14</v>
      </c>
      <c r="AW47" s="168">
        <f>COUNTIF( AV$7:AV47, AV47 )</f>
        <v>12</v>
      </c>
      <c r="AX47" s="208">
        <f t="shared" si="22"/>
        <v>15.2</v>
      </c>
      <c r="AY47" s="168">
        <f t="shared" si="23"/>
        <v>25</v>
      </c>
      <c r="AZ47" s="169"/>
      <c r="BA47" s="169"/>
      <c r="BC47" s="168">
        <f t="shared" ca="1" si="24"/>
        <v>41</v>
      </c>
      <c r="BD47" s="209">
        <f t="shared" ca="1" si="6"/>
        <v>34</v>
      </c>
      <c r="BF47" s="173" t="str">
        <f t="shared" ca="1" si="25"/>
        <v>Otter Tail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OTTR</v>
      </c>
    </row>
    <row r="48" spans="1:61" ht="13.8" x14ac:dyDescent="0.25">
      <c r="A48" s="223" t="s">
        <v>301</v>
      </c>
      <c r="B48" s="224" t="s">
        <v>141</v>
      </c>
      <c r="C48" s="224">
        <v>18</v>
      </c>
      <c r="D48" s="224" t="s">
        <v>302</v>
      </c>
      <c r="E48" s="225" t="str">
        <f t="shared" ca="1" si="8"/>
        <v>R</v>
      </c>
      <c r="F48" s="348"/>
      <c r="G48" s="349">
        <f t="shared" ca="1" si="1"/>
        <v>39</v>
      </c>
      <c r="H48" s="350"/>
      <c r="I48" s="350"/>
      <c r="K48" s="191"/>
      <c r="M48" s="351"/>
      <c r="N48" s="351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48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305</v>
      </c>
      <c r="AR48" s="207" t="s">
        <v>142</v>
      </c>
      <c r="AS48" s="207">
        <v>17</v>
      </c>
      <c r="AT48" s="207" t="s">
        <v>306</v>
      </c>
      <c r="AV48" s="168">
        <f t="shared" si="21"/>
        <v>47</v>
      </c>
      <c r="AW48" s="168">
        <f>COUNTIF( AV$7:AV48, AV48 )</f>
        <v>4</v>
      </c>
      <c r="AX48" s="208">
        <f t="shared" si="22"/>
        <v>47.4</v>
      </c>
      <c r="AY48" s="168">
        <f t="shared" si="23"/>
        <v>50</v>
      </c>
      <c r="AZ48" s="169"/>
      <c r="BA48" s="169"/>
      <c r="BC48" s="168">
        <f t="shared" ca="1" si="24"/>
        <v>42</v>
      </c>
      <c r="BD48" s="209">
        <f t="shared" ca="1" si="6"/>
        <v>36</v>
      </c>
      <c r="BF48" s="173" t="str">
        <f t="shared" ca="1" si="25"/>
        <v>PG&amp;E Corporation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PCG</v>
      </c>
    </row>
    <row r="49" spans="1:61" ht="13.8" x14ac:dyDescent="0.25">
      <c r="A49" s="223" t="s">
        <v>303</v>
      </c>
      <c r="B49" s="224" t="s">
        <v>141</v>
      </c>
      <c r="C49" s="224">
        <v>18</v>
      </c>
      <c r="D49" s="224" t="s">
        <v>304</v>
      </c>
      <c r="E49" s="225" t="str">
        <f t="shared" ca="1" si="8"/>
        <v>R</v>
      </c>
      <c r="F49" s="348"/>
      <c r="G49" s="349">
        <f t="shared" ca="1" si="1"/>
        <v>41</v>
      </c>
      <c r="H49" s="350"/>
      <c r="I49" s="350"/>
      <c r="J49" s="191"/>
      <c r="K49" s="191"/>
      <c r="M49" s="351"/>
      <c r="N49" s="351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4"/>
        <v/>
      </c>
      <c r="AQ49" s="207" t="s">
        <v>347</v>
      </c>
      <c r="AR49" s="207" t="s">
        <v>140</v>
      </c>
      <c r="AS49" s="207">
        <v>19</v>
      </c>
      <c r="AT49" s="207" t="s">
        <v>348</v>
      </c>
      <c r="AV49" s="168">
        <f t="shared" si="21"/>
        <v>14</v>
      </c>
      <c r="AW49" s="168">
        <f>COUNTIF( AV$7:AV49, AV49 )</f>
        <v>13</v>
      </c>
      <c r="AX49" s="208">
        <f t="shared" si="22"/>
        <v>15.3</v>
      </c>
      <c r="AY49" s="168">
        <f t="shared" si="23"/>
        <v>26</v>
      </c>
      <c r="AZ49" s="169"/>
      <c r="BA49" s="169"/>
      <c r="BC49" s="168">
        <f t="shared" ca="1" si="24"/>
        <v>43</v>
      </c>
      <c r="BD49" s="209">
        <f t="shared" ca="1" si="6"/>
        <v>38</v>
      </c>
      <c r="BF49" s="173" t="str">
        <f t="shared" ca="1" si="25"/>
        <v>PNM Resources, Inc.</v>
      </c>
      <c r="BG49" s="173" t="str">
        <f t="shared" ca="1" si="25"/>
        <v>BBB</v>
      </c>
      <c r="BH49" s="173">
        <f t="shared" ca="1" si="25"/>
        <v>18</v>
      </c>
      <c r="BI49" s="173" t="str">
        <f t="shared" ca="1" si="25"/>
        <v>PNM</v>
      </c>
    </row>
    <row r="50" spans="1:61" ht="13.8" x14ac:dyDescent="0.25">
      <c r="A50" s="223" t="s">
        <v>285</v>
      </c>
      <c r="B50" s="224" t="s">
        <v>141</v>
      </c>
      <c r="C50" s="224">
        <v>18</v>
      </c>
      <c r="D50" s="224" t="s">
        <v>286</v>
      </c>
      <c r="E50" s="225" t="str">
        <f t="shared" ca="1" si="8"/>
        <v>R</v>
      </c>
      <c r="F50" s="348"/>
      <c r="G50" s="349">
        <f t="shared" ca="1" si="1"/>
        <v>42</v>
      </c>
      <c r="H50" s="350"/>
      <c r="I50" s="350"/>
      <c r="J50" s="191"/>
      <c r="K50" s="191"/>
      <c r="M50" s="351"/>
      <c r="N50" s="351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50</v>
      </c>
      <c r="AK50" s="169" t="str">
        <f t="shared" ca="1" si="20"/>
        <v>BBB</v>
      </c>
      <c r="AL50" s="169">
        <f t="shared" ca="1" si="20"/>
        <v>18</v>
      </c>
      <c r="AM50" s="169" t="str">
        <f t="shared" ca="1" si="4"/>
        <v/>
      </c>
      <c r="AQ50" s="207" t="s">
        <v>291</v>
      </c>
      <c r="AR50" s="207" t="s">
        <v>140</v>
      </c>
      <c r="AS50" s="207">
        <v>19</v>
      </c>
      <c r="AT50" s="207" t="s">
        <v>292</v>
      </c>
      <c r="AV50" s="168">
        <f t="shared" si="21"/>
        <v>14</v>
      </c>
      <c r="AW50" s="168">
        <f>COUNTIF( AV$7:AV50, AV50 )</f>
        <v>14</v>
      </c>
      <c r="AX50" s="208">
        <f t="shared" si="22"/>
        <v>15.4</v>
      </c>
      <c r="AY50" s="168">
        <f t="shared" si="23"/>
        <v>27</v>
      </c>
      <c r="AZ50" s="169"/>
      <c r="BA50" s="169"/>
      <c r="BC50" s="168">
        <f t="shared" ca="1" si="24"/>
        <v>44</v>
      </c>
      <c r="BD50" s="209">
        <f t="shared" ca="1" si="6"/>
        <v>39</v>
      </c>
      <c r="BF50" s="173" t="str">
        <f t="shared" ca="1" si="25"/>
        <v>Portland General Electric Company</v>
      </c>
      <c r="BG50" s="173" t="str">
        <f t="shared" ca="1" si="25"/>
        <v>BBB</v>
      </c>
      <c r="BH50" s="173">
        <f t="shared" ca="1" si="25"/>
        <v>18</v>
      </c>
      <c r="BI50" s="173" t="str">
        <f t="shared" ca="1" si="25"/>
        <v>POR</v>
      </c>
    </row>
    <row r="51" spans="1:61" ht="13.8" x14ac:dyDescent="0.25">
      <c r="A51" s="223" t="s">
        <v>243</v>
      </c>
      <c r="B51" s="224" t="s">
        <v>141</v>
      </c>
      <c r="C51" s="224">
        <v>18</v>
      </c>
      <c r="D51" s="224" t="s">
        <v>244</v>
      </c>
      <c r="E51" s="225" t="str">
        <f t="shared" ca="1" si="8"/>
        <v>MR</v>
      </c>
      <c r="F51" s="348"/>
      <c r="G51" s="349">
        <f t="shared" ca="1" si="1"/>
        <v>43</v>
      </c>
      <c r="H51" s="350"/>
      <c r="I51" s="350"/>
      <c r="J51" s="191"/>
      <c r="K51" s="191"/>
      <c r="M51" s="351"/>
      <c r="N51" s="351"/>
      <c r="AF51" s="169">
        <f t="shared" si="2"/>
        <v>0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51</v>
      </c>
      <c r="AK51" s="169" t="str">
        <f t="shared" ca="1" si="20"/>
        <v>BBB</v>
      </c>
      <c r="AL51" s="169">
        <f t="shared" ca="1" si="20"/>
        <v>18</v>
      </c>
      <c r="AM51" s="169" t="str">
        <f t="shared" ca="1" si="4"/>
        <v/>
      </c>
      <c r="AQ51" s="207" t="s">
        <v>293</v>
      </c>
      <c r="AR51" s="207" t="s">
        <v>166</v>
      </c>
      <c r="AS51" s="207">
        <v>21</v>
      </c>
      <c r="AT51" s="207" t="s">
        <v>294</v>
      </c>
      <c r="AV51" s="168">
        <f t="shared" si="21"/>
        <v>1</v>
      </c>
      <c r="AW51" s="168">
        <f>COUNTIF( AV$7:AV51, AV51 )</f>
        <v>1</v>
      </c>
      <c r="AX51" s="208">
        <f t="shared" si="22"/>
        <v>1.1000000000000001</v>
      </c>
      <c r="AY51" s="168">
        <f t="shared" si="23"/>
        <v>1</v>
      </c>
      <c r="AZ51" s="169"/>
      <c r="BA51" s="169"/>
      <c r="BC51" s="168">
        <f t="shared" ca="1" si="24"/>
        <v>45</v>
      </c>
      <c r="BD51" s="209">
        <f t="shared" ca="1" si="6"/>
        <v>40</v>
      </c>
      <c r="BF51" s="173" t="str">
        <f t="shared" ca="1" si="25"/>
        <v>PPL Corporation</v>
      </c>
      <c r="BG51" s="173" t="str">
        <f t="shared" ca="1" si="25"/>
        <v>BBB</v>
      </c>
      <c r="BH51" s="173">
        <f t="shared" ca="1" si="25"/>
        <v>18</v>
      </c>
      <c r="BI51" s="173" t="str">
        <f t="shared" ca="1" si="25"/>
        <v>PPL</v>
      </c>
    </row>
    <row r="52" spans="1:61" ht="13.8" x14ac:dyDescent="0.25">
      <c r="A52" s="223" t="s">
        <v>389</v>
      </c>
      <c r="B52" s="224" t="s">
        <v>141</v>
      </c>
      <c r="C52" s="224">
        <v>18</v>
      </c>
      <c r="D52" s="224" t="s">
        <v>390</v>
      </c>
      <c r="E52" s="225" t="str">
        <f t="shared" ca="1" si="8"/>
        <v>R</v>
      </c>
      <c r="F52" s="348"/>
      <c r="G52" s="349">
        <f t="shared" ca="1" si="1"/>
        <v>49</v>
      </c>
      <c r="H52" s="350"/>
      <c r="I52" s="350"/>
      <c r="J52" s="191"/>
      <c r="K52" s="191"/>
      <c r="AF52" s="169">
        <f t="shared" si="2"/>
        <v>0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52</v>
      </c>
      <c r="AK52" s="169" t="str">
        <f t="shared" ca="1" si="20"/>
        <v>BBB</v>
      </c>
      <c r="AL52" s="169">
        <f t="shared" ca="1" si="20"/>
        <v>18</v>
      </c>
      <c r="AM52" s="169" t="str">
        <f t="shared" ca="1" si="4"/>
        <v/>
      </c>
      <c r="AQ52" s="207" t="s">
        <v>369</v>
      </c>
      <c r="AR52" s="207" t="s">
        <v>140</v>
      </c>
      <c r="AS52" s="207">
        <v>19</v>
      </c>
      <c r="AT52" s="207" t="s">
        <v>375</v>
      </c>
      <c r="AV52" s="168">
        <f t="shared" si="21"/>
        <v>14</v>
      </c>
      <c r="AW52" s="168">
        <f>COUNTIF( AV$7:AV52, AV52 )</f>
        <v>15</v>
      </c>
      <c r="AX52" s="208">
        <f t="shared" si="22"/>
        <v>15.5</v>
      </c>
      <c r="AY52" s="168">
        <f t="shared" si="23"/>
        <v>28</v>
      </c>
      <c r="AZ52" s="169"/>
      <c r="BA52" s="169"/>
      <c r="BC52" s="168">
        <f t="shared" ca="1" si="24"/>
        <v>46</v>
      </c>
      <c r="BD52" s="209">
        <f t="shared" ca="1" si="6"/>
        <v>47</v>
      </c>
      <c r="BF52" s="173" t="str">
        <f t="shared" ca="1" si="25"/>
        <v>UIL Holdings Corporation</v>
      </c>
      <c r="BG52" s="173" t="str">
        <f t="shared" ca="1" si="25"/>
        <v>BBB</v>
      </c>
      <c r="BH52" s="173">
        <f t="shared" ca="1" si="25"/>
        <v>18</v>
      </c>
      <c r="BI52" s="173" t="str">
        <f t="shared" ca="1" si="25"/>
        <v>UIL</v>
      </c>
    </row>
    <row r="53" spans="1:61" ht="13.8" x14ac:dyDescent="0.25">
      <c r="A53" s="223" t="s">
        <v>275</v>
      </c>
      <c r="B53" s="224" t="s">
        <v>142</v>
      </c>
      <c r="C53" s="224">
        <v>17</v>
      </c>
      <c r="D53" s="224" t="s">
        <v>276</v>
      </c>
      <c r="E53" s="225" t="str">
        <f t="shared" ca="1" si="8"/>
        <v>MR</v>
      </c>
      <c r="F53" s="348"/>
      <c r="G53" s="349">
        <f t="shared" ca="1" si="1"/>
        <v>25</v>
      </c>
      <c r="H53" s="350"/>
      <c r="I53" s="350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389</v>
      </c>
      <c r="AR53" s="207" t="s">
        <v>141</v>
      </c>
      <c r="AS53" s="207">
        <v>18</v>
      </c>
      <c r="AT53" s="207" t="s">
        <v>390</v>
      </c>
      <c r="AV53" s="168">
        <f t="shared" si="21"/>
        <v>31</v>
      </c>
      <c r="AW53" s="168">
        <f>COUNTIF( AV$7:AV53, AV53 )</f>
        <v>16</v>
      </c>
      <c r="AX53" s="208">
        <f t="shared" si="22"/>
        <v>32.6</v>
      </c>
      <c r="AY53" s="168">
        <f t="shared" si="23"/>
        <v>46</v>
      </c>
      <c r="AZ53" s="169"/>
      <c r="BA53" s="169"/>
      <c r="BC53" s="168">
        <f t="shared" ca="1" si="24"/>
        <v>47</v>
      </c>
      <c r="BD53" s="209">
        <f t="shared" ca="1" si="6"/>
        <v>22</v>
      </c>
      <c r="BF53" s="173" t="str">
        <f t="shared" ca="1" si="25"/>
        <v>FirstEnergy Corp.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FE</v>
      </c>
    </row>
    <row r="54" spans="1:61" ht="13.8" x14ac:dyDescent="0.25">
      <c r="A54" s="223" t="s">
        <v>279</v>
      </c>
      <c r="B54" s="224" t="s">
        <v>142</v>
      </c>
      <c r="C54" s="224">
        <v>17</v>
      </c>
      <c r="D54" s="224" t="s">
        <v>280</v>
      </c>
      <c r="E54" s="225" t="str">
        <f t="shared" ca="1" si="8"/>
        <v>D</v>
      </c>
      <c r="F54" s="348"/>
      <c r="G54" s="349">
        <f t="shared" ca="1" si="1"/>
        <v>27</v>
      </c>
      <c r="H54" s="350"/>
      <c r="I54" s="350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8"/>
        <v/>
      </c>
      <c r="AJ54" s="169">
        <f t="shared" ca="1" si="19"/>
        <v>54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4"/>
        <v/>
      </c>
      <c r="AQ54" s="207" t="s">
        <v>295</v>
      </c>
      <c r="AR54" s="207" t="s">
        <v>140</v>
      </c>
      <c r="AS54" s="207">
        <v>19</v>
      </c>
      <c r="AT54" s="207" t="s">
        <v>376</v>
      </c>
      <c r="AV54" s="168">
        <f t="shared" si="21"/>
        <v>14</v>
      </c>
      <c r="AW54" s="168">
        <f>COUNTIF( AV$7:AV54, AV54 )</f>
        <v>16</v>
      </c>
      <c r="AX54" s="208">
        <f t="shared" si="22"/>
        <v>15.6</v>
      </c>
      <c r="AY54" s="168">
        <f t="shared" si="23"/>
        <v>29</v>
      </c>
      <c r="AZ54" s="169"/>
      <c r="BA54" s="169"/>
      <c r="BC54" s="168">
        <f t="shared" ca="1" si="24"/>
        <v>48</v>
      </c>
      <c r="BD54" s="209">
        <f t="shared" ca="1" si="6"/>
        <v>24</v>
      </c>
      <c r="BF54" s="173" t="str">
        <f t="shared" ca="1" si="25"/>
        <v>Hawaiian Electric Industries, Inc.</v>
      </c>
      <c r="BG54" s="173" t="str">
        <f t="shared" ca="1" si="25"/>
        <v>BBB-</v>
      </c>
      <c r="BH54" s="173">
        <f t="shared" ca="1" si="25"/>
        <v>17</v>
      </c>
      <c r="BI54" s="173" t="str">
        <f t="shared" ca="1" si="25"/>
        <v>HE</v>
      </c>
    </row>
    <row r="55" spans="1:61" ht="13.8" x14ac:dyDescent="0.25">
      <c r="A55" s="223" t="s">
        <v>273</v>
      </c>
      <c r="B55" s="224" t="s">
        <v>142</v>
      </c>
      <c r="C55" s="224">
        <v>17</v>
      </c>
      <c r="D55" s="224" t="s">
        <v>274</v>
      </c>
      <c r="E55" s="225" t="str">
        <f t="shared" ca="1" si="8"/>
        <v>MR</v>
      </c>
      <c r="F55" s="348"/>
      <c r="G55" s="349">
        <f t="shared" ca="1" si="1"/>
        <v>33</v>
      </c>
      <c r="H55" s="350"/>
      <c r="I55" s="350"/>
      <c r="J55" s="191"/>
      <c r="K55" s="191"/>
      <c r="AF55" s="169">
        <f t="shared" si="2"/>
        <v>1</v>
      </c>
      <c r="AG55" s="169" t="str">
        <f t="shared" ca="1" si="3"/>
        <v/>
      </c>
      <c r="AH55" s="169" t="str">
        <f t="shared" ca="1" si="18"/>
        <v/>
      </c>
      <c r="AJ55" s="169">
        <f t="shared" ca="1" si="19"/>
        <v>55</v>
      </c>
      <c r="AK55" s="169" t="str">
        <f t="shared" ca="1" si="20"/>
        <v>BBB-</v>
      </c>
      <c r="AL55" s="169">
        <f t="shared" ca="1" si="20"/>
        <v>17</v>
      </c>
      <c r="AM55" s="169" t="str">
        <f t="shared" ca="1" si="4"/>
        <v/>
      </c>
      <c r="AQ55" s="207" t="s">
        <v>345</v>
      </c>
      <c r="AR55" s="207" t="s">
        <v>139</v>
      </c>
      <c r="AS55" s="207">
        <v>20</v>
      </c>
      <c r="AT55" s="207" t="s">
        <v>346</v>
      </c>
      <c r="AV55" s="168">
        <f t="shared" si="21"/>
        <v>2</v>
      </c>
      <c r="AW55" s="168">
        <f>COUNTIF( AV$7:AV55, AV55 )</f>
        <v>10</v>
      </c>
      <c r="AX55" s="208">
        <f t="shared" si="22"/>
        <v>3</v>
      </c>
      <c r="AY55" s="168">
        <f t="shared" si="23"/>
        <v>11</v>
      </c>
      <c r="AZ55" s="169"/>
      <c r="BA55" s="169"/>
      <c r="BC55" s="168">
        <f t="shared" ca="1" si="24"/>
        <v>49</v>
      </c>
      <c r="BD55" s="209">
        <f t="shared" ca="1" si="6"/>
        <v>31</v>
      </c>
      <c r="BF55" s="173" t="str">
        <f t="shared" ca="1" si="25"/>
        <v>NiSource Inc.</v>
      </c>
      <c r="BG55" s="173" t="str">
        <f t="shared" ca="1" si="25"/>
        <v>BBB-</v>
      </c>
      <c r="BH55" s="173">
        <f t="shared" ca="1" si="25"/>
        <v>17</v>
      </c>
      <c r="BI55" s="173" t="str">
        <f t="shared" ca="1" si="25"/>
        <v>NI</v>
      </c>
    </row>
    <row r="56" spans="1:61" ht="13.8" x14ac:dyDescent="0.25">
      <c r="A56" s="223" t="s">
        <v>305</v>
      </c>
      <c r="B56" s="224" t="s">
        <v>142</v>
      </c>
      <c r="C56" s="224">
        <v>17</v>
      </c>
      <c r="D56" s="224" t="s">
        <v>306</v>
      </c>
      <c r="E56" s="225" t="str">
        <f t="shared" ca="1" si="8"/>
        <v>R</v>
      </c>
      <c r="F56" s="348"/>
      <c r="G56" s="349">
        <f t="shared" ca="1" si="1"/>
        <v>62</v>
      </c>
      <c r="H56" s="350"/>
      <c r="I56" s="350"/>
      <c r="J56" s="191"/>
      <c r="K56" s="191"/>
      <c r="AF56" s="169">
        <f t="shared" si="2"/>
        <v>1</v>
      </c>
      <c r="AG56" s="169" t="str">
        <f t="shared" ca="1" si="3"/>
        <v/>
      </c>
      <c r="AH56" s="169" t="str">
        <f t="shared" ca="1" si="18"/>
        <v/>
      </c>
      <c r="AJ56" s="169">
        <f t="shared" ca="1" si="19"/>
        <v>56</v>
      </c>
      <c r="AK56" s="169" t="str">
        <f t="shared" ca="1" si="20"/>
        <v>BBB-</v>
      </c>
      <c r="AL56" s="169">
        <f t="shared" ca="1" si="20"/>
        <v>17</v>
      </c>
      <c r="AM56" s="169" t="str">
        <f t="shared" ca="1" si="4"/>
        <v/>
      </c>
      <c r="AQ56" s="207" t="s">
        <v>354</v>
      </c>
      <c r="AR56" s="207" t="s">
        <v>140</v>
      </c>
      <c r="AS56" s="207">
        <v>19</v>
      </c>
      <c r="AT56" s="207" t="s">
        <v>355</v>
      </c>
      <c r="AV56" s="168">
        <f t="shared" si="21"/>
        <v>14</v>
      </c>
      <c r="AW56" s="168">
        <f>COUNTIF( AV$7:AV56, AV56 )</f>
        <v>17</v>
      </c>
      <c r="AX56" s="208">
        <f t="shared" si="22"/>
        <v>15.7</v>
      </c>
      <c r="AY56" s="168">
        <f t="shared" si="23"/>
        <v>30</v>
      </c>
      <c r="AZ56" s="169"/>
      <c r="BA56" s="169"/>
      <c r="BC56" s="168">
        <f t="shared" ca="1" si="24"/>
        <v>50</v>
      </c>
      <c r="BD56" s="209">
        <f t="shared" ca="1" si="6"/>
        <v>42</v>
      </c>
      <c r="BF56" s="173" t="str">
        <f t="shared" ca="1" si="25"/>
        <v>Puget Energy, Inc.</v>
      </c>
      <c r="BG56" s="173" t="str">
        <f t="shared" ca="1" si="25"/>
        <v>BBB-</v>
      </c>
      <c r="BH56" s="173">
        <f t="shared" ca="1" si="25"/>
        <v>17</v>
      </c>
      <c r="BI56" s="173" t="str">
        <f t="shared" ca="1" si="25"/>
        <v>**PSD</v>
      </c>
    </row>
    <row r="57" spans="1:61" ht="13.8" x14ac:dyDescent="0.25">
      <c r="A57" s="223" t="s">
        <v>287</v>
      </c>
      <c r="B57" s="224" t="s">
        <v>173</v>
      </c>
      <c r="C57" s="224">
        <v>16</v>
      </c>
      <c r="D57" s="224" t="s">
        <v>288</v>
      </c>
      <c r="E57" s="225" t="str">
        <f t="shared" ca="1" si="8"/>
        <v>R</v>
      </c>
      <c r="F57" s="348"/>
      <c r="G57" s="349">
        <f t="shared" ca="1" si="1"/>
        <v>60</v>
      </c>
      <c r="H57" s="350"/>
      <c r="I57" s="350"/>
      <c r="J57" s="191"/>
      <c r="K57" s="191"/>
      <c r="AF57" s="169">
        <f t="shared" si="2"/>
        <v>0</v>
      </c>
      <c r="AG57" s="169" t="str">
        <f t="shared" ca="1" si="3"/>
        <v/>
      </c>
      <c r="AH57" s="169" t="str">
        <f t="shared" ca="1" si="18"/>
        <v/>
      </c>
      <c r="AJ57" s="169">
        <f t="shared" ca="1" si="19"/>
        <v>57</v>
      </c>
      <c r="AK57" s="169" t="str">
        <f t="shared" ca="1" si="20"/>
        <v>BB+</v>
      </c>
      <c r="AL57" s="169">
        <f t="shared" ca="1" si="20"/>
        <v>16</v>
      </c>
      <c r="AM57" s="169" t="str">
        <f t="shared" ca="1" si="4"/>
        <v/>
      </c>
      <c r="AQ57" s="207" t="s">
        <v>247</v>
      </c>
      <c r="AR57" s="207" t="s">
        <v>139</v>
      </c>
      <c r="AS57" s="207">
        <v>20</v>
      </c>
      <c r="AT57" s="207" t="s">
        <v>248</v>
      </c>
      <c r="AV57" s="168">
        <f t="shared" si="21"/>
        <v>2</v>
      </c>
      <c r="AW57" s="168">
        <f>COUNTIF( AV$7:AV57, AV57 )</f>
        <v>11</v>
      </c>
      <c r="AX57" s="208">
        <f t="shared" si="22"/>
        <v>3.1</v>
      </c>
      <c r="AY57" s="168">
        <f t="shared" si="23"/>
        <v>12</v>
      </c>
      <c r="AZ57" s="169"/>
      <c r="BA57" s="169"/>
      <c r="BC57" s="168">
        <f t="shared" ca="1" si="24"/>
        <v>51</v>
      </c>
      <c r="BD57" s="209">
        <f t="shared" ca="1" si="6"/>
        <v>28</v>
      </c>
      <c r="BF57" s="173" t="str">
        <f t="shared" ca="1" si="25"/>
        <v>IPALCO Enterprises, Inc.</v>
      </c>
      <c r="BG57" s="173" t="str">
        <f t="shared" ca="1" si="25"/>
        <v>BB+</v>
      </c>
      <c r="BH57" s="173">
        <f t="shared" ca="1" si="25"/>
        <v>16</v>
      </c>
      <c r="BI57" s="173" t="str">
        <f t="shared" ca="1" si="25"/>
        <v>**IPALCO</v>
      </c>
    </row>
    <row r="58" spans="1:61" ht="13.8" x14ac:dyDescent="0.25">
      <c r="A58" s="223" t="s">
        <v>259</v>
      </c>
      <c r="B58" s="224" t="s">
        <v>175</v>
      </c>
      <c r="C58" s="224">
        <v>15</v>
      </c>
      <c r="D58" s="224" t="s">
        <v>260</v>
      </c>
      <c r="E58" s="225" t="str">
        <f t="shared" ca="1" si="8"/>
        <v>R</v>
      </c>
      <c r="F58" s="348"/>
      <c r="G58" s="349">
        <f t="shared" ca="1" si="1"/>
        <v>58</v>
      </c>
      <c r="H58" s="350"/>
      <c r="I58" s="350"/>
      <c r="J58" s="191"/>
      <c r="K58" s="191"/>
      <c r="AF58" s="169">
        <f t="shared" si="2"/>
        <v>1</v>
      </c>
      <c r="AG58" s="169" t="str">
        <f t="shared" ca="1" si="3"/>
        <v/>
      </c>
      <c r="AH58" s="169" t="str">
        <f t="shared" ca="1" si="18"/>
        <v/>
      </c>
      <c r="AJ58" s="169">
        <f t="shared" ca="1" si="19"/>
        <v>58</v>
      </c>
      <c r="AK58" s="169" t="str">
        <f t="shared" ca="1" si="20"/>
        <v>BB</v>
      </c>
      <c r="AL58" s="169">
        <f t="shared" ca="1" si="20"/>
        <v>15</v>
      </c>
      <c r="AM58" s="169" t="str">
        <f t="shared" ca="1" si="4"/>
        <v/>
      </c>
      <c r="AQ58" s="207" t="s">
        <v>251</v>
      </c>
      <c r="AR58" s="207" t="s">
        <v>139</v>
      </c>
      <c r="AS58" s="207">
        <v>20</v>
      </c>
      <c r="AT58" s="207" t="s">
        <v>252</v>
      </c>
      <c r="AV58" s="168">
        <f t="shared" si="21"/>
        <v>2</v>
      </c>
      <c r="AW58" s="168">
        <f>COUNTIF( AV$7:AV58, AV58 )</f>
        <v>12</v>
      </c>
      <c r="AX58" s="208">
        <f t="shared" si="22"/>
        <v>3.2</v>
      </c>
      <c r="AY58" s="168">
        <f t="shared" si="23"/>
        <v>13</v>
      </c>
      <c r="AZ58" s="169"/>
      <c r="BA58" s="169"/>
      <c r="BC58" s="168">
        <f t="shared" ca="1" si="24"/>
        <v>52</v>
      </c>
      <c r="BD58" s="209">
        <f t="shared" ca="1" si="6"/>
        <v>13</v>
      </c>
      <c r="BF58" s="173" t="str">
        <f t="shared" ca="1" si="25"/>
        <v>DPL Inc.</v>
      </c>
      <c r="BG58" s="173" t="str">
        <f t="shared" ca="1" si="25"/>
        <v>BB</v>
      </c>
      <c r="BH58" s="173">
        <f t="shared" ca="1" si="25"/>
        <v>15</v>
      </c>
      <c r="BI58" s="173" t="str">
        <f t="shared" ca="1" si="25"/>
        <v>**DPL</v>
      </c>
    </row>
    <row r="59" spans="1:61" ht="13.8" x14ac:dyDescent="0.25">
      <c r="A59" s="223"/>
      <c r="B59" s="224"/>
      <c r="C59" s="224"/>
      <c r="D59" s="224"/>
      <c r="E59" s="225" t="str">
        <f t="shared" ca="1" si="8"/>
        <v/>
      </c>
      <c r="F59" s="348"/>
      <c r="G59" s="349" t="str">
        <f t="shared" ca="1" si="1"/>
        <v/>
      </c>
      <c r="H59" s="350"/>
      <c r="I59" s="350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1</v>
      </c>
      <c r="AX59" s="208">
        <f t="shared" si="22"/>
        <v>99.1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" thickBot="1" x14ac:dyDescent="0.3">
      <c r="A60" s="192"/>
      <c r="B60" s="193"/>
      <c r="C60" s="193"/>
      <c r="D60" s="193"/>
      <c r="E60" s="194" t="str">
        <f t="shared" ca="1" si="8"/>
        <v/>
      </c>
      <c r="F60" s="350"/>
      <c r="G60" s="353" t="str">
        <f t="shared" ca="1" si="1"/>
        <v/>
      </c>
      <c r="H60" s="350"/>
      <c r="I60" s="350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2</v>
      </c>
      <c r="AX60" s="208">
        <f t="shared" si="22"/>
        <v>99.2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8" x14ac:dyDescent="0.25">
      <c r="A61" s="226" t="s">
        <v>384</v>
      </c>
      <c r="B61" s="227" t="s">
        <v>162</v>
      </c>
      <c r="C61" s="227">
        <v>23</v>
      </c>
      <c r="D61" s="227" t="s">
        <v>309</v>
      </c>
      <c r="E61" s="228" t="str">
        <f t="shared" ca="1" si="8"/>
        <v>MR</v>
      </c>
      <c r="F61" s="354"/>
      <c r="G61" s="355">
        <f t="shared" ca="1" si="1"/>
        <v>31</v>
      </c>
      <c r="H61" s="350"/>
      <c r="I61" s="350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3</v>
      </c>
      <c r="AX61" s="208">
        <f t="shared" si="22"/>
        <v>99.3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8" x14ac:dyDescent="0.25">
      <c r="A62" s="223" t="s">
        <v>371</v>
      </c>
      <c r="B62" s="224"/>
      <c r="C62" s="224"/>
      <c r="D62" s="224" t="s">
        <v>359</v>
      </c>
      <c r="E62" s="225" t="str">
        <f t="shared" ca="1" si="8"/>
        <v>D</v>
      </c>
      <c r="F62" s="348"/>
      <c r="G62" s="349">
        <f t="shared" ca="1" si="1"/>
        <v>59</v>
      </c>
      <c r="H62" s="350"/>
      <c r="I62" s="350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>
        <f t="shared" ca="1" si="19"/>
        <v>62</v>
      </c>
      <c r="AK62" s="169">
        <f t="shared" ca="1" si="20"/>
        <v>0</v>
      </c>
      <c r="AL62" s="169">
        <f t="shared" ca="1" si="20"/>
        <v>0</v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4</v>
      </c>
      <c r="AX62" s="208">
        <f t="shared" si="22"/>
        <v>99.4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/>
      <c r="B63" s="229"/>
      <c r="C63" s="224"/>
      <c r="D63" s="224"/>
      <c r="E63" s="225"/>
      <c r="F63" s="348"/>
      <c r="G63" s="349"/>
      <c r="H63" s="350"/>
      <c r="I63" s="350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5</v>
      </c>
      <c r="AX63" s="208">
        <f t="shared" si="22"/>
        <v>99.5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/>
      <c r="B64" s="229"/>
      <c r="C64" s="224"/>
      <c r="D64" s="224"/>
      <c r="E64" s="225"/>
      <c r="F64" s="348"/>
      <c r="G64" s="349"/>
      <c r="H64" s="350"/>
      <c r="I64" s="350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308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58" ht="13.8" x14ac:dyDescent="0.25">
      <c r="A65" s="223"/>
      <c r="B65" s="229"/>
      <c r="C65" s="224"/>
      <c r="D65" s="224"/>
      <c r="E65" s="225"/>
      <c r="F65" s="348"/>
      <c r="G65" s="349"/>
      <c r="H65" s="350"/>
      <c r="I65" s="350"/>
      <c r="N65" s="168" t="s">
        <v>310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 t="s">
        <v>371</v>
      </c>
      <c r="AR65" s="207"/>
      <c r="AS65" s="207"/>
      <c r="AT65" s="207" t="s">
        <v>359</v>
      </c>
      <c r="AU65" s="207"/>
      <c r="AZ65" s="169"/>
      <c r="BA65" s="169"/>
      <c r="BF65" s="169"/>
    </row>
    <row r="66" spans="1:58" ht="13.8" x14ac:dyDescent="0.25">
      <c r="A66" s="195"/>
      <c r="B66" s="196"/>
      <c r="C66" s="185"/>
      <c r="D66" s="185"/>
      <c r="E66" s="182"/>
      <c r="F66" s="350"/>
      <c r="H66" s="350"/>
      <c r="I66" s="350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50"/>
      <c r="H67" s="350"/>
      <c r="I67" s="350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8" x14ac:dyDescent="0.25">
      <c r="A68" s="200" t="s">
        <v>311</v>
      </c>
      <c r="B68" s="189" t="str">
        <f ca="1">OFFSET( Scale!$H$5, ROUND( C68, 0 ) - 1, 1 )</f>
        <v>BBB+</v>
      </c>
      <c r="C68" s="201">
        <f>AVERAGE(C7:C65)</f>
        <v>18.754716981132077</v>
      </c>
      <c r="D68" s="201"/>
      <c r="E68" s="201"/>
      <c r="F68" s="350"/>
      <c r="H68" s="350"/>
      <c r="I68" s="350"/>
      <c r="J68" s="351"/>
      <c r="K68" s="351"/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50"/>
      <c r="H69" s="350"/>
      <c r="I69" s="350"/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1"/>
      <c r="K70" s="351"/>
    </row>
    <row r="71" spans="1:58" x14ac:dyDescent="0.25">
      <c r="A71" s="203" t="s">
        <v>312</v>
      </c>
      <c r="F71" s="173"/>
      <c r="H71" s="173"/>
      <c r="I71" s="173"/>
    </row>
    <row r="72" spans="1:58" x14ac:dyDescent="0.25">
      <c r="A72" s="203" t="s">
        <v>313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314</v>
      </c>
      <c r="B73" s="173"/>
      <c r="D73" s="173"/>
      <c r="E73" s="173"/>
      <c r="F73" s="204"/>
      <c r="H73" s="204"/>
      <c r="I73" s="204"/>
    </row>
    <row r="74" spans="1:58" x14ac:dyDescent="0.25">
      <c r="A74" s="203" t="s">
        <v>315</v>
      </c>
      <c r="D74" s="204"/>
      <c r="F74" s="206"/>
      <c r="H74" s="206"/>
      <c r="I74" s="206"/>
      <c r="AQ74" s="207"/>
      <c r="AR74" s="207"/>
      <c r="AS74" s="207"/>
    </row>
    <row r="75" spans="1:58" x14ac:dyDescent="0.25">
      <c r="A75" s="203" t="s">
        <v>316</v>
      </c>
      <c r="D75" s="204"/>
      <c r="F75" s="206"/>
      <c r="H75" s="206"/>
      <c r="I75" s="206"/>
      <c r="AQ75" s="207"/>
      <c r="AR75" s="207"/>
      <c r="AS75" s="207"/>
    </row>
    <row r="76" spans="1:58" x14ac:dyDescent="0.25">
      <c r="A76" s="203"/>
      <c r="AQ76" s="207"/>
      <c r="AR76" s="207"/>
      <c r="AS76" s="207"/>
    </row>
    <row r="77" spans="1:58" x14ac:dyDescent="0.25">
      <c r="C77" s="190">
        <f>SUMPRODUCT( L8:L13, Y8:Y13 ) / L14</f>
        <v>18.735849056603772</v>
      </c>
      <c r="E77" s="191"/>
      <c r="G77" s="353"/>
      <c r="J77" s="173"/>
      <c r="K77" s="173"/>
      <c r="AQ77" s="207"/>
      <c r="AR77" s="207"/>
      <c r="AS77" s="207"/>
    </row>
    <row r="78" spans="1:58" s="173" customFormat="1" ht="13.8" x14ac:dyDescent="0.2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ref="AQ7:AT59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575" priority="28" stopIfTrue="1">
      <formula>IF( $AH7 = 1, TRUE, FALSE )</formula>
    </cfRule>
    <cfRule type="expression" dxfId="574" priority="29" stopIfTrue="1">
      <formula>IF( $AG7 = 1, TRUE, FALSE )</formula>
    </cfRule>
    <cfRule type="expression" dxfId="573" priority="30" stopIfTrue="1">
      <formula>IF( $AF7 = 1, TRUE, FALSE )</formula>
    </cfRule>
  </conditionalFormatting>
  <conditionalFormatting sqref="A67:E67">
    <cfRule type="expression" dxfId="572" priority="31" stopIfTrue="1">
      <formula>IF( $AH67 = 1, TRUE, FALSE )</formula>
    </cfRule>
    <cfRule type="expression" dxfId="571" priority="32" stopIfTrue="1">
      <formula>IF( $AG67 = 1, TRUE, FALSE )</formula>
    </cfRule>
    <cfRule type="expression" dxfId="570" priority="33" stopIfTrue="1">
      <formula>IF( $AF67 = 1, TRUE, FALSE )</formula>
    </cfRule>
  </conditionalFormatting>
  <conditionalFormatting sqref="A66:E66">
    <cfRule type="expression" dxfId="569" priority="25" stopIfTrue="1">
      <formula>IF( $AH66 = 1, TRUE, FALSE )</formula>
    </cfRule>
    <cfRule type="expression" dxfId="568" priority="26" stopIfTrue="1">
      <formula>IF( $AG66 = 1, TRUE, FALSE )</formula>
    </cfRule>
    <cfRule type="expression" dxfId="567" priority="27" stopIfTrue="1">
      <formula>IF( $AF66 = 1, TRUE, FALSE )</formula>
    </cfRule>
  </conditionalFormatting>
  <conditionalFormatting sqref="A8:D58 B7:D7">
    <cfRule type="expression" dxfId="566" priority="22" stopIfTrue="1">
      <formula>IF( $AH7 = 1, TRUE, FALSE )</formula>
    </cfRule>
    <cfRule type="expression" dxfId="565" priority="23" stopIfTrue="1">
      <formula>IF( $AG7 = 1, TRUE, FALSE )</formula>
    </cfRule>
    <cfRule type="expression" dxfId="564" priority="24" stopIfTrue="1">
      <formula>IF( $AF7 = 1, TRUE, FALSE )</formula>
    </cfRule>
  </conditionalFormatting>
  <conditionalFormatting sqref="A59:D59">
    <cfRule type="expression" dxfId="563" priority="19" stopIfTrue="1">
      <formula>IF( $AH59 = 1, TRUE, FALSE )</formula>
    </cfRule>
    <cfRule type="expression" dxfId="562" priority="20" stopIfTrue="1">
      <formula>IF( $AG59 = 1, TRUE, FALSE )</formula>
    </cfRule>
    <cfRule type="expression" dxfId="561" priority="21" stopIfTrue="1">
      <formula>IF( $AF59 = 1, TRUE, FALSE )</formula>
    </cfRule>
  </conditionalFormatting>
  <conditionalFormatting sqref="A61:D65">
    <cfRule type="expression" dxfId="560" priority="16" stopIfTrue="1">
      <formula>IF( $AH61 = 1, TRUE, FALSE )</formula>
    </cfRule>
    <cfRule type="expression" dxfId="559" priority="17" stopIfTrue="1">
      <formula>IF( $AG61 = 1, TRUE, FALSE )</formula>
    </cfRule>
    <cfRule type="expression" dxfId="558" priority="18" stopIfTrue="1">
      <formula>IF( $AF61 = 1, TRUE, FALSE )</formula>
    </cfRule>
  </conditionalFormatting>
  <conditionalFormatting sqref="U8:U12">
    <cfRule type="cellIs" dxfId="557" priority="15" operator="equal">
      <formula>0</formula>
    </cfRule>
  </conditionalFormatting>
  <conditionalFormatting sqref="O8:O12 Q8:Q12">
    <cfRule type="cellIs" dxfId="556" priority="14" operator="equal">
      <formula>0</formula>
    </cfRule>
  </conditionalFormatting>
  <conditionalFormatting sqref="V8:V12">
    <cfRule type="cellIs" dxfId="555" priority="13" operator="equal">
      <formula>0</formula>
    </cfRule>
  </conditionalFormatting>
  <conditionalFormatting sqref="S8:S12">
    <cfRule type="cellIs" dxfId="554" priority="11" operator="equal">
      <formula>0</formula>
    </cfRule>
  </conditionalFormatting>
  <conditionalFormatting sqref="R8:R12">
    <cfRule type="cellIs" dxfId="553" priority="12" operator="equal">
      <formula>0</formula>
    </cfRule>
  </conditionalFormatting>
  <conditionalFormatting sqref="P8:P12">
    <cfRule type="cellIs" dxfId="552" priority="10" operator="equal">
      <formula>0</formula>
    </cfRule>
  </conditionalFormatting>
  <conditionalFormatting sqref="M8:M12">
    <cfRule type="cellIs" dxfId="551" priority="9" operator="equal">
      <formula>0</formula>
    </cfRule>
  </conditionalFormatting>
  <conditionalFormatting sqref="T8:T12">
    <cfRule type="cellIs" dxfId="550" priority="8" operator="equal">
      <formula>0</formula>
    </cfRule>
  </conditionalFormatting>
  <conditionalFormatting sqref="N8:N12">
    <cfRule type="cellIs" dxfId="549" priority="7" operator="equal">
      <formula>0</formula>
    </cfRule>
  </conditionalFormatting>
  <conditionalFormatting sqref="K8:K12">
    <cfRule type="cellIs" dxfId="548" priority="6" operator="equal">
      <formula>0</formula>
    </cfRule>
  </conditionalFormatting>
  <conditionalFormatting sqref="I8:I12">
    <cfRule type="cellIs" dxfId="547" priority="5" operator="equal">
      <formula>0</formula>
    </cfRule>
  </conditionalFormatting>
  <conditionalFormatting sqref="W8:W12">
    <cfRule type="cellIs" dxfId="546" priority="4" operator="equal">
      <formula>0</formula>
    </cfRule>
  </conditionalFormatting>
  <conditionalFormatting sqref="A7">
    <cfRule type="expression" dxfId="545" priority="1" stopIfTrue="1">
      <formula>IF( $AH7 = 1, TRUE, FALSE )</formula>
    </cfRule>
    <cfRule type="expression" dxfId="544" priority="2" stopIfTrue="1">
      <formula>IF( $AG7 = 1, TRUE, FALSE )</formula>
    </cfRule>
    <cfRule type="expression" dxfId="543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customWidth="1"/>
    <col min="23" max="23" width="2" style="168" customWidth="1"/>
    <col min="24" max="24" width="4.109375" style="168" customWidth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15.88671875" style="169" hidden="1" customWidth="1" outlineLevel="1" collapsed="1"/>
    <col min="37" max="38" width="15.88671875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style="168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-- 2014 Q4</v>
      </c>
      <c r="G1" s="175" t="s">
        <v>195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 x14ac:dyDescent="0.25">
      <c r="A2" s="167"/>
      <c r="E2" s="171" t="str">
        <f>G2</f>
        <v>Reg_Percent_2013</v>
      </c>
      <c r="G2" s="172" t="s">
        <v>391</v>
      </c>
      <c r="AJ2" s="173" t="str">
        <f>AJ4 &amp; AJ3</f>
        <v>'Credit_2014Q3'!d:d</v>
      </c>
      <c r="AK2" s="173" t="str">
        <f>AK4 &amp; AK3</f>
        <v>'Credit_2014Q3'!b1</v>
      </c>
      <c r="AL2" s="173" t="str">
        <f>AL4 &amp; AL3</f>
        <v>'Credit_2014Q3'!c1</v>
      </c>
      <c r="AQ2" s="169"/>
    </row>
    <row r="3" spans="1:61" ht="18" hidden="1" outlineLevel="1" x14ac:dyDescent="0.25">
      <c r="A3" s="167"/>
      <c r="E3" s="174" t="str">
        <f>"'" &amp; E2 &amp; "'!"</f>
        <v>'Reg_Percent_2013'!</v>
      </c>
      <c r="G3" s="168" t="str">
        <f>"'" &amp; G2 &amp; "'!"</f>
        <v>'Reg_Percent_2013'!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205</v>
      </c>
      <c r="AK3" s="149" t="s">
        <v>206</v>
      </c>
      <c r="AL3" s="149" t="s">
        <v>207</v>
      </c>
      <c r="AQ3" s="169"/>
    </row>
    <row r="4" spans="1:61" ht="18" hidden="1" outlineLevel="1" x14ac:dyDescent="0.25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>$AQ$5</f>
        <v>'Credit_2014Q3'!</v>
      </c>
      <c r="AK4" s="169" t="str">
        <f t="shared" ref="AK4:AL4" si="0">$AQ$5</f>
        <v>'Credit_2014Q3'!</v>
      </c>
      <c r="AL4" s="169" t="str">
        <f t="shared" si="0"/>
        <v>'Credit_2014Q3'!</v>
      </c>
      <c r="AQ4" s="169"/>
    </row>
    <row r="5" spans="1:61" ht="13.8" collapsed="1" x14ac:dyDescent="0.25">
      <c r="E5" s="176" t="s">
        <v>209</v>
      </c>
      <c r="G5" s="170" t="s">
        <v>199</v>
      </c>
      <c r="I5" s="230"/>
      <c r="J5" s="389" t="s">
        <v>210</v>
      </c>
      <c r="K5" s="230"/>
      <c r="L5" s="391" t="str">
        <f>"All Companies" &amp; CHAR( 10 ) &amp; "("&amp; L14 &amp; ")"</f>
        <v>All Companies
(53)</v>
      </c>
      <c r="M5" s="391"/>
      <c r="N5" s="230"/>
      <c r="O5" s="389" t="str">
        <f ca="1">"Regulated" &amp; CHAR( 10 ) &amp; "(" &amp; O14 &amp; ")"</f>
        <v>Regulated
(38)</v>
      </c>
      <c r="P5" s="393"/>
      <c r="Q5" s="230"/>
      <c r="R5" s="389" t="str">
        <f ca="1">"Mostly Regulated" &amp; CHAR( 10 ) &amp; "(" &amp; R14 &amp; ")"</f>
        <v>Mostly Regulated
(13)</v>
      </c>
      <c r="S5" s="393"/>
      <c r="T5" s="230"/>
      <c r="U5" s="389" t="str">
        <f ca="1">"Diversified" &amp; CHAR( 10 ) &amp; "(" &amp; U14 &amp; ")"</f>
        <v>Diversified
(2)</v>
      </c>
      <c r="V5" s="393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397</v>
      </c>
    </row>
    <row r="6" spans="1:61" ht="28.5" customHeight="1" x14ac:dyDescent="0.25">
      <c r="A6" s="219" t="s">
        <v>212</v>
      </c>
      <c r="B6" s="220" t="s">
        <v>59</v>
      </c>
      <c r="C6" s="249" t="s">
        <v>214</v>
      </c>
      <c r="D6" s="221"/>
      <c r="E6" s="222">
        <f ca="1">INDIRECT( E3 &amp; G1 )</f>
        <v>41639</v>
      </c>
      <c r="I6" s="231"/>
      <c r="J6" s="390"/>
      <c r="K6" s="231"/>
      <c r="L6" s="392"/>
      <c r="M6" s="392"/>
      <c r="N6" s="231"/>
      <c r="O6" s="390"/>
      <c r="P6" s="390"/>
      <c r="Q6" s="231"/>
      <c r="R6" s="390" t="s">
        <v>136</v>
      </c>
      <c r="S6" s="390"/>
      <c r="T6" s="231"/>
      <c r="U6" s="390"/>
      <c r="V6" s="390"/>
      <c r="W6" s="231"/>
      <c r="AE6" s="178"/>
      <c r="AJ6" s="179"/>
    </row>
    <row r="7" spans="1:61" ht="13.8" x14ac:dyDescent="0.25">
      <c r="A7" s="223" t="s">
        <v>293</v>
      </c>
      <c r="B7" s="224" t="s">
        <v>166</v>
      </c>
      <c r="C7" s="224">
        <v>21</v>
      </c>
      <c r="D7" s="224" t="s">
        <v>294</v>
      </c>
      <c r="E7" s="225" t="str">
        <f ca="1">IF( LEN( $G7 ) = 0, "", OFFSET( INDIRECT( E$3 &amp; E$4 ), $G7 - 1, 0 ) )</f>
        <v>R</v>
      </c>
      <c r="F7" s="348"/>
      <c r="G7" s="349">
        <f t="shared" ref="G7:G62" ca="1" si="1">IF( LEN( $D7 ) = 0, "", MATCH( $D7, INDIRECT( G$3 &amp; G$4 ), 0 ) )</f>
        <v>47</v>
      </c>
      <c r="H7" s="350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217</v>
      </c>
      <c r="AR7" s="207" t="s">
        <v>140</v>
      </c>
      <c r="AS7" s="207">
        <v>19</v>
      </c>
      <c r="AT7" s="207" t="s">
        <v>218</v>
      </c>
      <c r="AV7" s="168">
        <f>IF( LEN( AS7 ) = 0, 99, RANK( AS7, $AS$7:$AS$63 ) )</f>
        <v>14</v>
      </c>
      <c r="AW7" s="168">
        <f>COUNTIF( AV7:AV$7, AV7 )</f>
        <v>1</v>
      </c>
      <c r="AX7" s="208">
        <f>AV7 + AW7 / 10</f>
        <v>14.1</v>
      </c>
      <c r="AY7" s="168">
        <f>RANK( AX7, $AX$7:$AX$63, 1 )</f>
        <v>14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45</v>
      </c>
      <c r="BF7" s="173" t="str">
        <f t="shared" ref="BF7:BI38" ca="1" si="7">OFFSET( AQ$6, $BD7, 0 )</f>
        <v>Southern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SO</v>
      </c>
    </row>
    <row r="8" spans="1:61" ht="13.8" x14ac:dyDescent="0.25">
      <c r="A8" s="223" t="s">
        <v>219</v>
      </c>
      <c r="B8" s="224" t="s">
        <v>139</v>
      </c>
      <c r="C8" s="224">
        <v>20</v>
      </c>
      <c r="D8" s="224" t="s">
        <v>220</v>
      </c>
      <c r="E8" s="225" t="str">
        <f t="shared" ref="E8:E62" ca="1" si="8">IF( LEN( $G8 ) = 0, "", OFFSET( INDIRECT( E$3 &amp; E$4 ), $G8 - 1, 0 ) )</f>
        <v>R</v>
      </c>
      <c r="F8" s="348"/>
      <c r="G8" s="349">
        <f t="shared" ca="1" si="1"/>
        <v>8</v>
      </c>
      <c r="H8" s="350"/>
      <c r="I8" s="233"/>
      <c r="J8" s="213" t="s">
        <v>137</v>
      </c>
      <c r="K8" s="233"/>
      <c r="L8" s="213">
        <f t="shared" ref="L8:L13" si="9">COUNTIF($C$7:$C$67,$X8)</f>
        <v>2</v>
      </c>
      <c r="M8" s="214">
        <f t="shared" ref="M8:M13" si="10">IF( L8 = 0, "", L8/L$14 )</f>
        <v>3.7735849056603772E-2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2.6315789473684209E-2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7.6923076923076927E-2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7">SUM(O8, R8, U8)</f>
        <v>2</v>
      </c>
      <c r="AC8" s="351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4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ref="AV8:AV63" si="21">IF( LEN( AS8 ) = 0, 99, RANK( AS8, $AS$7:$AS$63 ) )</f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ref="AY8:AY63" si="23">RANK( AX8, $AX$7:$AX$63, 1 )</f>
        <v>2</v>
      </c>
      <c r="AZ8" s="169"/>
      <c r="BA8" s="169"/>
      <c r="BC8" s="168">
        <f ca="1">OFFSET( BC8, -1, 0 ) + 1</f>
        <v>2</v>
      </c>
      <c r="BD8" s="209">
        <f t="shared" ca="1" si="6"/>
        <v>2</v>
      </c>
      <c r="BF8" s="173" t="str">
        <f t="shared" ca="1" si="7"/>
        <v>Alliant Energy Corporation</v>
      </c>
      <c r="BG8" s="173" t="str">
        <f t="shared" ca="1" si="7"/>
        <v>A-</v>
      </c>
      <c r="BH8" s="173">
        <f t="shared" ca="1" si="7"/>
        <v>20</v>
      </c>
      <c r="BI8" s="173" t="str">
        <f t="shared" ca="1" si="7"/>
        <v>LNT</v>
      </c>
    </row>
    <row r="9" spans="1:61" ht="13.8" x14ac:dyDescent="0.25">
      <c r="A9" s="223" t="s">
        <v>249</v>
      </c>
      <c r="B9" s="224" t="s">
        <v>139</v>
      </c>
      <c r="C9" s="224">
        <v>20</v>
      </c>
      <c r="D9" s="224" t="s">
        <v>250</v>
      </c>
      <c r="E9" s="225" t="str">
        <f t="shared" ca="1" si="8"/>
        <v>MR</v>
      </c>
      <c r="F9" s="348"/>
      <c r="G9" s="349">
        <f t="shared" ca="1" si="1"/>
        <v>13</v>
      </c>
      <c r="H9" s="350"/>
      <c r="I9" s="234"/>
      <c r="J9" s="215" t="s">
        <v>139</v>
      </c>
      <c r="K9" s="234"/>
      <c r="L9" s="215">
        <f t="shared" si="9"/>
        <v>12</v>
      </c>
      <c r="M9" s="216">
        <f t="shared" si="10"/>
        <v>0.22641509433962265</v>
      </c>
      <c r="N9" s="234"/>
      <c r="O9" s="215">
        <f t="shared" ca="1" si="11"/>
        <v>8</v>
      </c>
      <c r="P9" s="216">
        <f t="shared" ca="1" si="12"/>
        <v>0.21052631578947367</v>
      </c>
      <c r="Q9" s="234"/>
      <c r="R9" s="215">
        <f t="shared" ca="1" si="13"/>
        <v>4</v>
      </c>
      <c r="S9" s="216">
        <f t="shared" ca="1" si="14"/>
        <v>0.30769230769230771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7"/>
        <v>12</v>
      </c>
      <c r="AC9" s="351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si="21"/>
        <v>14</v>
      </c>
      <c r="AW9" s="168">
        <f>COUNTIF( AV$7:AV9, AV9 )</f>
        <v>2</v>
      </c>
      <c r="AX9" s="208">
        <f t="shared" si="22"/>
        <v>14.2</v>
      </c>
      <c r="AY9" s="168">
        <f t="shared" si="23"/>
        <v>15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8</v>
      </c>
      <c r="BF9" s="173" t="str">
        <f t="shared" ca="1" si="7"/>
        <v>CenterPoint Energy, Inc.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CNP</v>
      </c>
    </row>
    <row r="10" spans="1:61" ht="13.8" x14ac:dyDescent="0.25">
      <c r="A10" s="223" t="s">
        <v>227</v>
      </c>
      <c r="B10" s="224" t="s">
        <v>139</v>
      </c>
      <c r="C10" s="224">
        <v>20</v>
      </c>
      <c r="D10" s="224" t="s">
        <v>228</v>
      </c>
      <c r="E10" s="225" t="str">
        <f t="shared" ca="1" si="8"/>
        <v>R</v>
      </c>
      <c r="F10" s="348"/>
      <c r="G10" s="349">
        <f t="shared" ca="1" si="1"/>
        <v>16</v>
      </c>
      <c r="H10" s="350"/>
      <c r="I10" s="234"/>
      <c r="J10" s="215" t="s">
        <v>140</v>
      </c>
      <c r="K10" s="234"/>
      <c r="L10" s="215">
        <f t="shared" si="9"/>
        <v>17</v>
      </c>
      <c r="M10" s="216">
        <f t="shared" si="10"/>
        <v>0.32075471698113206</v>
      </c>
      <c r="N10" s="234"/>
      <c r="O10" s="215">
        <f t="shared" ca="1" si="11"/>
        <v>12</v>
      </c>
      <c r="P10" s="216">
        <f t="shared" ca="1" si="12"/>
        <v>0.31578947368421051</v>
      </c>
      <c r="Q10" s="234"/>
      <c r="R10" s="215">
        <f t="shared" ca="1" si="13"/>
        <v>4</v>
      </c>
      <c r="S10" s="216">
        <f t="shared" ca="1" si="14"/>
        <v>0.30769230769230771</v>
      </c>
      <c r="T10" s="234"/>
      <c r="U10" s="215">
        <f t="shared" ca="1" si="15"/>
        <v>1</v>
      </c>
      <c r="V10" s="216">
        <f t="shared" ca="1" si="16"/>
        <v>0.5</v>
      </c>
      <c r="W10" s="234"/>
      <c r="X10" s="186" t="s">
        <v>229</v>
      </c>
      <c r="Y10" s="186">
        <v>19</v>
      </c>
      <c r="Z10" s="186">
        <v>1</v>
      </c>
      <c r="AA10" s="185">
        <f t="shared" ca="1" si="17"/>
        <v>17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222</v>
      </c>
      <c r="AR10" s="207" t="s">
        <v>141</v>
      </c>
      <c r="AS10" s="207">
        <v>18</v>
      </c>
      <c r="AT10" s="207" t="s">
        <v>223</v>
      </c>
      <c r="AV10" s="168">
        <f t="shared" si="21"/>
        <v>31</v>
      </c>
      <c r="AW10" s="168">
        <f>COUNTIF( AV$7:AV10, AV10 )</f>
        <v>1</v>
      </c>
      <c r="AX10" s="208">
        <f t="shared" si="22"/>
        <v>31.1</v>
      </c>
      <c r="AY10" s="168">
        <f t="shared" si="23"/>
        <v>31</v>
      </c>
      <c r="AZ10" s="169"/>
      <c r="BA10" s="169"/>
      <c r="BC10" s="168">
        <f t="shared" ca="1" si="24"/>
        <v>4</v>
      </c>
      <c r="BD10" s="209">
        <f t="shared" ca="1" si="6"/>
        <v>11</v>
      </c>
      <c r="BF10" s="173" t="str">
        <f t="shared" ca="1" si="7"/>
        <v>Consolidated Edison,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ED</v>
      </c>
    </row>
    <row r="11" spans="1:61" ht="13.8" x14ac:dyDescent="0.25">
      <c r="A11" s="223" t="s">
        <v>361</v>
      </c>
      <c r="B11" s="224" t="s">
        <v>139</v>
      </c>
      <c r="C11" s="224">
        <v>20</v>
      </c>
      <c r="D11" s="224" t="s">
        <v>194</v>
      </c>
      <c r="E11" s="225" t="str">
        <f t="shared" ca="1" si="8"/>
        <v>MR</v>
      </c>
      <c r="F11" s="348"/>
      <c r="G11" s="349">
        <f t="shared" ca="1" si="1"/>
        <v>17</v>
      </c>
      <c r="H11" s="350"/>
      <c r="I11" s="234"/>
      <c r="J11" s="215" t="s">
        <v>141</v>
      </c>
      <c r="K11" s="234"/>
      <c r="L11" s="215">
        <f t="shared" si="9"/>
        <v>16</v>
      </c>
      <c r="M11" s="216">
        <f t="shared" si="10"/>
        <v>0.30188679245283018</v>
      </c>
      <c r="N11" s="234"/>
      <c r="O11" s="215">
        <f t="shared" ca="1" si="11"/>
        <v>14</v>
      </c>
      <c r="P11" s="216">
        <f t="shared" ca="1" si="12"/>
        <v>0.36842105263157893</v>
      </c>
      <c r="Q11" s="234"/>
      <c r="R11" s="215">
        <f t="shared" ca="1" si="13"/>
        <v>2</v>
      </c>
      <c r="S11" s="216">
        <f t="shared" ca="1" si="14"/>
        <v>0.15384615384615385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7"/>
        <v>16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238</v>
      </c>
      <c r="AR11" s="207" t="s">
        <v>141</v>
      </c>
      <c r="AS11" s="207">
        <v>18</v>
      </c>
      <c r="AT11" s="207" t="s">
        <v>239</v>
      </c>
      <c r="AV11" s="168">
        <f t="shared" si="21"/>
        <v>31</v>
      </c>
      <c r="AW11" s="168">
        <f>COUNTIF( AV$7:AV11, AV11 )</f>
        <v>2</v>
      </c>
      <c r="AX11" s="208">
        <f t="shared" si="22"/>
        <v>31.2</v>
      </c>
      <c r="AY11" s="168">
        <f t="shared" si="23"/>
        <v>32</v>
      </c>
      <c r="AZ11" s="169"/>
      <c r="BA11" s="169"/>
      <c r="BC11" s="168">
        <f t="shared" ca="1" si="24"/>
        <v>5</v>
      </c>
      <c r="BD11" s="209">
        <f t="shared" ca="1" si="6"/>
        <v>12</v>
      </c>
      <c r="BF11" s="173" t="str">
        <f t="shared" ca="1" si="7"/>
        <v>Dominion Resources,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D</v>
      </c>
    </row>
    <row r="12" spans="1:61" ht="13.8" x14ac:dyDescent="0.25">
      <c r="A12" s="223" t="s">
        <v>394</v>
      </c>
      <c r="B12" s="224" t="s">
        <v>139</v>
      </c>
      <c r="C12" s="224">
        <v>20</v>
      </c>
      <c r="D12" s="224" t="s">
        <v>236</v>
      </c>
      <c r="E12" s="225" t="str">
        <f t="shared" ca="1" si="8"/>
        <v>R</v>
      </c>
      <c r="F12" s="348"/>
      <c r="G12" s="349">
        <f t="shared" ca="1" si="1"/>
        <v>34</v>
      </c>
      <c r="H12" s="350"/>
      <c r="I12" s="234"/>
      <c r="J12" s="215" t="s">
        <v>142</v>
      </c>
      <c r="K12" s="234"/>
      <c r="L12" s="215">
        <f t="shared" si="9"/>
        <v>4</v>
      </c>
      <c r="M12" s="216">
        <f t="shared" si="10"/>
        <v>7.5471698113207544E-2</v>
      </c>
      <c r="N12" s="234"/>
      <c r="O12" s="215">
        <f t="shared" ca="1" si="11"/>
        <v>1</v>
      </c>
      <c r="P12" s="216">
        <f t="shared" ca="1" si="12"/>
        <v>2.6315789473684209E-2</v>
      </c>
      <c r="Q12" s="234"/>
      <c r="R12" s="215">
        <f t="shared" ca="1" si="13"/>
        <v>2</v>
      </c>
      <c r="S12" s="216">
        <f t="shared" ca="1" si="14"/>
        <v>0.15384615384615385</v>
      </c>
      <c r="T12" s="234"/>
      <c r="U12" s="215">
        <f t="shared" ca="1" si="15"/>
        <v>1</v>
      </c>
      <c r="V12" s="216">
        <f t="shared" ca="1" si="16"/>
        <v>0.5</v>
      </c>
      <c r="W12" s="234"/>
      <c r="X12" s="186" t="s">
        <v>237</v>
      </c>
      <c r="Y12" s="186">
        <v>17</v>
      </c>
      <c r="Z12" s="186">
        <v>1</v>
      </c>
      <c r="AA12" s="185">
        <f t="shared" ca="1" si="17"/>
        <v>4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14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215</v>
      </c>
      <c r="AR12" s="207" t="s">
        <v>140</v>
      </c>
      <c r="AS12" s="207">
        <v>19</v>
      </c>
      <c r="AT12" s="207" t="s">
        <v>216</v>
      </c>
      <c r="AV12" s="168">
        <f t="shared" si="21"/>
        <v>14</v>
      </c>
      <c r="AW12" s="168">
        <f>COUNTIF( AV$7:AV12, AV12 )</f>
        <v>3</v>
      </c>
      <c r="AX12" s="208">
        <f t="shared" si="22"/>
        <v>14.3</v>
      </c>
      <c r="AY12" s="168">
        <f t="shared" si="23"/>
        <v>16</v>
      </c>
      <c r="AZ12" s="169"/>
      <c r="BA12" s="169"/>
      <c r="BC12" s="168">
        <f t="shared" ca="1" si="24"/>
        <v>6</v>
      </c>
      <c r="BD12" s="209">
        <f t="shared" ca="1" si="6"/>
        <v>20</v>
      </c>
      <c r="BF12" s="173" t="str">
        <f t="shared" ca="1" si="7"/>
        <v>Eversource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ES</v>
      </c>
    </row>
    <row r="13" spans="1:61" ht="13.8" x14ac:dyDescent="0.25">
      <c r="A13" s="223" t="s">
        <v>395</v>
      </c>
      <c r="B13" s="224" t="s">
        <v>139</v>
      </c>
      <c r="C13" s="224">
        <v>20</v>
      </c>
      <c r="D13" s="224" t="s">
        <v>396</v>
      </c>
      <c r="E13" s="225" t="str">
        <f t="shared" ca="1" si="8"/>
        <v>R</v>
      </c>
      <c r="F13" s="348"/>
      <c r="G13" s="349">
        <f t="shared" ca="1" si="1"/>
        <v>29</v>
      </c>
      <c r="H13" s="350"/>
      <c r="I13" s="235"/>
      <c r="J13" s="217" t="s">
        <v>143</v>
      </c>
      <c r="K13" s="235"/>
      <c r="L13" s="217">
        <f t="shared" si="9"/>
        <v>2</v>
      </c>
      <c r="M13" s="218">
        <f t="shared" si="10"/>
        <v>3.7735849056603772E-2</v>
      </c>
      <c r="N13" s="235"/>
      <c r="O13" s="217">
        <f t="shared" ca="1" si="11"/>
        <v>2</v>
      </c>
      <c r="P13" s="218">
        <f t="shared" ca="1" si="12"/>
        <v>5.2631578947368418E-2</v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242</v>
      </c>
      <c r="Y13" s="186">
        <v>16</v>
      </c>
      <c r="Z13" s="186">
        <v>1</v>
      </c>
      <c r="AA13" s="188">
        <f t="shared" ca="1" si="17"/>
        <v>2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12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245</v>
      </c>
      <c r="AR13" s="207" t="s">
        <v>141</v>
      </c>
      <c r="AS13" s="207">
        <v>18</v>
      </c>
      <c r="AT13" s="207" t="s">
        <v>246</v>
      </c>
      <c r="AV13" s="168">
        <f t="shared" si="21"/>
        <v>31</v>
      </c>
      <c r="AW13" s="168">
        <f>COUNTIF( AV$7:AV13, AV13 )</f>
        <v>3</v>
      </c>
      <c r="AX13" s="208">
        <f t="shared" si="22"/>
        <v>31.3</v>
      </c>
      <c r="AY13" s="168">
        <f t="shared" si="23"/>
        <v>33</v>
      </c>
      <c r="AZ13" s="169"/>
      <c r="BA13" s="169"/>
      <c r="BC13" s="168">
        <f t="shared" ca="1" si="24"/>
        <v>7</v>
      </c>
      <c r="BD13" s="209">
        <f t="shared" ca="1" si="6"/>
        <v>27</v>
      </c>
      <c r="BF13" s="173" t="str">
        <f t="shared" ca="1" si="7"/>
        <v>Integrys Energy Group, Inc.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TEG</v>
      </c>
    </row>
    <row r="14" spans="1:61" ht="13.8" x14ac:dyDescent="0.25">
      <c r="A14" s="223" t="s">
        <v>240</v>
      </c>
      <c r="B14" s="224" t="s">
        <v>139</v>
      </c>
      <c r="C14" s="224">
        <v>20</v>
      </c>
      <c r="D14" s="224" t="s">
        <v>241</v>
      </c>
      <c r="E14" s="225" t="str">
        <f t="shared" ca="1" si="8"/>
        <v>MR</v>
      </c>
      <c r="F14" s="348"/>
      <c r="G14" s="349">
        <f t="shared" ca="1" si="1"/>
        <v>32</v>
      </c>
      <c r="H14" s="350"/>
      <c r="I14" s="236"/>
      <c r="J14" s="211" t="s">
        <v>144</v>
      </c>
      <c r="K14" s="236"/>
      <c r="L14" s="211">
        <f>SUM(L8:L13)</f>
        <v>53</v>
      </c>
      <c r="M14" s="212">
        <f>L14/L$14</f>
        <v>1</v>
      </c>
      <c r="N14" s="236"/>
      <c r="O14" s="211">
        <f ca="1">SUM(O8:O13)</f>
        <v>38</v>
      </c>
      <c r="P14" s="212">
        <f ca="1">O14/O$14</f>
        <v>1</v>
      </c>
      <c r="Q14" s="236"/>
      <c r="R14" s="211">
        <f ca="1">SUM(R8:R13)</f>
        <v>13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18.735849056603772</v>
      </c>
      <c r="Z14" s="190"/>
      <c r="AA14" s="189">
        <f ca="1">SUM(AA8:AA13)</f>
        <v>53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13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249</v>
      </c>
      <c r="AR14" s="207" t="s">
        <v>139</v>
      </c>
      <c r="AS14" s="207">
        <v>20</v>
      </c>
      <c r="AT14" s="207" t="s">
        <v>250</v>
      </c>
      <c r="AV14" s="168">
        <f>IF( LEN( AS14 ) = 0, 99, RANK( AS14, $AS$7:$AS$63 ) )</f>
        <v>2</v>
      </c>
      <c r="AW14" s="168">
        <f>COUNTIF( AV$7:AV14, AV14 )</f>
        <v>2</v>
      </c>
      <c r="AX14" s="208">
        <f t="shared" si="22"/>
        <v>2.2000000000000002</v>
      </c>
      <c r="AY14" s="168">
        <f t="shared" si="23"/>
        <v>3</v>
      </c>
      <c r="AZ14" s="169"/>
      <c r="BA14" s="169"/>
      <c r="BC14" s="168">
        <f t="shared" ca="1" si="24"/>
        <v>8</v>
      </c>
      <c r="BD14" s="209">
        <f t="shared" ca="1" si="6"/>
        <v>30</v>
      </c>
      <c r="BF14" s="173" t="str">
        <f t="shared" ca="1" si="7"/>
        <v>NextEra Energy,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NEE</v>
      </c>
    </row>
    <row r="15" spans="1:61" ht="13.8" x14ac:dyDescent="0.25">
      <c r="A15" s="223" t="s">
        <v>277</v>
      </c>
      <c r="B15" s="224" t="s">
        <v>139</v>
      </c>
      <c r="C15" s="224">
        <v>20</v>
      </c>
      <c r="D15" s="224" t="s">
        <v>278</v>
      </c>
      <c r="E15" s="225" t="str">
        <f t="shared" ca="1" si="8"/>
        <v>R</v>
      </c>
      <c r="F15" s="348"/>
      <c r="G15" s="349">
        <f t="shared" ca="1" si="1"/>
        <v>36</v>
      </c>
      <c r="H15" s="350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254</v>
      </c>
      <c r="AR15" s="207" t="s">
        <v>140</v>
      </c>
      <c r="AS15" s="207">
        <v>19</v>
      </c>
      <c r="AT15" s="207" t="s">
        <v>378</v>
      </c>
      <c r="AV15" s="168">
        <f t="shared" si="21"/>
        <v>14</v>
      </c>
      <c r="AW15" s="168">
        <f>COUNTIF( AV$7:AV15, AV15 )</f>
        <v>4</v>
      </c>
      <c r="AX15" s="208">
        <f t="shared" si="22"/>
        <v>14.4</v>
      </c>
      <c r="AY15" s="168">
        <f t="shared" si="23"/>
        <v>17</v>
      </c>
      <c r="AZ15" s="169"/>
      <c r="BA15" s="169"/>
      <c r="BC15" s="168">
        <f t="shared" ca="1" si="24"/>
        <v>9</v>
      </c>
      <c r="BD15" s="209">
        <f t="shared" ca="1" si="6"/>
        <v>33</v>
      </c>
      <c r="BF15" s="173" t="str">
        <f t="shared" ca="1" si="7"/>
        <v>OGE Energy Corp.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OGE</v>
      </c>
    </row>
    <row r="16" spans="1:61" ht="13.8" x14ac:dyDescent="0.25">
      <c r="A16" s="223" t="s">
        <v>281</v>
      </c>
      <c r="B16" s="224" t="s">
        <v>139</v>
      </c>
      <c r="C16" s="224">
        <v>20</v>
      </c>
      <c r="D16" s="224" t="s">
        <v>282</v>
      </c>
      <c r="E16" s="225" t="str">
        <f t="shared" ca="1" si="8"/>
        <v>R</v>
      </c>
      <c r="F16" s="348"/>
      <c r="G16" s="349">
        <f t="shared" ca="1" si="1"/>
        <v>40</v>
      </c>
      <c r="H16" s="350"/>
      <c r="I16" s="232"/>
      <c r="J16" s="210" t="s">
        <v>253</v>
      </c>
      <c r="K16" s="232"/>
      <c r="L16" s="386">
        <f t="array" ref="L16">SUM( IF( LEN( $C$7:$C$65 ) = 0, 0, $C$7:$C$65 ) ) / SUM( IF( LEN( $C$7:$C$65 ) = 0, 0, 1  ) )</f>
        <v>18.754716981132077</v>
      </c>
      <c r="M16" s="387"/>
      <c r="N16" s="232"/>
      <c r="O16" s="386">
        <f t="array" aca="1" ref="O16" ca="1">SUM( IF( LEN( $C$7:$C$65 ) = 0, 0, IF( $E$7:$E$65 = O3, $C$7:$C$65, 0 ) ) ) / SUM( IF( LEN( $C$7:$C$65 ) = 0, 0, IF( $E$7:$E$65 = O3, 1, 0 ) ) )</f>
        <v>18.657894736842106</v>
      </c>
      <c r="P16" s="387"/>
      <c r="Q16" s="232"/>
      <c r="R16" s="386">
        <f t="array" aca="1" ref="R16" ca="1">SUM( IF( LEN( $C$7:$C$65 ) = 0, 0, IF( $E$7:$E$65 = R3, $C$7:$C$65, 0 ) ) ) / SUM( IF( LEN( $C$7:$C$65 ) = 0, 0, IF( $E$7:$E$65 = R3, 1, 0 ) ) )</f>
        <v>19.153846153846153</v>
      </c>
      <c r="S16" s="387"/>
      <c r="T16" s="232"/>
      <c r="U16" s="386">
        <f t="array" aca="1" ref="U16" ca="1">SUM( IF( LEN( $C$7:$C$65 ) = 0, 0, IF( $E$7:$E$65 = U3, $C$7:$C$65, 0 ) ) ) / SUM( IF( LEN( $C$7:$C$65 ) = 0, 0, IF( $E$7:$E$65 = U3, 1, 0 ) ) )</f>
        <v>18</v>
      </c>
      <c r="V16" s="388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256</v>
      </c>
      <c r="AR16" s="207" t="s">
        <v>140</v>
      </c>
      <c r="AS16" s="207">
        <v>19</v>
      </c>
      <c r="AT16" s="207" t="s">
        <v>257</v>
      </c>
      <c r="AV16" s="168">
        <f t="shared" si="21"/>
        <v>14</v>
      </c>
      <c r="AW16" s="168">
        <f>COUNTIF( AV$7:AV16, AV16 )</f>
        <v>5</v>
      </c>
      <c r="AX16" s="208">
        <f t="shared" si="22"/>
        <v>14.5</v>
      </c>
      <c r="AY16" s="168">
        <f t="shared" si="23"/>
        <v>18</v>
      </c>
      <c r="AZ16" s="169"/>
      <c r="BA16" s="169"/>
      <c r="BC16" s="168">
        <f t="shared" ca="1" si="24"/>
        <v>10</v>
      </c>
      <c r="BD16" s="209">
        <f t="shared" ca="1" si="6"/>
        <v>37</v>
      </c>
      <c r="BF16" s="173" t="str">
        <f t="shared" ca="1" si="7"/>
        <v>Pinnacle West Capital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PNW</v>
      </c>
    </row>
    <row r="17" spans="1:61" ht="13.8" x14ac:dyDescent="0.25">
      <c r="A17" s="223" t="s">
        <v>345</v>
      </c>
      <c r="B17" s="224" t="s">
        <v>139</v>
      </c>
      <c r="C17" s="224">
        <v>20</v>
      </c>
      <c r="D17" s="224" t="s">
        <v>346</v>
      </c>
      <c r="E17" s="225" t="str">
        <f t="shared" ca="1" si="8"/>
        <v>MR</v>
      </c>
      <c r="F17" s="348"/>
      <c r="G17" s="349">
        <f t="shared" ca="1" si="1"/>
        <v>52</v>
      </c>
      <c r="H17" s="350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227</v>
      </c>
      <c r="AR17" s="207" t="s">
        <v>139</v>
      </c>
      <c r="AS17" s="207">
        <v>20</v>
      </c>
      <c r="AT17" s="207" t="s">
        <v>228</v>
      </c>
      <c r="AV17" s="168">
        <f t="shared" si="21"/>
        <v>2</v>
      </c>
      <c r="AW17" s="168">
        <f>COUNTIF( AV$7:AV17, AV17 )</f>
        <v>3</v>
      </c>
      <c r="AX17" s="208">
        <f t="shared" si="22"/>
        <v>2.2999999999999998</v>
      </c>
      <c r="AY17" s="168">
        <f t="shared" si="23"/>
        <v>4</v>
      </c>
      <c r="AZ17" s="169"/>
      <c r="BA17" s="169"/>
      <c r="BC17" s="168">
        <f t="shared" ca="1" si="24"/>
        <v>11</v>
      </c>
      <c r="BD17" s="209">
        <f t="shared" ca="1" si="6"/>
        <v>49</v>
      </c>
      <c r="BF17" s="173" t="str">
        <f t="shared" ca="1" si="7"/>
        <v>Vectren Corporation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VVC</v>
      </c>
    </row>
    <row r="18" spans="1:61" ht="13.8" x14ac:dyDescent="0.25">
      <c r="A18" s="223" t="s">
        <v>247</v>
      </c>
      <c r="B18" s="224" t="s">
        <v>139</v>
      </c>
      <c r="C18" s="224">
        <v>20</v>
      </c>
      <c r="D18" s="224" t="s">
        <v>248</v>
      </c>
      <c r="E18" s="225" t="str">
        <f t="shared" ca="1" si="8"/>
        <v>R</v>
      </c>
      <c r="F18" s="348"/>
      <c r="G18" s="349">
        <f t="shared" ca="1" si="1"/>
        <v>54</v>
      </c>
      <c r="H18" s="350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361</v>
      </c>
      <c r="AR18" s="207" t="s">
        <v>139</v>
      </c>
      <c r="AS18" s="207">
        <v>20</v>
      </c>
      <c r="AT18" s="207" t="s">
        <v>194</v>
      </c>
      <c r="AV18" s="168">
        <f t="shared" si="21"/>
        <v>2</v>
      </c>
      <c r="AW18" s="168">
        <f>COUNTIF( AV$7:AV18, AV18 )</f>
        <v>4</v>
      </c>
      <c r="AX18" s="208">
        <f t="shared" si="22"/>
        <v>2.4</v>
      </c>
      <c r="AY18" s="168">
        <f t="shared" si="23"/>
        <v>5</v>
      </c>
      <c r="AZ18" s="169"/>
      <c r="BA18" s="169"/>
      <c r="BC18" s="168">
        <f t="shared" ca="1" si="24"/>
        <v>12</v>
      </c>
      <c r="BD18" s="209">
        <f t="shared" ca="1" si="6"/>
        <v>51</v>
      </c>
      <c r="BF18" s="173" t="str">
        <f t="shared" ca="1" si="7"/>
        <v>Wisconsin Energy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WEC</v>
      </c>
    </row>
    <row r="19" spans="1:61" ht="13.8" x14ac:dyDescent="0.25">
      <c r="A19" s="223" t="s">
        <v>251</v>
      </c>
      <c r="B19" s="224" t="s">
        <v>139</v>
      </c>
      <c r="C19" s="224">
        <v>20</v>
      </c>
      <c r="D19" s="224" t="s">
        <v>252</v>
      </c>
      <c r="E19" s="225" t="str">
        <f t="shared" ca="1" si="8"/>
        <v>R</v>
      </c>
      <c r="F19" s="348"/>
      <c r="G19" s="349">
        <f t="shared" ca="1" si="1"/>
        <v>55</v>
      </c>
      <c r="H19" s="350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259</v>
      </c>
      <c r="AR19" s="207" t="s">
        <v>175</v>
      </c>
      <c r="AS19" s="207">
        <v>15</v>
      </c>
      <c r="AT19" s="207" t="s">
        <v>260</v>
      </c>
      <c r="AV19" s="168">
        <f t="shared" si="21"/>
        <v>52</v>
      </c>
      <c r="AW19" s="168">
        <f>COUNTIF( AV$7:AV19, AV19 )</f>
        <v>1</v>
      </c>
      <c r="AX19" s="208">
        <f t="shared" si="22"/>
        <v>52.1</v>
      </c>
      <c r="AY19" s="168">
        <f t="shared" si="23"/>
        <v>52</v>
      </c>
      <c r="AZ19" s="169"/>
      <c r="BA19" s="169"/>
      <c r="BC19" s="168">
        <f t="shared" ca="1" si="24"/>
        <v>13</v>
      </c>
      <c r="BD19" s="209">
        <f t="shared" ca="1" si="6"/>
        <v>52</v>
      </c>
      <c r="BF19" s="173" t="str">
        <f t="shared" ca="1" si="7"/>
        <v>Xcel Energy Inc.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XEL</v>
      </c>
    </row>
    <row r="20" spans="1:61" ht="13.8" x14ac:dyDescent="0.25">
      <c r="A20" s="223" t="s">
        <v>217</v>
      </c>
      <c r="B20" s="224" t="s">
        <v>140</v>
      </c>
      <c r="C20" s="224">
        <v>19</v>
      </c>
      <c r="D20" s="224" t="s">
        <v>218</v>
      </c>
      <c r="E20" s="225" t="str">
        <f t="shared" ca="1" si="8"/>
        <v>R</v>
      </c>
      <c r="F20" s="348"/>
      <c r="G20" s="349">
        <f t="shared" ca="1" si="1"/>
        <v>7</v>
      </c>
      <c r="H20" s="350"/>
      <c r="I20" s="352"/>
      <c r="K20" s="352"/>
      <c r="N20" s="352"/>
      <c r="O20" s="173"/>
      <c r="Q20" s="352"/>
      <c r="T20" s="352"/>
      <c r="W20" s="352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4"/>
        <v/>
      </c>
      <c r="AQ20" s="207" t="s">
        <v>261</v>
      </c>
      <c r="AR20" s="207" t="s">
        <v>140</v>
      </c>
      <c r="AS20" s="207">
        <v>19</v>
      </c>
      <c r="AT20" s="207" t="s">
        <v>262</v>
      </c>
      <c r="AV20" s="168">
        <f t="shared" si="21"/>
        <v>14</v>
      </c>
      <c r="AW20" s="168">
        <f>COUNTIF( AV$7:AV20, AV20 )</f>
        <v>6</v>
      </c>
      <c r="AX20" s="208">
        <f t="shared" si="22"/>
        <v>14.6</v>
      </c>
      <c r="AY20" s="168">
        <f t="shared" si="23"/>
        <v>19</v>
      </c>
      <c r="AZ20" s="169"/>
      <c r="BA20" s="169"/>
      <c r="BC20" s="168">
        <f t="shared" ca="1" si="24"/>
        <v>14</v>
      </c>
      <c r="BD20" s="209">
        <f t="shared" ca="1" si="6"/>
        <v>1</v>
      </c>
      <c r="BF20" s="173" t="str">
        <f t="shared" ca="1" si="7"/>
        <v>ALLETE, Inc.</v>
      </c>
      <c r="BG20" s="173" t="str">
        <f t="shared" ca="1" si="7"/>
        <v>BBB+</v>
      </c>
      <c r="BH20" s="173">
        <f t="shared" ca="1" si="7"/>
        <v>19</v>
      </c>
      <c r="BI20" s="173" t="str">
        <f t="shared" ca="1" si="7"/>
        <v>ALE</v>
      </c>
    </row>
    <row r="21" spans="1:61" ht="13.8" x14ac:dyDescent="0.25">
      <c r="A21" s="223" t="s">
        <v>225</v>
      </c>
      <c r="B21" s="224" t="s">
        <v>140</v>
      </c>
      <c r="C21" s="224">
        <v>19</v>
      </c>
      <c r="D21" s="224" t="s">
        <v>226</v>
      </c>
      <c r="E21" s="225" t="str">
        <f t="shared" ca="1" si="8"/>
        <v>R</v>
      </c>
      <c r="F21" s="348"/>
      <c r="G21" s="349">
        <f t="shared" ca="1" si="1"/>
        <v>9</v>
      </c>
      <c r="H21" s="350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263</v>
      </c>
      <c r="AR21" s="207" t="s">
        <v>140</v>
      </c>
      <c r="AS21" s="207">
        <v>19</v>
      </c>
      <c r="AT21" s="207" t="s">
        <v>264</v>
      </c>
      <c r="AV21" s="168">
        <f t="shared" si="21"/>
        <v>14</v>
      </c>
      <c r="AW21" s="168">
        <f>COUNTIF( AV$7:AV21, AV21 )</f>
        <v>7</v>
      </c>
      <c r="AX21" s="208">
        <f t="shared" si="22"/>
        <v>14.7</v>
      </c>
      <c r="AY21" s="168">
        <f t="shared" si="23"/>
        <v>20</v>
      </c>
      <c r="AZ21" s="169"/>
      <c r="BA21" s="169"/>
      <c r="BC21" s="168">
        <f t="shared" ca="1" si="24"/>
        <v>15</v>
      </c>
      <c r="BD21" s="209">
        <f t="shared" ca="1" si="6"/>
        <v>3</v>
      </c>
      <c r="BF21" s="173" t="str">
        <f t="shared" ca="1" si="7"/>
        <v>Ameren Corporation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AEE</v>
      </c>
    </row>
    <row r="22" spans="1:61" ht="13.8" x14ac:dyDescent="0.25">
      <c r="A22" s="223" t="s">
        <v>215</v>
      </c>
      <c r="B22" s="224" t="s">
        <v>140</v>
      </c>
      <c r="C22" s="224">
        <v>19</v>
      </c>
      <c r="D22" s="224" t="s">
        <v>216</v>
      </c>
      <c r="E22" s="225" t="str">
        <f t="shared" ca="1" si="8"/>
        <v>MR</v>
      </c>
      <c r="F22" s="348"/>
      <c r="G22" s="349">
        <f t="shared" ca="1" si="1"/>
        <v>61</v>
      </c>
      <c r="H22" s="350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265</v>
      </c>
      <c r="AR22" s="207" t="s">
        <v>140</v>
      </c>
      <c r="AS22" s="207">
        <v>19</v>
      </c>
      <c r="AT22" s="207" t="s">
        <v>266</v>
      </c>
      <c r="AV22" s="168">
        <f t="shared" si="21"/>
        <v>14</v>
      </c>
      <c r="AW22" s="168">
        <f>COUNTIF( AV$7:AV22, AV22 )</f>
        <v>8</v>
      </c>
      <c r="AX22" s="208">
        <f t="shared" si="22"/>
        <v>14.8</v>
      </c>
      <c r="AY22" s="168">
        <f t="shared" si="23"/>
        <v>21</v>
      </c>
      <c r="AZ22" s="169"/>
      <c r="BA22" s="169"/>
      <c r="BC22" s="168">
        <f t="shared" ca="1" si="24"/>
        <v>16</v>
      </c>
      <c r="BD22" s="209">
        <f t="shared" ca="1" si="6"/>
        <v>6</v>
      </c>
      <c r="BF22" s="173" t="str">
        <f t="shared" ca="1" si="7"/>
        <v>Berkshire Energy Holdings Company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**BRK</v>
      </c>
    </row>
    <row r="23" spans="1:61" ht="13.8" x14ac:dyDescent="0.25">
      <c r="A23" s="223" t="s">
        <v>254</v>
      </c>
      <c r="B23" s="224" t="s">
        <v>140</v>
      </c>
      <c r="C23" s="224">
        <v>19</v>
      </c>
      <c r="D23" s="224" t="s">
        <v>378</v>
      </c>
      <c r="E23" s="225" t="str">
        <f t="shared" ca="1" si="8"/>
        <v>R</v>
      </c>
      <c r="F23" s="348"/>
      <c r="G23" s="349">
        <f t="shared" ca="1" si="1"/>
        <v>14</v>
      </c>
      <c r="H23" s="350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328</v>
      </c>
      <c r="AR23" s="207" t="s">
        <v>141</v>
      </c>
      <c r="AS23" s="207">
        <v>18</v>
      </c>
      <c r="AT23" s="207" t="s">
        <v>331</v>
      </c>
      <c r="AV23" s="168">
        <f t="shared" si="21"/>
        <v>31</v>
      </c>
      <c r="AW23" s="168">
        <f>COUNTIF( AV$7:AV23, AV23 )</f>
        <v>4</v>
      </c>
      <c r="AX23" s="208">
        <f t="shared" si="22"/>
        <v>31.4</v>
      </c>
      <c r="AY23" s="168">
        <f t="shared" si="23"/>
        <v>34</v>
      </c>
      <c r="AZ23" s="169"/>
      <c r="BA23" s="169"/>
      <c r="BC23" s="168">
        <f t="shared" ca="1" si="24"/>
        <v>17</v>
      </c>
      <c r="BD23" s="209">
        <f t="shared" ca="1" si="6"/>
        <v>9</v>
      </c>
      <c r="BF23" s="173" t="str">
        <f t="shared" ca="1" si="7"/>
        <v>Cleco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CNL</v>
      </c>
    </row>
    <row r="24" spans="1:61" ht="13.8" x14ac:dyDescent="0.25">
      <c r="A24" s="223" t="s">
        <v>256</v>
      </c>
      <c r="B24" s="224" t="s">
        <v>140</v>
      </c>
      <c r="C24" s="224">
        <v>19</v>
      </c>
      <c r="D24" s="224" t="s">
        <v>257</v>
      </c>
      <c r="E24" s="225" t="str">
        <f t="shared" ca="1" si="8"/>
        <v>R</v>
      </c>
      <c r="F24" s="348"/>
      <c r="G24" s="349">
        <f t="shared" ca="1" si="1"/>
        <v>15</v>
      </c>
      <c r="H24" s="350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>
        <f t="shared" ca="1" si="3"/>
        <v>1</v>
      </c>
      <c r="AH24" s="169" t="str">
        <f t="shared" ca="1" si="18"/>
        <v/>
      </c>
      <c r="AJ24" s="169">
        <f t="shared" ca="1" si="19"/>
        <v>38</v>
      </c>
      <c r="AK24" s="169" t="str">
        <f t="shared" ca="1" si="20"/>
        <v>BBB</v>
      </c>
      <c r="AL24" s="169">
        <f t="shared" ca="1" si="20"/>
        <v>18</v>
      </c>
      <c r="AM24" s="169" t="str">
        <f t="shared" ca="1" si="4"/>
        <v>Change</v>
      </c>
      <c r="AQ24" s="207" t="s">
        <v>367</v>
      </c>
      <c r="AR24" s="207" t="s">
        <v>141</v>
      </c>
      <c r="AS24" s="207">
        <v>18</v>
      </c>
      <c r="AT24" s="207" t="s">
        <v>368</v>
      </c>
      <c r="AV24" s="168">
        <f t="shared" si="21"/>
        <v>31</v>
      </c>
      <c r="AW24" s="168">
        <f>COUNTIF( AV$7:AV24, AV24 )</f>
        <v>5</v>
      </c>
      <c r="AX24" s="208">
        <f t="shared" si="22"/>
        <v>31.5</v>
      </c>
      <c r="AY24" s="168">
        <f t="shared" si="23"/>
        <v>35</v>
      </c>
      <c r="AZ24" s="169"/>
      <c r="BA24" s="169"/>
      <c r="BC24" s="168">
        <f t="shared" ca="1" si="24"/>
        <v>18</v>
      </c>
      <c r="BD24" s="209">
        <f t="shared" ca="1" si="6"/>
        <v>10</v>
      </c>
      <c r="BF24" s="173" t="str">
        <f t="shared" ca="1" si="7"/>
        <v>CMS Energy Corporation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CMS</v>
      </c>
    </row>
    <row r="25" spans="1:61" ht="13.8" x14ac:dyDescent="0.25">
      <c r="A25" s="223" t="s">
        <v>261</v>
      </c>
      <c r="B25" s="224" t="s">
        <v>140</v>
      </c>
      <c r="C25" s="224">
        <v>19</v>
      </c>
      <c r="D25" s="224" t="s">
        <v>262</v>
      </c>
      <c r="E25" s="225" t="str">
        <f t="shared" ca="1" si="8"/>
        <v>R</v>
      </c>
      <c r="F25" s="348"/>
      <c r="G25" s="349">
        <f t="shared" ca="1" si="1"/>
        <v>18</v>
      </c>
      <c r="H25" s="350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24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267</v>
      </c>
      <c r="AR25" s="207" t="s">
        <v>141</v>
      </c>
      <c r="AS25" s="207">
        <v>18</v>
      </c>
      <c r="AT25" s="207" t="s">
        <v>268</v>
      </c>
      <c r="AV25" s="168">
        <f t="shared" si="21"/>
        <v>31</v>
      </c>
      <c r="AW25" s="168">
        <f>COUNTIF( AV$7:AV25, AV25 )</f>
        <v>6</v>
      </c>
      <c r="AX25" s="208">
        <f t="shared" si="22"/>
        <v>31.6</v>
      </c>
      <c r="AY25" s="168">
        <f t="shared" si="23"/>
        <v>36</v>
      </c>
      <c r="AZ25" s="169"/>
      <c r="BA25" s="169"/>
      <c r="BC25" s="168">
        <f t="shared" ca="1" si="24"/>
        <v>19</v>
      </c>
      <c r="BD25" s="209">
        <f t="shared" ca="1" si="6"/>
        <v>14</v>
      </c>
      <c r="BF25" s="173" t="str">
        <f t="shared" ca="1" si="7"/>
        <v>DTE Energy Company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DTE</v>
      </c>
    </row>
    <row r="26" spans="1:61" ht="13.8" x14ac:dyDescent="0.25">
      <c r="A26" s="223" t="s">
        <v>263</v>
      </c>
      <c r="B26" s="224" t="s">
        <v>140</v>
      </c>
      <c r="C26" s="224">
        <v>19</v>
      </c>
      <c r="D26" s="224" t="s">
        <v>264</v>
      </c>
      <c r="E26" s="225" t="str">
        <f t="shared" ca="1" si="8"/>
        <v>R</v>
      </c>
      <c r="F26" s="348"/>
      <c r="G26" s="349">
        <f t="shared" ca="1" si="1"/>
        <v>19</v>
      </c>
      <c r="H26" s="350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25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394</v>
      </c>
      <c r="AR26" s="207" t="s">
        <v>139</v>
      </c>
      <c r="AS26" s="207">
        <v>20</v>
      </c>
      <c r="AT26" s="207" t="s">
        <v>236</v>
      </c>
      <c r="AV26" s="168">
        <f t="shared" si="21"/>
        <v>2</v>
      </c>
      <c r="AW26" s="168">
        <f>COUNTIF( AV$7:AV26, AV26 )</f>
        <v>5</v>
      </c>
      <c r="AX26" s="208">
        <f t="shared" si="22"/>
        <v>2.5</v>
      </c>
      <c r="AY26" s="168">
        <f t="shared" si="23"/>
        <v>6</v>
      </c>
      <c r="AZ26" s="169"/>
      <c r="BA26" s="169"/>
      <c r="BC26" s="168">
        <f t="shared" ca="1" si="24"/>
        <v>20</v>
      </c>
      <c r="BD26" s="209">
        <f t="shared" ca="1" si="6"/>
        <v>15</v>
      </c>
      <c r="BF26" s="173" t="str">
        <f t="shared" ca="1" si="7"/>
        <v>Duke Energy Corporation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DUK</v>
      </c>
    </row>
    <row r="27" spans="1:61" ht="13.8" x14ac:dyDescent="0.25">
      <c r="A27" s="223" t="s">
        <v>265</v>
      </c>
      <c r="B27" s="224" t="s">
        <v>140</v>
      </c>
      <c r="C27" s="224">
        <v>19</v>
      </c>
      <c r="D27" s="224" t="s">
        <v>266</v>
      </c>
      <c r="E27" s="225" t="str">
        <f t="shared" ca="1" si="8"/>
        <v>R</v>
      </c>
      <c r="F27" s="348"/>
      <c r="G27" s="349">
        <f t="shared" ca="1" si="1"/>
        <v>20</v>
      </c>
      <c r="H27" s="350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26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269</v>
      </c>
      <c r="AR27" s="207" t="s">
        <v>141</v>
      </c>
      <c r="AS27" s="207">
        <v>18</v>
      </c>
      <c r="AT27" s="207" t="s">
        <v>270</v>
      </c>
      <c r="AV27" s="168">
        <f t="shared" si="21"/>
        <v>31</v>
      </c>
      <c r="AW27" s="168">
        <f>COUNTIF( AV$7:AV27, AV27 )</f>
        <v>7</v>
      </c>
      <c r="AX27" s="208">
        <f t="shared" si="22"/>
        <v>31.7</v>
      </c>
      <c r="AY27" s="168">
        <f t="shared" si="23"/>
        <v>37</v>
      </c>
      <c r="AZ27" s="169"/>
      <c r="BA27" s="169"/>
      <c r="BC27" s="168">
        <f t="shared" ca="1" si="24"/>
        <v>21</v>
      </c>
      <c r="BD27" s="209">
        <f t="shared" ca="1" si="6"/>
        <v>16</v>
      </c>
      <c r="BF27" s="173" t="str">
        <f t="shared" ca="1" si="7"/>
        <v>Edison International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EIX</v>
      </c>
    </row>
    <row r="28" spans="1:61" ht="13.8" x14ac:dyDescent="0.25">
      <c r="A28" s="223" t="s">
        <v>352</v>
      </c>
      <c r="B28" s="224" t="s">
        <v>140</v>
      </c>
      <c r="C28" s="224">
        <v>19</v>
      </c>
      <c r="D28" s="224" t="s">
        <v>353</v>
      </c>
      <c r="E28" s="225" t="str">
        <f t="shared" ca="1" si="8"/>
        <v>R</v>
      </c>
      <c r="F28" s="348"/>
      <c r="G28" s="349">
        <f t="shared" ca="1" si="1"/>
        <v>26</v>
      </c>
      <c r="H28" s="350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27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275</v>
      </c>
      <c r="AR28" s="207" t="s">
        <v>142</v>
      </c>
      <c r="AS28" s="207">
        <v>17</v>
      </c>
      <c r="AT28" s="207" t="s">
        <v>276</v>
      </c>
      <c r="AV28" s="168">
        <f t="shared" si="21"/>
        <v>47</v>
      </c>
      <c r="AW28" s="168">
        <f>COUNTIF( AV$7:AV28, AV28 )</f>
        <v>1</v>
      </c>
      <c r="AX28" s="208">
        <f t="shared" si="22"/>
        <v>47.1</v>
      </c>
      <c r="AY28" s="168">
        <f t="shared" si="23"/>
        <v>47</v>
      </c>
      <c r="AZ28" s="169"/>
      <c r="BA28" s="169"/>
      <c r="BC28" s="168">
        <f t="shared" ca="1" si="24"/>
        <v>22</v>
      </c>
      <c r="BD28" s="209">
        <f t="shared" ca="1" si="6"/>
        <v>23</v>
      </c>
      <c r="BF28" s="173" t="str">
        <f t="shared" ca="1" si="7"/>
        <v>Great Plains Energy Inc.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GXP</v>
      </c>
    </row>
    <row r="29" spans="1:61" ht="13.8" x14ac:dyDescent="0.25">
      <c r="A29" s="223" t="s">
        <v>271</v>
      </c>
      <c r="B29" s="224" t="s">
        <v>140</v>
      </c>
      <c r="C29" s="224">
        <v>19</v>
      </c>
      <c r="D29" s="224" t="s">
        <v>272</v>
      </c>
      <c r="E29" s="225" t="str">
        <f t="shared" ca="1" si="8"/>
        <v>D</v>
      </c>
      <c r="F29" s="348"/>
      <c r="G29" s="349">
        <f t="shared" ca="1" si="1"/>
        <v>30</v>
      </c>
      <c r="H29" s="350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28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352</v>
      </c>
      <c r="AR29" s="207" t="s">
        <v>140</v>
      </c>
      <c r="AS29" s="207">
        <v>19</v>
      </c>
      <c r="AT29" s="207" t="s">
        <v>353</v>
      </c>
      <c r="AV29" s="168">
        <f t="shared" si="21"/>
        <v>14</v>
      </c>
      <c r="AW29" s="168">
        <f>COUNTIF( AV$7:AV29, AV29 )</f>
        <v>9</v>
      </c>
      <c r="AX29" s="208">
        <f t="shared" si="22"/>
        <v>14.9</v>
      </c>
      <c r="AY29" s="168">
        <f t="shared" si="23"/>
        <v>22</v>
      </c>
      <c r="AZ29" s="169"/>
      <c r="BA29" s="169"/>
      <c r="BC29" s="168">
        <f t="shared" ca="1" si="24"/>
        <v>23</v>
      </c>
      <c r="BD29" s="209">
        <f t="shared" ca="1" si="6"/>
        <v>29</v>
      </c>
      <c r="BF29" s="173" t="str">
        <f t="shared" ca="1" si="7"/>
        <v>MDU Resources Group, Inc.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MDU</v>
      </c>
    </row>
    <row r="30" spans="1:61" ht="13.8" x14ac:dyDescent="0.25">
      <c r="A30" s="223" t="s">
        <v>382</v>
      </c>
      <c r="B30" s="224" t="s">
        <v>140</v>
      </c>
      <c r="C30" s="224">
        <v>19</v>
      </c>
      <c r="D30" s="224" t="s">
        <v>383</v>
      </c>
      <c r="E30" s="225" t="str">
        <f t="shared" ca="1" si="8"/>
        <v>R</v>
      </c>
      <c r="F30" s="348"/>
      <c r="G30" s="349">
        <f t="shared" ca="1" si="1"/>
        <v>38</v>
      </c>
      <c r="H30" s="350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29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279</v>
      </c>
      <c r="AR30" s="207" t="s">
        <v>142</v>
      </c>
      <c r="AS30" s="207">
        <v>17</v>
      </c>
      <c r="AT30" s="207" t="s">
        <v>280</v>
      </c>
      <c r="AV30" s="168">
        <f t="shared" si="21"/>
        <v>47</v>
      </c>
      <c r="AW30" s="168">
        <f>COUNTIF( AV$7:AV30, AV30 )</f>
        <v>2</v>
      </c>
      <c r="AX30" s="208">
        <f t="shared" si="22"/>
        <v>47.2</v>
      </c>
      <c r="AY30" s="168">
        <f t="shared" si="23"/>
        <v>48</v>
      </c>
      <c r="AZ30" s="169"/>
      <c r="BA30" s="169"/>
      <c r="BC30" s="168">
        <f t="shared" ca="1" si="24"/>
        <v>24</v>
      </c>
      <c r="BD30" s="209">
        <f t="shared" ca="1" si="6"/>
        <v>35</v>
      </c>
      <c r="BF30" s="173" t="str">
        <f t="shared" ca="1" si="7"/>
        <v>Pepco Holdings,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POM</v>
      </c>
    </row>
    <row r="31" spans="1:61" ht="13.8" x14ac:dyDescent="0.25">
      <c r="A31" s="223" t="s">
        <v>289</v>
      </c>
      <c r="B31" s="224" t="s">
        <v>140</v>
      </c>
      <c r="C31" s="224">
        <v>19</v>
      </c>
      <c r="D31" s="224" t="s">
        <v>290</v>
      </c>
      <c r="E31" s="225" t="str">
        <f t="shared" ca="1" si="8"/>
        <v>MR</v>
      </c>
      <c r="F31" s="348"/>
      <c r="G31" s="349">
        <f t="shared" ca="1" si="1"/>
        <v>44</v>
      </c>
      <c r="H31" s="350"/>
      <c r="I31" s="237"/>
      <c r="J31" s="191"/>
      <c r="K31" s="237"/>
      <c r="N31" s="237"/>
      <c r="O31" s="351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30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387</v>
      </c>
      <c r="AR31" s="207" t="s">
        <v>141</v>
      </c>
      <c r="AS31" s="207">
        <v>18</v>
      </c>
      <c r="AT31" s="207" t="s">
        <v>388</v>
      </c>
      <c r="AV31" s="168">
        <f t="shared" si="21"/>
        <v>31</v>
      </c>
      <c r="AW31" s="168">
        <f>COUNTIF( AV$7:AV31, AV31 )</f>
        <v>8</v>
      </c>
      <c r="AX31" s="208">
        <f t="shared" si="22"/>
        <v>31.8</v>
      </c>
      <c r="AY31" s="168">
        <f t="shared" si="23"/>
        <v>38</v>
      </c>
      <c r="AZ31" s="169"/>
      <c r="BA31" s="169"/>
      <c r="BC31" s="168">
        <f t="shared" ca="1" si="24"/>
        <v>25</v>
      </c>
      <c r="BD31" s="209">
        <f t="shared" ca="1" si="6"/>
        <v>41</v>
      </c>
      <c r="BF31" s="173" t="str">
        <f t="shared" ca="1" si="7"/>
        <v>Public Service Enterprise Group Incorporated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PEG</v>
      </c>
    </row>
    <row r="32" spans="1:61" ht="13.8" x14ac:dyDescent="0.25">
      <c r="A32" s="223" t="s">
        <v>347</v>
      </c>
      <c r="B32" s="224" t="s">
        <v>140</v>
      </c>
      <c r="C32" s="224">
        <v>19</v>
      </c>
      <c r="D32" s="224" t="s">
        <v>348</v>
      </c>
      <c r="E32" s="225" t="str">
        <f t="shared" ca="1" si="8"/>
        <v>MR</v>
      </c>
      <c r="F32" s="348"/>
      <c r="G32" s="349">
        <f t="shared" ca="1" si="1"/>
        <v>45</v>
      </c>
      <c r="H32" s="350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31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283</v>
      </c>
      <c r="AR32" s="207" t="s">
        <v>141</v>
      </c>
      <c r="AS32" s="207">
        <v>18</v>
      </c>
      <c r="AT32" s="207" t="s">
        <v>284</v>
      </c>
      <c r="AV32" s="168">
        <f t="shared" si="21"/>
        <v>31</v>
      </c>
      <c r="AW32" s="168">
        <f>COUNTIF( AV$7:AV32, AV32 )</f>
        <v>9</v>
      </c>
      <c r="AX32" s="208">
        <f t="shared" si="22"/>
        <v>31.9</v>
      </c>
      <c r="AY32" s="168">
        <f t="shared" si="23"/>
        <v>39</v>
      </c>
      <c r="AZ32" s="169"/>
      <c r="BA32" s="169"/>
      <c r="BC32" s="168">
        <f t="shared" ca="1" si="24"/>
        <v>26</v>
      </c>
      <c r="BD32" s="209">
        <f t="shared" ca="1" si="6"/>
        <v>43</v>
      </c>
      <c r="BF32" s="173" t="str">
        <f t="shared" ca="1" si="7"/>
        <v>SCANA Corporation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SCG</v>
      </c>
    </row>
    <row r="33" spans="1:61" ht="13.8" x14ac:dyDescent="0.25">
      <c r="A33" s="223" t="s">
        <v>291</v>
      </c>
      <c r="B33" s="224" t="s">
        <v>140</v>
      </c>
      <c r="C33" s="224">
        <v>19</v>
      </c>
      <c r="D33" s="224" t="s">
        <v>292</v>
      </c>
      <c r="E33" s="225" t="str">
        <f t="shared" ca="1" si="8"/>
        <v>MR</v>
      </c>
      <c r="F33" s="348"/>
      <c r="G33" s="349">
        <f t="shared" ca="1" si="1"/>
        <v>46</v>
      </c>
      <c r="H33" s="350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32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395</v>
      </c>
      <c r="AR33" s="207" t="s">
        <v>139</v>
      </c>
      <c r="AS33" s="207">
        <v>20</v>
      </c>
      <c r="AT33" s="207" t="s">
        <v>396</v>
      </c>
      <c r="AV33" s="168">
        <f t="shared" si="21"/>
        <v>2</v>
      </c>
      <c r="AW33" s="168">
        <f>COUNTIF( AV$7:AV33, AV33 )</f>
        <v>6</v>
      </c>
      <c r="AX33" s="208">
        <f t="shared" si="22"/>
        <v>2.6</v>
      </c>
      <c r="AY33" s="168">
        <f t="shared" si="23"/>
        <v>7</v>
      </c>
      <c r="AZ33" s="169"/>
      <c r="BA33" s="169"/>
      <c r="BC33" s="168">
        <f t="shared" ca="1" si="24"/>
        <v>27</v>
      </c>
      <c r="BD33" s="209">
        <f t="shared" ca="1" si="6"/>
        <v>44</v>
      </c>
      <c r="BF33" s="173" t="str">
        <f t="shared" ca="1" si="7"/>
        <v>Sempra Energy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SRE</v>
      </c>
    </row>
    <row r="34" spans="1:61" ht="13.8" x14ac:dyDescent="0.25">
      <c r="A34" s="223" t="s">
        <v>369</v>
      </c>
      <c r="B34" s="224" t="s">
        <v>140</v>
      </c>
      <c r="C34" s="224">
        <v>19</v>
      </c>
      <c r="D34" s="224" t="s">
        <v>375</v>
      </c>
      <c r="E34" s="225" t="str">
        <f t="shared" ca="1" si="8"/>
        <v>R</v>
      </c>
      <c r="F34" s="348"/>
      <c r="G34" s="349">
        <f t="shared" ca="1" si="1"/>
        <v>48</v>
      </c>
      <c r="H34" s="350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33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287</v>
      </c>
      <c r="AR34" s="207" t="s">
        <v>173</v>
      </c>
      <c r="AS34" s="207">
        <v>16</v>
      </c>
      <c r="AT34" s="207" t="s">
        <v>288</v>
      </c>
      <c r="AV34" s="168">
        <f t="shared" si="21"/>
        <v>51</v>
      </c>
      <c r="AW34" s="168">
        <f>COUNTIF( AV$7:AV34, AV34 )</f>
        <v>1</v>
      </c>
      <c r="AX34" s="208">
        <f t="shared" si="22"/>
        <v>51.1</v>
      </c>
      <c r="AY34" s="168">
        <f t="shared" si="23"/>
        <v>51</v>
      </c>
      <c r="AZ34" s="169"/>
      <c r="BA34" s="169"/>
      <c r="BC34" s="168">
        <f t="shared" ca="1" si="24"/>
        <v>28</v>
      </c>
      <c r="BD34" s="209">
        <f t="shared" ca="1" si="6"/>
        <v>46</v>
      </c>
      <c r="BF34" s="173" t="str">
        <f t="shared" ca="1" si="7"/>
        <v>TECO Energy, Inc.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TE</v>
      </c>
    </row>
    <row r="35" spans="1:61" ht="13.8" x14ac:dyDescent="0.25">
      <c r="A35" s="223" t="s">
        <v>295</v>
      </c>
      <c r="B35" s="224" t="s">
        <v>140</v>
      </c>
      <c r="C35" s="224">
        <v>19</v>
      </c>
      <c r="D35" s="224" t="s">
        <v>296</v>
      </c>
      <c r="E35" s="225" t="str">
        <f t="shared" ca="1" si="8"/>
        <v>R</v>
      </c>
      <c r="F35" s="348"/>
      <c r="G35" s="349">
        <f t="shared" ca="1" si="1"/>
        <v>50</v>
      </c>
      <c r="H35" s="350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>
        <f t="shared" ca="1" si="18"/>
        <v>1</v>
      </c>
      <c r="AJ35" s="169" t="e">
        <f t="shared" ca="1" si="19"/>
        <v>#N/A</v>
      </c>
      <c r="AK35" s="169" t="str">
        <f t="shared" ca="1" si="20"/>
        <v/>
      </c>
      <c r="AL35" s="169" t="str">
        <f t="shared" ca="1" si="20"/>
        <v/>
      </c>
      <c r="AM35" s="169" t="str">
        <f t="shared" ca="1" si="4"/>
        <v>Change</v>
      </c>
      <c r="AQ35" s="207" t="s">
        <v>271</v>
      </c>
      <c r="AR35" s="207" t="s">
        <v>140</v>
      </c>
      <c r="AS35" s="207">
        <v>19</v>
      </c>
      <c r="AT35" s="207" t="s">
        <v>272</v>
      </c>
      <c r="AV35" s="168">
        <f t="shared" si="21"/>
        <v>14</v>
      </c>
      <c r="AW35" s="168">
        <f>COUNTIF( AV$7:AV35, AV35 )</f>
        <v>10</v>
      </c>
      <c r="AX35" s="208">
        <f t="shared" si="22"/>
        <v>15</v>
      </c>
      <c r="AY35" s="168">
        <f t="shared" si="23"/>
        <v>23</v>
      </c>
      <c r="AZ35" s="169"/>
      <c r="BA35" s="169"/>
      <c r="BC35" s="168">
        <f t="shared" ca="1" si="24"/>
        <v>29</v>
      </c>
      <c r="BD35" s="209">
        <f t="shared" ca="1" si="6"/>
        <v>48</v>
      </c>
      <c r="BF35" s="173" t="str">
        <f t="shared" ca="1" si="7"/>
        <v>Unitil Corporation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UTL</v>
      </c>
    </row>
    <row r="36" spans="1:61" ht="13.8" x14ac:dyDescent="0.25">
      <c r="A36" s="223" t="s">
        <v>354</v>
      </c>
      <c r="B36" s="224" t="s">
        <v>140</v>
      </c>
      <c r="C36" s="224">
        <v>19</v>
      </c>
      <c r="D36" s="224" t="s">
        <v>355</v>
      </c>
      <c r="E36" s="225" t="str">
        <f t="shared" ca="1" si="8"/>
        <v>R</v>
      </c>
      <c r="F36" s="348"/>
      <c r="G36" s="349">
        <f t="shared" ca="1" si="1"/>
        <v>53</v>
      </c>
      <c r="H36" s="350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34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240</v>
      </c>
      <c r="AR36" s="207" t="s">
        <v>139</v>
      </c>
      <c r="AS36" s="207">
        <v>20</v>
      </c>
      <c r="AT36" s="207" t="s">
        <v>241</v>
      </c>
      <c r="AV36" s="168">
        <f t="shared" si="21"/>
        <v>2</v>
      </c>
      <c r="AW36" s="168">
        <f>COUNTIF( AV$7:AV36, AV36 )</f>
        <v>7</v>
      </c>
      <c r="AX36" s="208">
        <f t="shared" si="22"/>
        <v>2.7</v>
      </c>
      <c r="AY36" s="168">
        <f t="shared" si="23"/>
        <v>8</v>
      </c>
      <c r="AZ36" s="169"/>
      <c r="BA36" s="169"/>
      <c r="BC36" s="168">
        <f t="shared" ca="1" si="24"/>
        <v>30</v>
      </c>
      <c r="BD36" s="209">
        <f t="shared" ca="1" si="6"/>
        <v>50</v>
      </c>
      <c r="BF36" s="173" t="str">
        <f t="shared" ca="1" si="7"/>
        <v>Westar Energy, Inc.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WR</v>
      </c>
    </row>
    <row r="37" spans="1:61" ht="13.8" x14ac:dyDescent="0.25">
      <c r="A37" s="223" t="s">
        <v>222</v>
      </c>
      <c r="B37" s="224" t="s">
        <v>141</v>
      </c>
      <c r="C37" s="224">
        <v>18</v>
      </c>
      <c r="D37" s="224" t="s">
        <v>223</v>
      </c>
      <c r="E37" s="225" t="str">
        <f t="shared" ca="1" si="8"/>
        <v>R</v>
      </c>
      <c r="F37" s="348"/>
      <c r="G37" s="349">
        <f t="shared" ca="1" si="1"/>
        <v>10</v>
      </c>
      <c r="H37" s="350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35</v>
      </c>
      <c r="AK37" s="169" t="str">
        <f t="shared" ca="1" si="20"/>
        <v>BBB</v>
      </c>
      <c r="AL37" s="169">
        <f t="shared" ca="1" si="20"/>
        <v>18</v>
      </c>
      <c r="AM37" s="169" t="str">
        <f t="shared" ca="1" si="4"/>
        <v/>
      </c>
      <c r="AQ37" s="207" t="s">
        <v>273</v>
      </c>
      <c r="AR37" s="207" t="s">
        <v>142</v>
      </c>
      <c r="AS37" s="207">
        <v>17</v>
      </c>
      <c r="AT37" s="207" t="s">
        <v>274</v>
      </c>
      <c r="AV37" s="168">
        <f t="shared" si="21"/>
        <v>47</v>
      </c>
      <c r="AW37" s="168">
        <f>COUNTIF( AV$7:AV37, AV37 )</f>
        <v>3</v>
      </c>
      <c r="AX37" s="208">
        <f t="shared" si="22"/>
        <v>47.3</v>
      </c>
      <c r="AY37" s="168">
        <f t="shared" si="23"/>
        <v>49</v>
      </c>
      <c r="AZ37" s="169"/>
      <c r="BA37" s="169"/>
      <c r="BC37" s="168">
        <f t="shared" ca="1" si="24"/>
        <v>31</v>
      </c>
      <c r="BD37" s="209">
        <f t="shared" ca="1" si="6"/>
        <v>4</v>
      </c>
      <c r="BF37" s="173" t="str">
        <f t="shared" ca="1" si="7"/>
        <v>American Electric Power Company, Inc.</v>
      </c>
      <c r="BG37" s="173" t="str">
        <f t="shared" ca="1" si="7"/>
        <v>BBB</v>
      </c>
      <c r="BH37" s="173">
        <f t="shared" ca="1" si="7"/>
        <v>18</v>
      </c>
      <c r="BI37" s="173" t="str">
        <f t="shared" ca="1" si="7"/>
        <v>AEP</v>
      </c>
    </row>
    <row r="38" spans="1:61" ht="13.8" x14ac:dyDescent="0.25">
      <c r="A38" s="223" t="s">
        <v>238</v>
      </c>
      <c r="B38" s="224" t="s">
        <v>141</v>
      </c>
      <c r="C38" s="224">
        <v>18</v>
      </c>
      <c r="D38" s="224" t="s">
        <v>239</v>
      </c>
      <c r="E38" s="225" t="str">
        <f t="shared" ca="1" si="8"/>
        <v>R</v>
      </c>
      <c r="F38" s="348"/>
      <c r="G38" s="349">
        <f t="shared" ca="1" si="1"/>
        <v>11</v>
      </c>
      <c r="H38" s="350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36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297</v>
      </c>
      <c r="AR38" s="207" t="s">
        <v>141</v>
      </c>
      <c r="AS38" s="207">
        <v>18</v>
      </c>
      <c r="AT38" s="207" t="s">
        <v>298</v>
      </c>
      <c r="AV38" s="168">
        <f t="shared" si="21"/>
        <v>31</v>
      </c>
      <c r="AW38" s="168">
        <f>COUNTIF( AV$7:AV38, AV38 )</f>
        <v>10</v>
      </c>
      <c r="AX38" s="208">
        <f t="shared" si="22"/>
        <v>32</v>
      </c>
      <c r="AY38" s="168">
        <f t="shared" si="23"/>
        <v>40</v>
      </c>
      <c r="AZ38" s="169"/>
      <c r="BA38" s="169"/>
      <c r="BC38" s="168">
        <f t="shared" ca="1" si="24"/>
        <v>32</v>
      </c>
      <c r="BD38" s="209">
        <f t="shared" ca="1" si="6"/>
        <v>5</v>
      </c>
      <c r="BF38" s="173" t="str">
        <f t="shared" ca="1" si="7"/>
        <v>Avista Corporation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AVA</v>
      </c>
    </row>
    <row r="39" spans="1:61" ht="13.8" x14ac:dyDescent="0.25">
      <c r="A39" s="223" t="s">
        <v>245</v>
      </c>
      <c r="B39" s="224" t="s">
        <v>141</v>
      </c>
      <c r="C39" s="224">
        <v>18</v>
      </c>
      <c r="D39" s="224" t="s">
        <v>246</v>
      </c>
      <c r="E39" s="225" t="str">
        <f t="shared" ca="1" si="8"/>
        <v>R</v>
      </c>
      <c r="F39" s="348"/>
      <c r="G39" s="349">
        <f t="shared" ca="1" si="1"/>
        <v>12</v>
      </c>
      <c r="H39" s="350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37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277</v>
      </c>
      <c r="AR39" s="207" t="s">
        <v>139</v>
      </c>
      <c r="AS39" s="207">
        <v>20</v>
      </c>
      <c r="AT39" s="207" t="s">
        <v>278</v>
      </c>
      <c r="AV39" s="168">
        <f t="shared" si="21"/>
        <v>2</v>
      </c>
      <c r="AW39" s="168">
        <f>COUNTIF( AV$7:AV39, AV39 )</f>
        <v>8</v>
      </c>
      <c r="AX39" s="208">
        <f t="shared" si="22"/>
        <v>2.8</v>
      </c>
      <c r="AY39" s="168">
        <f t="shared" si="23"/>
        <v>9</v>
      </c>
      <c r="AZ39" s="169"/>
      <c r="BA39" s="169"/>
      <c r="BC39" s="168">
        <f t="shared" ca="1" si="24"/>
        <v>33</v>
      </c>
      <c r="BD39" s="209">
        <f t="shared" ca="1" si="6"/>
        <v>7</v>
      </c>
      <c r="BF39" s="173" t="str">
        <f t="shared" ref="BF39:BI63" ca="1" si="25">OFFSET( AQ$6, $BD39, 0 )</f>
        <v>Black Hills Corporation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BKH</v>
      </c>
    </row>
    <row r="40" spans="1:61" ht="13.8" x14ac:dyDescent="0.25">
      <c r="A40" s="223" t="s">
        <v>328</v>
      </c>
      <c r="B40" s="224" t="s">
        <v>141</v>
      </c>
      <c r="C40" s="224">
        <v>18</v>
      </c>
      <c r="D40" s="224" t="s">
        <v>331</v>
      </c>
      <c r="E40" s="225" t="str">
        <f t="shared" ca="1" si="8"/>
        <v>R</v>
      </c>
      <c r="F40" s="348"/>
      <c r="G40" s="349">
        <f t="shared" ca="1" si="1"/>
        <v>21</v>
      </c>
      <c r="H40" s="350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39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299</v>
      </c>
      <c r="AR40" s="207" t="s">
        <v>141</v>
      </c>
      <c r="AS40" s="207">
        <v>18</v>
      </c>
      <c r="AT40" s="207" t="s">
        <v>300</v>
      </c>
      <c r="AV40" s="168">
        <f t="shared" si="21"/>
        <v>31</v>
      </c>
      <c r="AW40" s="168">
        <f>COUNTIF( AV$7:AV40, AV40 )</f>
        <v>11</v>
      </c>
      <c r="AX40" s="208">
        <f t="shared" si="22"/>
        <v>32.1</v>
      </c>
      <c r="AY40" s="168">
        <f t="shared" si="23"/>
        <v>41</v>
      </c>
      <c r="AZ40" s="169"/>
      <c r="BA40" s="169"/>
      <c r="BC40" s="168">
        <f t="shared" ca="1" si="24"/>
        <v>34</v>
      </c>
      <c r="BD40" s="209">
        <f t="shared" ca="1" si="6"/>
        <v>17</v>
      </c>
      <c r="BF40" s="173" t="str">
        <f t="shared" ca="1" si="25"/>
        <v>El Paso Electric Company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EE</v>
      </c>
    </row>
    <row r="41" spans="1:61" ht="13.8" x14ac:dyDescent="0.25">
      <c r="A41" s="223" t="s">
        <v>367</v>
      </c>
      <c r="B41" s="224" t="s">
        <v>141</v>
      </c>
      <c r="C41" s="224">
        <v>18</v>
      </c>
      <c r="D41" s="224" t="s">
        <v>368</v>
      </c>
      <c r="E41" s="225" t="str">
        <f t="shared" ca="1" si="8"/>
        <v>R</v>
      </c>
      <c r="F41" s="348"/>
      <c r="G41" s="349">
        <f t="shared" ca="1" si="1"/>
        <v>22</v>
      </c>
      <c r="H41" s="350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40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382</v>
      </c>
      <c r="AR41" s="207" t="s">
        <v>140</v>
      </c>
      <c r="AS41" s="207">
        <v>19</v>
      </c>
      <c r="AT41" s="207" t="s">
        <v>383</v>
      </c>
      <c r="AV41" s="168">
        <f t="shared" si="21"/>
        <v>14</v>
      </c>
      <c r="AW41" s="168">
        <f>COUNTIF( AV$7:AV41, AV41 )</f>
        <v>11</v>
      </c>
      <c r="AX41" s="208">
        <f t="shared" si="22"/>
        <v>15.1</v>
      </c>
      <c r="AY41" s="168">
        <f t="shared" si="23"/>
        <v>24</v>
      </c>
      <c r="AZ41" s="169"/>
      <c r="BA41" s="169"/>
      <c r="BC41" s="168">
        <f t="shared" ca="1" si="24"/>
        <v>35</v>
      </c>
      <c r="BD41" s="209">
        <f t="shared" ca="1" si="6"/>
        <v>18</v>
      </c>
      <c r="BF41" s="173" t="str">
        <f t="shared" ca="1" si="25"/>
        <v>Empire District Electric Company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EDE</v>
      </c>
    </row>
    <row r="42" spans="1:61" ht="13.8" x14ac:dyDescent="0.25">
      <c r="A42" s="223" t="s">
        <v>267</v>
      </c>
      <c r="B42" s="224" t="s">
        <v>141</v>
      </c>
      <c r="C42" s="224">
        <v>18</v>
      </c>
      <c r="D42" s="224" t="s">
        <v>268</v>
      </c>
      <c r="E42" s="225" t="str">
        <f t="shared" ca="1" si="8"/>
        <v>R</v>
      </c>
      <c r="F42" s="348"/>
      <c r="G42" s="349">
        <f t="shared" ca="1" si="1"/>
        <v>23</v>
      </c>
      <c r="H42" s="350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41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301</v>
      </c>
      <c r="AR42" s="207" t="s">
        <v>141</v>
      </c>
      <c r="AS42" s="207">
        <v>18</v>
      </c>
      <c r="AT42" s="207" t="s">
        <v>302</v>
      </c>
      <c r="AV42" s="168">
        <f t="shared" si="21"/>
        <v>31</v>
      </c>
      <c r="AW42" s="168">
        <f>COUNTIF( AV$7:AV42, AV42 )</f>
        <v>12</v>
      </c>
      <c r="AX42" s="208">
        <f t="shared" si="22"/>
        <v>32.200000000000003</v>
      </c>
      <c r="AY42" s="168">
        <f t="shared" si="23"/>
        <v>42</v>
      </c>
      <c r="AZ42" s="169"/>
      <c r="BA42" s="169"/>
      <c r="BC42" s="168">
        <f t="shared" ca="1" si="24"/>
        <v>36</v>
      </c>
      <c r="BD42" s="209">
        <f t="shared" ca="1" si="6"/>
        <v>19</v>
      </c>
      <c r="BF42" s="173" t="str">
        <f t="shared" ca="1" si="25"/>
        <v>Entergy Corporation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ETR</v>
      </c>
    </row>
    <row r="43" spans="1:61" ht="13.8" x14ac:dyDescent="0.25">
      <c r="A43" s="223" t="s">
        <v>269</v>
      </c>
      <c r="B43" s="224" t="s">
        <v>141</v>
      </c>
      <c r="C43" s="224">
        <v>18</v>
      </c>
      <c r="D43" s="224" t="s">
        <v>270</v>
      </c>
      <c r="E43" s="225" t="str">
        <f t="shared" ca="1" si="8"/>
        <v>MR</v>
      </c>
      <c r="F43" s="348"/>
      <c r="G43" s="349">
        <f t="shared" ca="1" si="1"/>
        <v>24</v>
      </c>
      <c r="H43" s="350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42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281</v>
      </c>
      <c r="AR43" s="207" t="s">
        <v>139</v>
      </c>
      <c r="AS43" s="207">
        <v>20</v>
      </c>
      <c r="AT43" s="207" t="s">
        <v>282</v>
      </c>
      <c r="AV43" s="168">
        <f t="shared" si="21"/>
        <v>2</v>
      </c>
      <c r="AW43" s="168">
        <f>COUNTIF( AV$7:AV43, AV43 )</f>
        <v>9</v>
      </c>
      <c r="AX43" s="208">
        <f t="shared" si="22"/>
        <v>2.9</v>
      </c>
      <c r="AY43" s="168">
        <f t="shared" si="23"/>
        <v>10</v>
      </c>
      <c r="AZ43" s="169"/>
      <c r="BA43" s="169"/>
      <c r="BC43" s="168">
        <f t="shared" ca="1" si="24"/>
        <v>37</v>
      </c>
      <c r="BD43" s="209">
        <f t="shared" ca="1" si="6"/>
        <v>21</v>
      </c>
      <c r="BF43" s="173" t="str">
        <f t="shared" ca="1" si="25"/>
        <v>Exelon Corporation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EXC</v>
      </c>
    </row>
    <row r="44" spans="1:61" ht="13.8" x14ac:dyDescent="0.25">
      <c r="A44" s="223" t="s">
        <v>387</v>
      </c>
      <c r="B44" s="224" t="s">
        <v>141</v>
      </c>
      <c r="C44" s="224">
        <v>18</v>
      </c>
      <c r="D44" s="224" t="s">
        <v>388</v>
      </c>
      <c r="E44" s="225" t="str">
        <f t="shared" ca="1" si="8"/>
        <v>R</v>
      </c>
      <c r="F44" s="348"/>
      <c r="G44" s="349">
        <f t="shared" ca="1" si="1"/>
        <v>57</v>
      </c>
      <c r="H44" s="350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43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303</v>
      </c>
      <c r="AR44" s="207" t="s">
        <v>141</v>
      </c>
      <c r="AS44" s="207">
        <v>18</v>
      </c>
      <c r="AT44" s="207" t="s">
        <v>304</v>
      </c>
      <c r="AV44" s="168">
        <f t="shared" si="21"/>
        <v>31</v>
      </c>
      <c r="AW44" s="168">
        <f>COUNTIF( AV$7:AV44, AV44 )</f>
        <v>13</v>
      </c>
      <c r="AX44" s="208">
        <f t="shared" si="22"/>
        <v>32.299999999999997</v>
      </c>
      <c r="AY44" s="168">
        <f t="shared" si="23"/>
        <v>43</v>
      </c>
      <c r="AZ44" s="169"/>
      <c r="BA44" s="169"/>
      <c r="BC44" s="168">
        <f t="shared" ca="1" si="24"/>
        <v>38</v>
      </c>
      <c r="BD44" s="209">
        <f t="shared" ca="1" si="6"/>
        <v>25</v>
      </c>
      <c r="BF44" s="173" t="str">
        <f t="shared" ca="1" si="25"/>
        <v>Iberdrola USA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**EAST</v>
      </c>
    </row>
    <row r="45" spans="1:61" ht="13.8" x14ac:dyDescent="0.25">
      <c r="A45" s="223" t="s">
        <v>283</v>
      </c>
      <c r="B45" s="224" t="s">
        <v>141</v>
      </c>
      <c r="C45" s="224">
        <v>18</v>
      </c>
      <c r="D45" s="224" t="s">
        <v>284</v>
      </c>
      <c r="E45" s="225" t="str">
        <f t="shared" ca="1" si="8"/>
        <v>R</v>
      </c>
      <c r="F45" s="348"/>
      <c r="G45" s="349">
        <f t="shared" ca="1" si="1"/>
        <v>28</v>
      </c>
      <c r="H45" s="350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44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285</v>
      </c>
      <c r="AR45" s="207" t="s">
        <v>141</v>
      </c>
      <c r="AS45" s="207">
        <v>18</v>
      </c>
      <c r="AT45" s="207" t="s">
        <v>286</v>
      </c>
      <c r="AV45" s="168">
        <f t="shared" si="21"/>
        <v>31</v>
      </c>
      <c r="AW45" s="168">
        <f>COUNTIF( AV$7:AV45, AV45 )</f>
        <v>14</v>
      </c>
      <c r="AX45" s="208">
        <f t="shared" si="22"/>
        <v>32.4</v>
      </c>
      <c r="AY45" s="168">
        <f t="shared" si="23"/>
        <v>44</v>
      </c>
      <c r="AZ45" s="169"/>
      <c r="BA45" s="169"/>
      <c r="BC45" s="168">
        <f t="shared" ca="1" si="24"/>
        <v>39</v>
      </c>
      <c r="BD45" s="209">
        <f t="shared" ca="1" si="6"/>
        <v>26</v>
      </c>
      <c r="BF45" s="173" t="str">
        <f t="shared" ca="1" si="25"/>
        <v>IDACORP, Inc.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IDA</v>
      </c>
    </row>
    <row r="46" spans="1:61" ht="13.8" x14ac:dyDescent="0.25">
      <c r="A46" s="223" t="s">
        <v>297</v>
      </c>
      <c r="B46" s="224" t="s">
        <v>141</v>
      </c>
      <c r="C46" s="224">
        <v>18</v>
      </c>
      <c r="D46" s="224" t="s">
        <v>298</v>
      </c>
      <c r="E46" s="225" t="str">
        <f t="shared" ca="1" si="8"/>
        <v>R</v>
      </c>
      <c r="F46" s="348"/>
      <c r="G46" s="349">
        <f t="shared" ca="1" si="1"/>
        <v>35</v>
      </c>
      <c r="H46" s="350"/>
      <c r="I46" s="191"/>
      <c r="K46" s="191"/>
      <c r="N46" s="351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45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243</v>
      </c>
      <c r="AR46" s="207" t="s">
        <v>141</v>
      </c>
      <c r="AS46" s="207">
        <v>18</v>
      </c>
      <c r="AT46" s="207" t="s">
        <v>244</v>
      </c>
      <c r="AV46" s="168">
        <f t="shared" si="21"/>
        <v>31</v>
      </c>
      <c r="AW46" s="168">
        <f>COUNTIF( AV$7:AV46, AV46 )</f>
        <v>15</v>
      </c>
      <c r="AX46" s="208">
        <f t="shared" si="22"/>
        <v>32.5</v>
      </c>
      <c r="AY46" s="168">
        <f t="shared" si="23"/>
        <v>45</v>
      </c>
      <c r="AZ46" s="169"/>
      <c r="BA46" s="169"/>
      <c r="BC46" s="168">
        <f t="shared" ca="1" si="24"/>
        <v>40</v>
      </c>
      <c r="BD46" s="209">
        <f t="shared" ca="1" si="6"/>
        <v>32</v>
      </c>
      <c r="BF46" s="173" t="str">
        <f t="shared" ca="1" si="25"/>
        <v>NorthWestern Corporation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NWE</v>
      </c>
    </row>
    <row r="47" spans="1:61" ht="13.8" x14ac:dyDescent="0.25">
      <c r="A47" s="223" t="s">
        <v>299</v>
      </c>
      <c r="B47" s="224" t="s">
        <v>141</v>
      </c>
      <c r="C47" s="224">
        <v>18</v>
      </c>
      <c r="D47" s="224" t="s">
        <v>300</v>
      </c>
      <c r="E47" s="225" t="str">
        <f t="shared" ca="1" si="8"/>
        <v>R</v>
      </c>
      <c r="F47" s="348"/>
      <c r="G47" s="349">
        <f t="shared" ca="1" si="1"/>
        <v>37</v>
      </c>
      <c r="H47" s="350"/>
      <c r="I47" s="350"/>
      <c r="J47" s="187" t="s">
        <v>373</v>
      </c>
      <c r="K47" s="191"/>
      <c r="M47" s="351"/>
      <c r="N47" s="351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46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289</v>
      </c>
      <c r="AR47" s="207" t="s">
        <v>140</v>
      </c>
      <c r="AS47" s="207">
        <v>19</v>
      </c>
      <c r="AT47" s="207" t="s">
        <v>290</v>
      </c>
      <c r="AV47" s="168">
        <f t="shared" si="21"/>
        <v>14</v>
      </c>
      <c r="AW47" s="168">
        <f>COUNTIF( AV$7:AV47, AV47 )</f>
        <v>12</v>
      </c>
      <c r="AX47" s="208">
        <f t="shared" si="22"/>
        <v>15.2</v>
      </c>
      <c r="AY47" s="168">
        <f t="shared" si="23"/>
        <v>25</v>
      </c>
      <c r="AZ47" s="169"/>
      <c r="BA47" s="169"/>
      <c r="BC47" s="168">
        <f t="shared" ca="1" si="24"/>
        <v>41</v>
      </c>
      <c r="BD47" s="209">
        <f t="shared" ca="1" si="6"/>
        <v>34</v>
      </c>
      <c r="BF47" s="173" t="str">
        <f t="shared" ca="1" si="25"/>
        <v>Otter Tail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OTTR</v>
      </c>
    </row>
    <row r="48" spans="1:61" ht="13.8" x14ac:dyDescent="0.25">
      <c r="A48" s="223" t="s">
        <v>301</v>
      </c>
      <c r="B48" s="224" t="s">
        <v>141</v>
      </c>
      <c r="C48" s="224">
        <v>18</v>
      </c>
      <c r="D48" s="224" t="s">
        <v>302</v>
      </c>
      <c r="E48" s="225" t="str">
        <f t="shared" ca="1" si="8"/>
        <v>R</v>
      </c>
      <c r="F48" s="348"/>
      <c r="G48" s="349">
        <f t="shared" ca="1" si="1"/>
        <v>39</v>
      </c>
      <c r="H48" s="350"/>
      <c r="I48" s="350"/>
      <c r="K48" s="191"/>
      <c r="M48" s="351"/>
      <c r="N48" s="351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47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305</v>
      </c>
      <c r="AR48" s="207" t="s">
        <v>142</v>
      </c>
      <c r="AS48" s="207">
        <v>17</v>
      </c>
      <c r="AT48" s="207" t="s">
        <v>306</v>
      </c>
      <c r="AV48" s="168">
        <f t="shared" si="21"/>
        <v>47</v>
      </c>
      <c r="AW48" s="168">
        <f>COUNTIF( AV$7:AV48, AV48 )</f>
        <v>4</v>
      </c>
      <c r="AX48" s="208">
        <f t="shared" si="22"/>
        <v>47.4</v>
      </c>
      <c r="AY48" s="168">
        <f t="shared" si="23"/>
        <v>50</v>
      </c>
      <c r="AZ48" s="169"/>
      <c r="BA48" s="169"/>
      <c r="BC48" s="168">
        <f t="shared" ca="1" si="24"/>
        <v>42</v>
      </c>
      <c r="BD48" s="209">
        <f t="shared" ca="1" si="6"/>
        <v>36</v>
      </c>
      <c r="BF48" s="173" t="str">
        <f t="shared" ca="1" si="25"/>
        <v>PG&amp;E Corporation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PCG</v>
      </c>
    </row>
    <row r="49" spans="1:61" ht="13.8" x14ac:dyDescent="0.25">
      <c r="A49" s="223" t="s">
        <v>303</v>
      </c>
      <c r="B49" s="224" t="s">
        <v>141</v>
      </c>
      <c r="C49" s="224">
        <v>18</v>
      </c>
      <c r="D49" s="224" t="s">
        <v>304</v>
      </c>
      <c r="E49" s="225" t="str">
        <f t="shared" ca="1" si="8"/>
        <v>R</v>
      </c>
      <c r="F49" s="348"/>
      <c r="G49" s="349">
        <f t="shared" ca="1" si="1"/>
        <v>41</v>
      </c>
      <c r="H49" s="350"/>
      <c r="I49" s="350"/>
      <c r="J49" s="191"/>
      <c r="K49" s="191"/>
      <c r="M49" s="351"/>
      <c r="N49" s="351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48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4"/>
        <v/>
      </c>
      <c r="AQ49" s="207" t="s">
        <v>347</v>
      </c>
      <c r="AR49" s="207" t="s">
        <v>140</v>
      </c>
      <c r="AS49" s="207">
        <v>19</v>
      </c>
      <c r="AT49" s="207" t="s">
        <v>348</v>
      </c>
      <c r="AV49" s="168">
        <f t="shared" si="21"/>
        <v>14</v>
      </c>
      <c r="AW49" s="168">
        <f>COUNTIF( AV$7:AV49, AV49 )</f>
        <v>13</v>
      </c>
      <c r="AX49" s="208">
        <f t="shared" si="22"/>
        <v>15.3</v>
      </c>
      <c r="AY49" s="168">
        <f t="shared" si="23"/>
        <v>26</v>
      </c>
      <c r="AZ49" s="169"/>
      <c r="BA49" s="169"/>
      <c r="BC49" s="168">
        <f t="shared" ca="1" si="24"/>
        <v>43</v>
      </c>
      <c r="BD49" s="209">
        <f t="shared" ca="1" si="6"/>
        <v>38</v>
      </c>
      <c r="BF49" s="173" t="str">
        <f t="shared" ca="1" si="25"/>
        <v>PNM Resources, Inc.</v>
      </c>
      <c r="BG49" s="173" t="str">
        <f t="shared" ca="1" si="25"/>
        <v>BBB</v>
      </c>
      <c r="BH49" s="173">
        <f t="shared" ca="1" si="25"/>
        <v>18</v>
      </c>
      <c r="BI49" s="173" t="str">
        <f t="shared" ca="1" si="25"/>
        <v>PNM</v>
      </c>
    </row>
    <row r="50" spans="1:61" ht="13.8" x14ac:dyDescent="0.25">
      <c r="A50" s="223" t="s">
        <v>285</v>
      </c>
      <c r="B50" s="224" t="s">
        <v>141</v>
      </c>
      <c r="C50" s="224">
        <v>18</v>
      </c>
      <c r="D50" s="224" t="s">
        <v>286</v>
      </c>
      <c r="E50" s="225" t="str">
        <f t="shared" ca="1" si="8"/>
        <v>R</v>
      </c>
      <c r="F50" s="348"/>
      <c r="G50" s="349">
        <f t="shared" ca="1" si="1"/>
        <v>42</v>
      </c>
      <c r="H50" s="350"/>
      <c r="I50" s="350"/>
      <c r="J50" s="191"/>
      <c r="K50" s="191"/>
      <c r="M50" s="351"/>
      <c r="N50" s="351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49</v>
      </c>
      <c r="AK50" s="169" t="str">
        <f t="shared" ca="1" si="20"/>
        <v>BBB</v>
      </c>
      <c r="AL50" s="169">
        <f t="shared" ca="1" si="20"/>
        <v>18</v>
      </c>
      <c r="AM50" s="169" t="str">
        <f t="shared" ca="1" si="4"/>
        <v/>
      </c>
      <c r="AQ50" s="207" t="s">
        <v>291</v>
      </c>
      <c r="AR50" s="207" t="s">
        <v>140</v>
      </c>
      <c r="AS50" s="207">
        <v>19</v>
      </c>
      <c r="AT50" s="207" t="s">
        <v>292</v>
      </c>
      <c r="AV50" s="168">
        <f t="shared" si="21"/>
        <v>14</v>
      </c>
      <c r="AW50" s="168">
        <f>COUNTIF( AV$7:AV50, AV50 )</f>
        <v>14</v>
      </c>
      <c r="AX50" s="208">
        <f t="shared" si="22"/>
        <v>15.4</v>
      </c>
      <c r="AY50" s="168">
        <f t="shared" si="23"/>
        <v>27</v>
      </c>
      <c r="AZ50" s="169"/>
      <c r="BA50" s="169"/>
      <c r="BC50" s="168">
        <f t="shared" ca="1" si="24"/>
        <v>44</v>
      </c>
      <c r="BD50" s="209">
        <f t="shared" ca="1" si="6"/>
        <v>39</v>
      </c>
      <c r="BF50" s="173" t="str">
        <f t="shared" ca="1" si="25"/>
        <v>Portland General Electric Company</v>
      </c>
      <c r="BG50" s="173" t="str">
        <f t="shared" ca="1" si="25"/>
        <v>BBB</v>
      </c>
      <c r="BH50" s="173">
        <f t="shared" ca="1" si="25"/>
        <v>18</v>
      </c>
      <c r="BI50" s="173" t="str">
        <f t="shared" ca="1" si="25"/>
        <v>POR</v>
      </c>
    </row>
    <row r="51" spans="1:61" ht="13.8" x14ac:dyDescent="0.25">
      <c r="A51" s="223" t="s">
        <v>243</v>
      </c>
      <c r="B51" s="224" t="s">
        <v>141</v>
      </c>
      <c r="C51" s="224">
        <v>18</v>
      </c>
      <c r="D51" s="224" t="s">
        <v>244</v>
      </c>
      <c r="E51" s="225" t="str">
        <f t="shared" ca="1" si="8"/>
        <v>MR</v>
      </c>
      <c r="F51" s="348"/>
      <c r="G51" s="349">
        <f t="shared" ca="1" si="1"/>
        <v>43</v>
      </c>
      <c r="H51" s="350"/>
      <c r="I51" s="350"/>
      <c r="J51" s="191"/>
      <c r="K51" s="191"/>
      <c r="M51" s="351"/>
      <c r="N51" s="351"/>
      <c r="AF51" s="169">
        <f t="shared" si="2"/>
        <v>0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50</v>
      </c>
      <c r="AK51" s="169" t="str">
        <f t="shared" ca="1" si="20"/>
        <v>BBB</v>
      </c>
      <c r="AL51" s="169">
        <f t="shared" ca="1" si="20"/>
        <v>18</v>
      </c>
      <c r="AM51" s="169" t="str">
        <f t="shared" ca="1" si="4"/>
        <v/>
      </c>
      <c r="AQ51" s="207" t="s">
        <v>293</v>
      </c>
      <c r="AR51" s="207" t="s">
        <v>166</v>
      </c>
      <c r="AS51" s="207">
        <v>21</v>
      </c>
      <c r="AT51" s="207" t="s">
        <v>294</v>
      </c>
      <c r="AV51" s="168">
        <f t="shared" si="21"/>
        <v>1</v>
      </c>
      <c r="AW51" s="168">
        <f>COUNTIF( AV$7:AV51, AV51 )</f>
        <v>1</v>
      </c>
      <c r="AX51" s="208">
        <f t="shared" si="22"/>
        <v>1.1000000000000001</v>
      </c>
      <c r="AY51" s="168">
        <f t="shared" si="23"/>
        <v>1</v>
      </c>
      <c r="AZ51" s="169"/>
      <c r="BA51" s="169"/>
      <c r="BC51" s="168">
        <f t="shared" ca="1" si="24"/>
        <v>45</v>
      </c>
      <c r="BD51" s="209">
        <f t="shared" ca="1" si="6"/>
        <v>40</v>
      </c>
      <c r="BF51" s="173" t="str">
        <f t="shared" ca="1" si="25"/>
        <v>PPL Corporation</v>
      </c>
      <c r="BG51" s="173" t="str">
        <f t="shared" ca="1" si="25"/>
        <v>BBB</v>
      </c>
      <c r="BH51" s="173">
        <f t="shared" ca="1" si="25"/>
        <v>18</v>
      </c>
      <c r="BI51" s="173" t="str">
        <f t="shared" ca="1" si="25"/>
        <v>PPL</v>
      </c>
    </row>
    <row r="52" spans="1:61" ht="13.8" x14ac:dyDescent="0.25">
      <c r="A52" s="223" t="s">
        <v>389</v>
      </c>
      <c r="B52" s="224" t="s">
        <v>141</v>
      </c>
      <c r="C52" s="224">
        <v>18</v>
      </c>
      <c r="D52" s="224" t="s">
        <v>390</v>
      </c>
      <c r="E52" s="225" t="str">
        <f t="shared" ca="1" si="8"/>
        <v>R</v>
      </c>
      <c r="F52" s="348"/>
      <c r="G52" s="349">
        <f t="shared" ca="1" si="1"/>
        <v>49</v>
      </c>
      <c r="H52" s="350"/>
      <c r="I52" s="350"/>
      <c r="J52" s="191"/>
      <c r="K52" s="191"/>
      <c r="AF52" s="169">
        <f t="shared" si="2"/>
        <v>0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51</v>
      </c>
      <c r="AK52" s="169" t="str">
        <f t="shared" ca="1" si="20"/>
        <v>BBB</v>
      </c>
      <c r="AL52" s="169">
        <f t="shared" ca="1" si="20"/>
        <v>18</v>
      </c>
      <c r="AM52" s="169" t="str">
        <f t="shared" ca="1" si="4"/>
        <v/>
      </c>
      <c r="AQ52" s="207" t="s">
        <v>369</v>
      </c>
      <c r="AR52" s="207" t="s">
        <v>140</v>
      </c>
      <c r="AS52" s="207">
        <v>19</v>
      </c>
      <c r="AT52" s="207" t="s">
        <v>375</v>
      </c>
      <c r="AV52" s="168">
        <f t="shared" si="21"/>
        <v>14</v>
      </c>
      <c r="AW52" s="168">
        <f>COUNTIF( AV$7:AV52, AV52 )</f>
        <v>15</v>
      </c>
      <c r="AX52" s="208">
        <f t="shared" si="22"/>
        <v>15.5</v>
      </c>
      <c r="AY52" s="168">
        <f t="shared" si="23"/>
        <v>28</v>
      </c>
      <c r="AZ52" s="169"/>
      <c r="BA52" s="169"/>
      <c r="BC52" s="168">
        <f t="shared" ca="1" si="24"/>
        <v>46</v>
      </c>
      <c r="BD52" s="209">
        <f t="shared" ca="1" si="6"/>
        <v>47</v>
      </c>
      <c r="BF52" s="173" t="str">
        <f t="shared" ca="1" si="25"/>
        <v>UIL Holdings Corporation</v>
      </c>
      <c r="BG52" s="173" t="str">
        <f t="shared" ca="1" si="25"/>
        <v>BBB</v>
      </c>
      <c r="BH52" s="173">
        <f t="shared" ca="1" si="25"/>
        <v>18</v>
      </c>
      <c r="BI52" s="173" t="str">
        <f t="shared" ca="1" si="25"/>
        <v>UIL</v>
      </c>
    </row>
    <row r="53" spans="1:61" ht="13.8" x14ac:dyDescent="0.25">
      <c r="A53" s="223" t="s">
        <v>275</v>
      </c>
      <c r="B53" s="224" t="s">
        <v>142</v>
      </c>
      <c r="C53" s="224">
        <v>17</v>
      </c>
      <c r="D53" s="224" t="s">
        <v>276</v>
      </c>
      <c r="E53" s="225" t="str">
        <f t="shared" ca="1" si="8"/>
        <v>MR</v>
      </c>
      <c r="F53" s="348"/>
      <c r="G53" s="349">
        <f t="shared" ca="1" si="1"/>
        <v>25</v>
      </c>
      <c r="H53" s="350"/>
      <c r="I53" s="350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52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389</v>
      </c>
      <c r="AR53" s="207" t="s">
        <v>141</v>
      </c>
      <c r="AS53" s="207">
        <v>18</v>
      </c>
      <c r="AT53" s="207" t="s">
        <v>390</v>
      </c>
      <c r="AV53" s="168">
        <f t="shared" si="21"/>
        <v>31</v>
      </c>
      <c r="AW53" s="168">
        <f>COUNTIF( AV$7:AV53, AV53 )</f>
        <v>16</v>
      </c>
      <c r="AX53" s="208">
        <f t="shared" si="22"/>
        <v>32.6</v>
      </c>
      <c r="AY53" s="168">
        <f t="shared" si="23"/>
        <v>46</v>
      </c>
      <c r="AZ53" s="169"/>
      <c r="BA53" s="169"/>
      <c r="BC53" s="168">
        <f t="shared" ca="1" si="24"/>
        <v>47</v>
      </c>
      <c r="BD53" s="209">
        <f t="shared" ca="1" si="6"/>
        <v>22</v>
      </c>
      <c r="BF53" s="173" t="str">
        <f t="shared" ca="1" si="25"/>
        <v>FirstEnergy Corp.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FE</v>
      </c>
    </row>
    <row r="54" spans="1:61" ht="13.8" x14ac:dyDescent="0.25">
      <c r="A54" s="223" t="s">
        <v>279</v>
      </c>
      <c r="B54" s="224" t="s">
        <v>142</v>
      </c>
      <c r="C54" s="224">
        <v>17</v>
      </c>
      <c r="D54" s="224" t="s">
        <v>280</v>
      </c>
      <c r="E54" s="225" t="str">
        <f t="shared" ca="1" si="8"/>
        <v>D</v>
      </c>
      <c r="F54" s="348"/>
      <c r="G54" s="349">
        <f t="shared" ca="1" si="1"/>
        <v>27</v>
      </c>
      <c r="H54" s="350"/>
      <c r="I54" s="350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8"/>
        <v/>
      </c>
      <c r="AJ54" s="169">
        <f t="shared" ca="1" si="19"/>
        <v>53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4"/>
        <v/>
      </c>
      <c r="AQ54" s="207" t="s">
        <v>295</v>
      </c>
      <c r="AR54" s="207" t="s">
        <v>140</v>
      </c>
      <c r="AS54" s="207">
        <v>19</v>
      </c>
      <c r="AT54" s="207" t="s">
        <v>296</v>
      </c>
      <c r="AV54" s="168">
        <f t="shared" si="21"/>
        <v>14</v>
      </c>
      <c r="AW54" s="168">
        <f>COUNTIF( AV$7:AV54, AV54 )</f>
        <v>16</v>
      </c>
      <c r="AX54" s="208">
        <f t="shared" si="22"/>
        <v>15.6</v>
      </c>
      <c r="AY54" s="168">
        <f t="shared" si="23"/>
        <v>29</v>
      </c>
      <c r="AZ54" s="169"/>
      <c r="BA54" s="169"/>
      <c r="BC54" s="168">
        <f t="shared" ca="1" si="24"/>
        <v>48</v>
      </c>
      <c r="BD54" s="209">
        <f t="shared" ca="1" si="6"/>
        <v>24</v>
      </c>
      <c r="BF54" s="173" t="str">
        <f t="shared" ca="1" si="25"/>
        <v>Hawaiian Electric Industries, Inc.</v>
      </c>
      <c r="BG54" s="173" t="str">
        <f t="shared" ca="1" si="25"/>
        <v>BBB-</v>
      </c>
      <c r="BH54" s="173">
        <f t="shared" ca="1" si="25"/>
        <v>17</v>
      </c>
      <c r="BI54" s="173" t="str">
        <f t="shared" ca="1" si="25"/>
        <v>HE</v>
      </c>
    </row>
    <row r="55" spans="1:61" ht="13.8" x14ac:dyDescent="0.25">
      <c r="A55" s="223" t="s">
        <v>273</v>
      </c>
      <c r="B55" s="224" t="s">
        <v>142</v>
      </c>
      <c r="C55" s="224">
        <v>17</v>
      </c>
      <c r="D55" s="224" t="s">
        <v>274</v>
      </c>
      <c r="E55" s="225" t="str">
        <f t="shared" ca="1" si="8"/>
        <v>MR</v>
      </c>
      <c r="F55" s="348"/>
      <c r="G55" s="349">
        <f t="shared" ca="1" si="1"/>
        <v>33</v>
      </c>
      <c r="H55" s="350"/>
      <c r="I55" s="350"/>
      <c r="J55" s="191"/>
      <c r="K55" s="191"/>
      <c r="AF55" s="169">
        <f t="shared" si="2"/>
        <v>1</v>
      </c>
      <c r="AG55" s="169" t="str">
        <f t="shared" ca="1" si="3"/>
        <v/>
      </c>
      <c r="AH55" s="169" t="str">
        <f t="shared" ca="1" si="18"/>
        <v/>
      </c>
      <c r="AJ55" s="169">
        <f t="shared" ca="1" si="19"/>
        <v>54</v>
      </c>
      <c r="AK55" s="169" t="str">
        <f t="shared" ca="1" si="20"/>
        <v>BBB-</v>
      </c>
      <c r="AL55" s="169">
        <f t="shared" ca="1" si="20"/>
        <v>17</v>
      </c>
      <c r="AM55" s="169" t="str">
        <f t="shared" ca="1" si="4"/>
        <v/>
      </c>
      <c r="AQ55" s="207" t="s">
        <v>345</v>
      </c>
      <c r="AR55" s="207" t="s">
        <v>139</v>
      </c>
      <c r="AS55" s="207">
        <v>20</v>
      </c>
      <c r="AT55" s="207" t="s">
        <v>346</v>
      </c>
      <c r="AV55" s="168">
        <f t="shared" si="21"/>
        <v>2</v>
      </c>
      <c r="AW55" s="168">
        <f>COUNTIF( AV$7:AV55, AV55 )</f>
        <v>10</v>
      </c>
      <c r="AX55" s="208">
        <f t="shared" si="22"/>
        <v>3</v>
      </c>
      <c r="AY55" s="168">
        <f t="shared" si="23"/>
        <v>11</v>
      </c>
      <c r="AZ55" s="169"/>
      <c r="BA55" s="169"/>
      <c r="BC55" s="168">
        <f t="shared" ca="1" si="24"/>
        <v>49</v>
      </c>
      <c r="BD55" s="209">
        <f t="shared" ca="1" si="6"/>
        <v>31</v>
      </c>
      <c r="BF55" s="173" t="str">
        <f t="shared" ca="1" si="25"/>
        <v>NiSource Inc.</v>
      </c>
      <c r="BG55" s="173" t="str">
        <f t="shared" ca="1" si="25"/>
        <v>BBB-</v>
      </c>
      <c r="BH55" s="173">
        <f t="shared" ca="1" si="25"/>
        <v>17</v>
      </c>
      <c r="BI55" s="173" t="str">
        <f t="shared" ca="1" si="25"/>
        <v>NI</v>
      </c>
    </row>
    <row r="56" spans="1:61" ht="13.8" x14ac:dyDescent="0.25">
      <c r="A56" s="223" t="s">
        <v>305</v>
      </c>
      <c r="B56" s="224" t="s">
        <v>142</v>
      </c>
      <c r="C56" s="224">
        <v>17</v>
      </c>
      <c r="D56" s="224" t="s">
        <v>306</v>
      </c>
      <c r="E56" s="225" t="str">
        <f t="shared" ca="1" si="8"/>
        <v>R</v>
      </c>
      <c r="F56" s="348"/>
      <c r="G56" s="349">
        <f t="shared" ca="1" si="1"/>
        <v>62</v>
      </c>
      <c r="H56" s="350"/>
      <c r="I56" s="350"/>
      <c r="J56" s="191"/>
      <c r="K56" s="191"/>
      <c r="AF56" s="169">
        <f t="shared" si="2"/>
        <v>1</v>
      </c>
      <c r="AG56" s="169" t="str">
        <f t="shared" ca="1" si="3"/>
        <v/>
      </c>
      <c r="AH56" s="169" t="str">
        <f t="shared" ca="1" si="18"/>
        <v/>
      </c>
      <c r="AJ56" s="169">
        <f t="shared" ca="1" si="19"/>
        <v>55</v>
      </c>
      <c r="AK56" s="169" t="str">
        <f t="shared" ca="1" si="20"/>
        <v>BBB-</v>
      </c>
      <c r="AL56" s="169">
        <f t="shared" ca="1" si="20"/>
        <v>17</v>
      </c>
      <c r="AM56" s="169" t="str">
        <f t="shared" ca="1" si="4"/>
        <v/>
      </c>
      <c r="AQ56" s="207" t="s">
        <v>354</v>
      </c>
      <c r="AR56" s="207" t="s">
        <v>140</v>
      </c>
      <c r="AS56" s="207">
        <v>19</v>
      </c>
      <c r="AT56" s="207" t="s">
        <v>355</v>
      </c>
      <c r="AV56" s="168">
        <f t="shared" si="21"/>
        <v>14</v>
      </c>
      <c r="AW56" s="168">
        <f>COUNTIF( AV$7:AV56, AV56 )</f>
        <v>17</v>
      </c>
      <c r="AX56" s="208">
        <f t="shared" si="22"/>
        <v>15.7</v>
      </c>
      <c r="AY56" s="168">
        <f t="shared" si="23"/>
        <v>30</v>
      </c>
      <c r="AZ56" s="169"/>
      <c r="BA56" s="169"/>
      <c r="BC56" s="168">
        <f t="shared" ca="1" si="24"/>
        <v>50</v>
      </c>
      <c r="BD56" s="209">
        <f t="shared" ca="1" si="6"/>
        <v>42</v>
      </c>
      <c r="BF56" s="173" t="str">
        <f t="shared" ca="1" si="25"/>
        <v>Puget Energy, Inc.</v>
      </c>
      <c r="BG56" s="173" t="str">
        <f t="shared" ca="1" si="25"/>
        <v>BBB-</v>
      </c>
      <c r="BH56" s="173">
        <f t="shared" ca="1" si="25"/>
        <v>17</v>
      </c>
      <c r="BI56" s="173" t="str">
        <f t="shared" ca="1" si="25"/>
        <v>**PSD</v>
      </c>
    </row>
    <row r="57" spans="1:61" ht="13.8" x14ac:dyDescent="0.25">
      <c r="A57" s="223" t="s">
        <v>287</v>
      </c>
      <c r="B57" s="224" t="s">
        <v>173</v>
      </c>
      <c r="C57" s="224">
        <v>16</v>
      </c>
      <c r="D57" s="224" t="s">
        <v>288</v>
      </c>
      <c r="E57" s="225" t="str">
        <f t="shared" ca="1" si="8"/>
        <v>R</v>
      </c>
      <c r="F57" s="348"/>
      <c r="G57" s="349">
        <f t="shared" ca="1" si="1"/>
        <v>60</v>
      </c>
      <c r="H57" s="350"/>
      <c r="I57" s="350"/>
      <c r="J57" s="191"/>
      <c r="K57" s="191"/>
      <c r="AF57" s="169">
        <f t="shared" si="2"/>
        <v>0</v>
      </c>
      <c r="AG57" s="169" t="str">
        <f t="shared" ca="1" si="3"/>
        <v/>
      </c>
      <c r="AH57" s="169" t="str">
        <f t="shared" ca="1" si="18"/>
        <v/>
      </c>
      <c r="AJ57" s="169">
        <f t="shared" ca="1" si="19"/>
        <v>56</v>
      </c>
      <c r="AK57" s="169" t="str">
        <f t="shared" ca="1" si="20"/>
        <v>BB+</v>
      </c>
      <c r="AL57" s="169">
        <f t="shared" ca="1" si="20"/>
        <v>16</v>
      </c>
      <c r="AM57" s="169" t="str">
        <f t="shared" ca="1" si="4"/>
        <v/>
      </c>
      <c r="AQ57" s="207" t="s">
        <v>247</v>
      </c>
      <c r="AR57" s="207" t="s">
        <v>139</v>
      </c>
      <c r="AS57" s="207">
        <v>20</v>
      </c>
      <c r="AT57" s="207" t="s">
        <v>248</v>
      </c>
      <c r="AV57" s="168">
        <f t="shared" si="21"/>
        <v>2</v>
      </c>
      <c r="AW57" s="168">
        <f>COUNTIF( AV$7:AV57, AV57 )</f>
        <v>11</v>
      </c>
      <c r="AX57" s="208">
        <f t="shared" si="22"/>
        <v>3.1</v>
      </c>
      <c r="AY57" s="168">
        <f t="shared" si="23"/>
        <v>12</v>
      </c>
      <c r="AZ57" s="169"/>
      <c r="BA57" s="169"/>
      <c r="BC57" s="168">
        <f t="shared" ca="1" si="24"/>
        <v>51</v>
      </c>
      <c r="BD57" s="209">
        <f t="shared" ca="1" si="6"/>
        <v>28</v>
      </c>
      <c r="BF57" s="173" t="str">
        <f t="shared" ca="1" si="25"/>
        <v>IPALCO Enterprises, Inc.</v>
      </c>
      <c r="BG57" s="173" t="str">
        <f t="shared" ca="1" si="25"/>
        <v>BB+</v>
      </c>
      <c r="BH57" s="173">
        <f t="shared" ca="1" si="25"/>
        <v>16</v>
      </c>
      <c r="BI57" s="173" t="str">
        <f t="shared" ca="1" si="25"/>
        <v>**IPALCO</v>
      </c>
    </row>
    <row r="58" spans="1:61" ht="13.8" x14ac:dyDescent="0.25">
      <c r="A58" s="223" t="s">
        <v>259</v>
      </c>
      <c r="B58" s="224" t="s">
        <v>175</v>
      </c>
      <c r="C58" s="224">
        <v>15</v>
      </c>
      <c r="D58" s="224" t="s">
        <v>260</v>
      </c>
      <c r="E58" s="225" t="str">
        <f t="shared" ca="1" si="8"/>
        <v>R</v>
      </c>
      <c r="F58" s="348"/>
      <c r="G58" s="349">
        <f t="shared" ca="1" si="1"/>
        <v>58</v>
      </c>
      <c r="H58" s="350"/>
      <c r="I58" s="350"/>
      <c r="J58" s="191"/>
      <c r="K58" s="191"/>
      <c r="AF58" s="169">
        <f t="shared" si="2"/>
        <v>1</v>
      </c>
      <c r="AG58" s="169" t="str">
        <f t="shared" ca="1" si="3"/>
        <v/>
      </c>
      <c r="AH58" s="169" t="str">
        <f t="shared" ca="1" si="18"/>
        <v/>
      </c>
      <c r="AJ58" s="169">
        <f t="shared" ca="1" si="19"/>
        <v>57</v>
      </c>
      <c r="AK58" s="169" t="str">
        <f t="shared" ca="1" si="20"/>
        <v>BB</v>
      </c>
      <c r="AL58" s="169">
        <f t="shared" ca="1" si="20"/>
        <v>15</v>
      </c>
      <c r="AM58" s="169" t="str">
        <f t="shared" ca="1" si="4"/>
        <v/>
      </c>
      <c r="AQ58" s="207" t="s">
        <v>251</v>
      </c>
      <c r="AR58" s="207" t="s">
        <v>139</v>
      </c>
      <c r="AS58" s="207">
        <v>20</v>
      </c>
      <c r="AT58" s="207" t="s">
        <v>252</v>
      </c>
      <c r="AV58" s="168">
        <f t="shared" si="21"/>
        <v>2</v>
      </c>
      <c r="AW58" s="168">
        <f>COUNTIF( AV$7:AV58, AV58 )</f>
        <v>12</v>
      </c>
      <c r="AX58" s="208">
        <f t="shared" si="22"/>
        <v>3.2</v>
      </c>
      <c r="AY58" s="168">
        <f t="shared" si="23"/>
        <v>13</v>
      </c>
      <c r="AZ58" s="169"/>
      <c r="BA58" s="169"/>
      <c r="BC58" s="168">
        <f t="shared" ca="1" si="24"/>
        <v>52</v>
      </c>
      <c r="BD58" s="209">
        <f t="shared" ca="1" si="6"/>
        <v>13</v>
      </c>
      <c r="BF58" s="173" t="str">
        <f t="shared" ca="1" si="25"/>
        <v>DPL Inc.</v>
      </c>
      <c r="BG58" s="173" t="str">
        <f t="shared" ca="1" si="25"/>
        <v>BB</v>
      </c>
      <c r="BH58" s="173">
        <f t="shared" ca="1" si="25"/>
        <v>15</v>
      </c>
      <c r="BI58" s="173" t="str">
        <f t="shared" ca="1" si="25"/>
        <v>**DPL</v>
      </c>
    </row>
    <row r="59" spans="1:61" ht="13.8" x14ac:dyDescent="0.25">
      <c r="A59" s="223"/>
      <c r="B59" s="224"/>
      <c r="C59" s="224"/>
      <c r="D59" s="224"/>
      <c r="E59" s="225" t="str">
        <f t="shared" ca="1" si="8"/>
        <v/>
      </c>
      <c r="F59" s="348"/>
      <c r="G59" s="349" t="str">
        <f t="shared" ca="1" si="1"/>
        <v/>
      </c>
      <c r="H59" s="350"/>
      <c r="I59" s="350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1</v>
      </c>
      <c r="AX59" s="208">
        <f t="shared" si="22"/>
        <v>99.1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" thickBot="1" x14ac:dyDescent="0.3">
      <c r="A60" s="192"/>
      <c r="B60" s="193"/>
      <c r="C60" s="193"/>
      <c r="D60" s="193"/>
      <c r="E60" s="194" t="str">
        <f t="shared" ca="1" si="8"/>
        <v/>
      </c>
      <c r="F60" s="350"/>
      <c r="G60" s="353" t="str">
        <f t="shared" ca="1" si="1"/>
        <v/>
      </c>
      <c r="H60" s="350"/>
      <c r="I60" s="350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2</v>
      </c>
      <c r="AX60" s="208">
        <f t="shared" si="22"/>
        <v>99.2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8" x14ac:dyDescent="0.25">
      <c r="A61" s="226" t="s">
        <v>384</v>
      </c>
      <c r="B61" s="227" t="s">
        <v>162</v>
      </c>
      <c r="C61" s="227">
        <v>23</v>
      </c>
      <c r="D61" s="227" t="s">
        <v>309</v>
      </c>
      <c r="E61" s="228" t="str">
        <f t="shared" ca="1" si="8"/>
        <v>MR</v>
      </c>
      <c r="F61" s="354"/>
      <c r="G61" s="355">
        <f t="shared" ca="1" si="1"/>
        <v>31</v>
      </c>
      <c r="H61" s="350"/>
      <c r="I61" s="350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3</v>
      </c>
      <c r="AX61" s="208">
        <f t="shared" si="22"/>
        <v>99.3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8" x14ac:dyDescent="0.25">
      <c r="A62" s="223" t="s">
        <v>371</v>
      </c>
      <c r="B62" s="224"/>
      <c r="C62" s="224"/>
      <c r="D62" s="224" t="s">
        <v>359</v>
      </c>
      <c r="E62" s="225" t="str">
        <f t="shared" ca="1" si="8"/>
        <v>D</v>
      </c>
      <c r="F62" s="348"/>
      <c r="G62" s="349">
        <f t="shared" ca="1" si="1"/>
        <v>59</v>
      </c>
      <c r="H62" s="350"/>
      <c r="I62" s="350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>
        <f t="shared" ca="1" si="19"/>
        <v>64</v>
      </c>
      <c r="AK62" s="169">
        <f t="shared" ca="1" si="20"/>
        <v>0</v>
      </c>
      <c r="AL62" s="169">
        <f t="shared" ca="1" si="20"/>
        <v>0</v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4</v>
      </c>
      <c r="AX62" s="208">
        <f t="shared" si="22"/>
        <v>99.4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/>
      <c r="B63" s="229"/>
      <c r="C63" s="224"/>
      <c r="D63" s="224"/>
      <c r="E63" s="225"/>
      <c r="F63" s="348"/>
      <c r="G63" s="349"/>
      <c r="H63" s="350"/>
      <c r="I63" s="350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5</v>
      </c>
      <c r="AX63" s="208">
        <f t="shared" si="22"/>
        <v>99.5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/>
      <c r="B64" s="229"/>
      <c r="C64" s="224"/>
      <c r="D64" s="224"/>
      <c r="E64" s="225"/>
      <c r="F64" s="348"/>
      <c r="G64" s="349"/>
      <c r="H64" s="350"/>
      <c r="I64" s="350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308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58" ht="13.8" x14ac:dyDescent="0.25">
      <c r="A65" s="223"/>
      <c r="B65" s="229"/>
      <c r="C65" s="224"/>
      <c r="D65" s="224"/>
      <c r="E65" s="225"/>
      <c r="F65" s="348"/>
      <c r="G65" s="349"/>
      <c r="H65" s="350"/>
      <c r="I65" s="350"/>
      <c r="N65" s="168" t="s">
        <v>310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 t="s">
        <v>371</v>
      </c>
      <c r="AR65" s="207"/>
      <c r="AS65" s="207"/>
      <c r="AT65" s="207" t="s">
        <v>359</v>
      </c>
      <c r="AU65" s="207"/>
      <c r="AZ65" s="169"/>
      <c r="BA65" s="169"/>
      <c r="BF65" s="169"/>
    </row>
    <row r="66" spans="1:58" ht="13.8" x14ac:dyDescent="0.25">
      <c r="A66" s="195"/>
      <c r="B66" s="196"/>
      <c r="C66" s="185"/>
      <c r="D66" s="185"/>
      <c r="E66" s="182"/>
      <c r="F66" s="350"/>
      <c r="H66" s="350"/>
      <c r="I66" s="350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50"/>
      <c r="H67" s="350"/>
      <c r="I67" s="350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ht="13.8" x14ac:dyDescent="0.25">
      <c r="A68" s="200" t="s">
        <v>311</v>
      </c>
      <c r="B68" s="189" t="str">
        <f ca="1">OFFSET( Scale!$H$5, ROUND( C68, 0 ) - 1, 1 )</f>
        <v>BBB+</v>
      </c>
      <c r="C68" s="201">
        <f>AVERAGE(C7:C65)</f>
        <v>18.754716981132077</v>
      </c>
      <c r="D68" s="201"/>
      <c r="E68" s="201"/>
      <c r="F68" s="350"/>
      <c r="H68" s="350"/>
      <c r="I68" s="350"/>
      <c r="J68" s="351"/>
      <c r="K68" s="351"/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50"/>
      <c r="H69" s="350"/>
      <c r="I69" s="350"/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1"/>
      <c r="K70" s="351"/>
    </row>
    <row r="71" spans="1:58" x14ac:dyDescent="0.25">
      <c r="A71" s="203" t="s">
        <v>312</v>
      </c>
      <c r="F71" s="173"/>
      <c r="H71" s="173"/>
      <c r="I71" s="173"/>
    </row>
    <row r="72" spans="1:58" x14ac:dyDescent="0.25">
      <c r="A72" s="203" t="s">
        <v>313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314</v>
      </c>
      <c r="B73" s="173"/>
      <c r="D73" s="173"/>
      <c r="E73" s="173"/>
      <c r="F73" s="204"/>
      <c r="H73" s="204"/>
      <c r="I73" s="204"/>
    </row>
    <row r="74" spans="1:58" x14ac:dyDescent="0.25">
      <c r="A74" s="203" t="s">
        <v>315</v>
      </c>
      <c r="D74" s="204"/>
      <c r="F74" s="206"/>
      <c r="H74" s="206"/>
      <c r="I74" s="206"/>
      <c r="AQ74" s="207"/>
      <c r="AR74" s="207"/>
      <c r="AS74" s="207"/>
    </row>
    <row r="75" spans="1:58" x14ac:dyDescent="0.25">
      <c r="A75" s="203" t="s">
        <v>316</v>
      </c>
      <c r="D75" s="204"/>
      <c r="F75" s="206"/>
      <c r="H75" s="206"/>
      <c r="I75" s="206"/>
      <c r="AQ75" s="207"/>
      <c r="AR75" s="207"/>
      <c r="AS75" s="207"/>
    </row>
    <row r="76" spans="1:58" x14ac:dyDescent="0.25">
      <c r="A76" s="203"/>
      <c r="AQ76" s="207"/>
      <c r="AR76" s="207"/>
      <c r="AS76" s="207"/>
    </row>
    <row r="77" spans="1:58" x14ac:dyDescent="0.25">
      <c r="C77" s="190">
        <f>SUMPRODUCT( L8:L13, Y8:Y13 ) / L14</f>
        <v>18.735849056603772</v>
      </c>
      <c r="E77" s="191"/>
      <c r="G77" s="353"/>
      <c r="J77" s="173"/>
      <c r="K77" s="173"/>
      <c r="AQ77" s="207"/>
      <c r="AR77" s="207"/>
      <c r="AS77" s="207"/>
    </row>
    <row r="78" spans="1:58" s="173" customFormat="1" ht="13.8" x14ac:dyDescent="0.2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ref="AQ7:AT58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E7:E59 A60:E61 E62:E65">
    <cfRule type="expression" dxfId="542" priority="28" stopIfTrue="1">
      <formula>IF( $AH7 = 1, TRUE, FALSE )</formula>
    </cfRule>
    <cfRule type="expression" dxfId="541" priority="29" stopIfTrue="1">
      <formula>IF( $AG7 = 1, TRUE, FALSE )</formula>
    </cfRule>
    <cfRule type="expression" dxfId="540" priority="30" stopIfTrue="1">
      <formula>IF( $AF7 = 1, TRUE, FALSE )</formula>
    </cfRule>
  </conditionalFormatting>
  <conditionalFormatting sqref="A67:E67">
    <cfRule type="expression" dxfId="539" priority="31" stopIfTrue="1">
      <formula>IF( $AH67 = 1, TRUE, FALSE )</formula>
    </cfRule>
    <cfRule type="expression" dxfId="538" priority="32" stopIfTrue="1">
      <formula>IF( $AG67 = 1, TRUE, FALSE )</formula>
    </cfRule>
    <cfRule type="expression" dxfId="537" priority="33" stopIfTrue="1">
      <formula>IF( $AF67 = 1, TRUE, FALSE )</formula>
    </cfRule>
  </conditionalFormatting>
  <conditionalFormatting sqref="A66:E66">
    <cfRule type="expression" dxfId="536" priority="25" stopIfTrue="1">
      <formula>IF( $AH66 = 1, TRUE, FALSE )</formula>
    </cfRule>
    <cfRule type="expression" dxfId="535" priority="26" stopIfTrue="1">
      <formula>IF( $AG66 = 1, TRUE, FALSE )</formula>
    </cfRule>
    <cfRule type="expression" dxfId="534" priority="27" stopIfTrue="1">
      <formula>IF( $AF66 = 1, TRUE, FALSE )</formula>
    </cfRule>
  </conditionalFormatting>
  <conditionalFormatting sqref="A8:D58 B7:D7">
    <cfRule type="expression" dxfId="533" priority="22" stopIfTrue="1">
      <formula>IF( $AH7 = 1, TRUE, FALSE )</formula>
    </cfRule>
    <cfRule type="expression" dxfId="532" priority="23" stopIfTrue="1">
      <formula>IF( $AG7 = 1, TRUE, FALSE )</formula>
    </cfRule>
    <cfRule type="expression" dxfId="531" priority="24" stopIfTrue="1">
      <formula>IF( $AF7 = 1, TRUE, FALSE )</formula>
    </cfRule>
  </conditionalFormatting>
  <conditionalFormatting sqref="A59:D59">
    <cfRule type="expression" dxfId="530" priority="19" stopIfTrue="1">
      <formula>IF( $AH59 = 1, TRUE, FALSE )</formula>
    </cfRule>
    <cfRule type="expression" dxfId="529" priority="20" stopIfTrue="1">
      <formula>IF( $AG59 = 1, TRUE, FALSE )</formula>
    </cfRule>
    <cfRule type="expression" dxfId="528" priority="21" stopIfTrue="1">
      <formula>IF( $AF59 = 1, TRUE, FALSE )</formula>
    </cfRule>
  </conditionalFormatting>
  <conditionalFormatting sqref="A61:D65">
    <cfRule type="expression" dxfId="527" priority="16" stopIfTrue="1">
      <formula>IF( $AH61 = 1, TRUE, FALSE )</formula>
    </cfRule>
    <cfRule type="expression" dxfId="526" priority="17" stopIfTrue="1">
      <formula>IF( $AG61 = 1, TRUE, FALSE )</formula>
    </cfRule>
    <cfRule type="expression" dxfId="525" priority="18" stopIfTrue="1">
      <formula>IF( $AF61 = 1, TRUE, FALSE )</formula>
    </cfRule>
  </conditionalFormatting>
  <conditionalFormatting sqref="U8:U12">
    <cfRule type="cellIs" dxfId="524" priority="15" operator="equal">
      <formula>0</formula>
    </cfRule>
  </conditionalFormatting>
  <conditionalFormatting sqref="O8:O12 Q8:Q12">
    <cfRule type="cellIs" dxfId="523" priority="14" operator="equal">
      <formula>0</formula>
    </cfRule>
  </conditionalFormatting>
  <conditionalFormatting sqref="V8:V12">
    <cfRule type="cellIs" dxfId="522" priority="13" operator="equal">
      <formula>0</formula>
    </cfRule>
  </conditionalFormatting>
  <conditionalFormatting sqref="S8:S12">
    <cfRule type="cellIs" dxfId="521" priority="11" operator="equal">
      <formula>0</formula>
    </cfRule>
  </conditionalFormatting>
  <conditionalFormatting sqref="R8:R12">
    <cfRule type="cellIs" dxfId="520" priority="12" operator="equal">
      <formula>0</formula>
    </cfRule>
  </conditionalFormatting>
  <conditionalFormatting sqref="P8:P12">
    <cfRule type="cellIs" dxfId="519" priority="10" operator="equal">
      <formula>0</formula>
    </cfRule>
  </conditionalFormatting>
  <conditionalFormatting sqref="M8:M12">
    <cfRule type="cellIs" dxfId="518" priority="9" operator="equal">
      <formula>0</formula>
    </cfRule>
  </conditionalFormatting>
  <conditionalFormatting sqref="T8:T12">
    <cfRule type="cellIs" dxfId="517" priority="8" operator="equal">
      <formula>0</formula>
    </cfRule>
  </conditionalFormatting>
  <conditionalFormatting sqref="N8:N12">
    <cfRule type="cellIs" dxfId="516" priority="7" operator="equal">
      <formula>0</formula>
    </cfRule>
  </conditionalFormatting>
  <conditionalFormatting sqref="K8:K12">
    <cfRule type="cellIs" dxfId="515" priority="6" operator="equal">
      <formula>0</formula>
    </cfRule>
  </conditionalFormatting>
  <conditionalFormatting sqref="I8:I12">
    <cfRule type="cellIs" dxfId="514" priority="5" operator="equal">
      <formula>0</formula>
    </cfRule>
  </conditionalFormatting>
  <conditionalFormatting sqref="W8:W12">
    <cfRule type="cellIs" dxfId="513" priority="4" operator="equal">
      <formula>0</formula>
    </cfRule>
  </conditionalFormatting>
  <conditionalFormatting sqref="A7">
    <cfRule type="expression" dxfId="512" priority="1" stopIfTrue="1">
      <formula>IF( $AH7 = 1, TRUE, FALSE )</formula>
    </cfRule>
    <cfRule type="expression" dxfId="511" priority="2" stopIfTrue="1">
      <formula>IF( $AG7 = 1, TRUE, FALSE )</formula>
    </cfRule>
    <cfRule type="expression" dxfId="510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9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customWidth="1"/>
    <col min="23" max="23" width="2" style="168" customWidth="1"/>
    <col min="24" max="24" width="4.109375" style="168" customWidth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15.88671875" style="169" hidden="1" customWidth="1" outlineLevel="1" collapsed="1"/>
    <col min="37" max="38" width="15.88671875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style="168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-- 2014 Q3</v>
      </c>
      <c r="G1" s="175" t="s">
        <v>195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 x14ac:dyDescent="0.25">
      <c r="A2" s="167"/>
      <c r="E2" s="171" t="str">
        <f>G2</f>
        <v>Reg_Percent_2013</v>
      </c>
      <c r="G2" s="172" t="s">
        <v>391</v>
      </c>
      <c r="AJ2" s="173" t="str">
        <f>AJ4 &amp; AJ3</f>
        <v>'Credit_2014Q2'!d:d</v>
      </c>
      <c r="AK2" s="173" t="str">
        <f>AK4 &amp; AK3</f>
        <v>'Credit_2014Q2'!b1</v>
      </c>
      <c r="AL2" s="173" t="str">
        <f>AL4 &amp; AL3</f>
        <v>'Credit_2014Q2'!c1</v>
      </c>
      <c r="AQ2" s="169"/>
    </row>
    <row r="3" spans="1:61" ht="18" hidden="1" outlineLevel="1" x14ac:dyDescent="0.25">
      <c r="A3" s="167"/>
      <c r="E3" s="174" t="str">
        <f>"'" &amp; E2 &amp; "'!"</f>
        <v>'Reg_Percent_2013'!</v>
      </c>
      <c r="G3" s="168" t="str">
        <f>"'" &amp; G2 &amp; "'!"</f>
        <v>'Reg_Percent_2013'!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205</v>
      </c>
      <c r="AK3" s="149" t="s">
        <v>206</v>
      </c>
      <c r="AL3" s="149" t="s">
        <v>207</v>
      </c>
      <c r="AQ3" s="169"/>
    </row>
    <row r="4" spans="1:61" ht="18" hidden="1" outlineLevel="1" x14ac:dyDescent="0.25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>$AQ$5</f>
        <v>'Credit_2014Q2'!</v>
      </c>
      <c r="AK4" s="169" t="str">
        <f t="shared" ref="AK4:AL4" si="0">$AQ$5</f>
        <v>'Credit_2014Q2'!</v>
      </c>
      <c r="AL4" s="169" t="str">
        <f t="shared" si="0"/>
        <v>'Credit_2014Q2'!</v>
      </c>
      <c r="AQ4" s="169"/>
    </row>
    <row r="5" spans="1:61" ht="13.8" collapsed="1" x14ac:dyDescent="0.25">
      <c r="E5" s="176" t="s">
        <v>209</v>
      </c>
      <c r="G5" s="170" t="s">
        <v>199</v>
      </c>
      <c r="I5" s="230"/>
      <c r="J5" s="389" t="s">
        <v>210</v>
      </c>
      <c r="K5" s="230"/>
      <c r="L5" s="391" t="str">
        <f>"All Companies" &amp; CHAR( 10 ) &amp; "("&amp; L14 &amp; ")"</f>
        <v>All Companies
(53)</v>
      </c>
      <c r="M5" s="391"/>
      <c r="N5" s="230"/>
      <c r="O5" s="389" t="str">
        <f ca="1">"Regulated" &amp; CHAR( 10 ) &amp; "(" &amp; O14 &amp; ")"</f>
        <v>Regulated
(38)</v>
      </c>
      <c r="P5" s="393"/>
      <c r="Q5" s="230"/>
      <c r="R5" s="389" t="str">
        <f ca="1">"Mostly Regulated" &amp; CHAR( 10 ) &amp; "(" &amp; R14 &amp; ")"</f>
        <v>Mostly Regulated
(13)</v>
      </c>
      <c r="S5" s="393"/>
      <c r="T5" s="230"/>
      <c r="U5" s="389" t="str">
        <f ca="1">"Diversified" &amp; CHAR( 10 ) &amp; "(" &amp; U14 &amp; ")"</f>
        <v>Diversified
(2)</v>
      </c>
      <c r="V5" s="393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398</v>
      </c>
    </row>
    <row r="6" spans="1:61" ht="28.5" customHeight="1" x14ac:dyDescent="0.25">
      <c r="A6" s="219" t="s">
        <v>212</v>
      </c>
      <c r="B6" s="220" t="s">
        <v>58</v>
      </c>
      <c r="C6" s="249" t="s">
        <v>214</v>
      </c>
      <c r="D6" s="221"/>
      <c r="E6" s="222">
        <f ca="1">INDIRECT( E3 &amp; G1 )</f>
        <v>41639</v>
      </c>
      <c r="I6" s="231"/>
      <c r="J6" s="390"/>
      <c r="K6" s="231"/>
      <c r="L6" s="392"/>
      <c r="M6" s="392"/>
      <c r="N6" s="231"/>
      <c r="O6" s="390"/>
      <c r="P6" s="390"/>
      <c r="Q6" s="231"/>
      <c r="R6" s="390" t="s">
        <v>136</v>
      </c>
      <c r="S6" s="390"/>
      <c r="T6" s="231"/>
      <c r="U6" s="390"/>
      <c r="V6" s="390"/>
      <c r="W6" s="231"/>
      <c r="AE6" s="178"/>
      <c r="AJ6" s="179"/>
    </row>
    <row r="7" spans="1:61" ht="13.8" x14ac:dyDescent="0.25">
      <c r="A7" s="223" t="s">
        <v>293</v>
      </c>
      <c r="B7" s="224" t="s">
        <v>166</v>
      </c>
      <c r="C7" s="224">
        <v>21</v>
      </c>
      <c r="D7" s="224" t="s">
        <v>294</v>
      </c>
      <c r="E7" s="225" t="str">
        <f ca="1">IF( LEN( $G7 ) = 0, "", OFFSET( INDIRECT( E$3 &amp; E$4 ), $G7 - 1, 0 ) )</f>
        <v>R</v>
      </c>
      <c r="F7" s="348"/>
      <c r="G7" s="349">
        <f t="shared" ref="G7:G64" ca="1" si="1">IF( LEN( $D7 ) = 0, "", MATCH( $D7, INDIRECT( G$3 &amp; G$4 ), 0 ) )</f>
        <v>47</v>
      </c>
      <c r="H7" s="350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217</v>
      </c>
      <c r="AR7" s="207" t="s">
        <v>140</v>
      </c>
      <c r="AS7" s="207">
        <v>19</v>
      </c>
      <c r="AT7" s="207" t="s">
        <v>218</v>
      </c>
      <c r="AV7" s="168">
        <f>IF( LEN( AS7 ) = 0, 99, RANK( AS7, $AS$7:$AS$63 ) )</f>
        <v>14</v>
      </c>
      <c r="AW7" s="168">
        <f>COUNTIF( AV7:AV$7, AV7 )</f>
        <v>1</v>
      </c>
      <c r="AX7" s="208">
        <f>AV7 + AW7 / 10</f>
        <v>14.1</v>
      </c>
      <c r="AY7" s="168">
        <f>RANK( AX7, $AX$7:$AX$63, 1 )</f>
        <v>14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45</v>
      </c>
      <c r="BF7" s="173" t="str">
        <f t="shared" ref="BF7:BI38" ca="1" si="7">OFFSET( AQ$6, $BD7, 0 )</f>
        <v>Southern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SO</v>
      </c>
    </row>
    <row r="8" spans="1:61" ht="13.8" x14ac:dyDescent="0.25">
      <c r="A8" s="223" t="s">
        <v>219</v>
      </c>
      <c r="B8" s="224" t="s">
        <v>139</v>
      </c>
      <c r="C8" s="224">
        <v>20</v>
      </c>
      <c r="D8" s="224" t="s">
        <v>220</v>
      </c>
      <c r="E8" s="225" t="str">
        <f t="shared" ref="E8:E64" ca="1" si="8">IF( LEN( $G8 ) = 0, "", OFFSET( INDIRECT( E$3 &amp; E$4 ), $G8 - 1, 0 ) )</f>
        <v>R</v>
      </c>
      <c r="F8" s="348"/>
      <c r="G8" s="349">
        <f t="shared" ca="1" si="1"/>
        <v>8</v>
      </c>
      <c r="H8" s="350"/>
      <c r="I8" s="233"/>
      <c r="J8" s="213" t="s">
        <v>137</v>
      </c>
      <c r="K8" s="233"/>
      <c r="L8" s="213">
        <f t="shared" ref="L8:L13" si="9">COUNTIF($C$7:$C$67,$X8)</f>
        <v>2</v>
      </c>
      <c r="M8" s="214">
        <f t="shared" ref="M8:M13" si="10">IF( L8 = 0, "", L8/L$14 )</f>
        <v>3.7735849056603772E-2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2.6315789473684209E-2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7.6923076923076927E-2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7">SUM(O8, R8, U8)</f>
        <v>2</v>
      </c>
      <c r="AC8" s="351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4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ref="AV8:AV63" si="21">IF( LEN( AS8 ) = 0, 99, RANK( AS8, $AS$7:$AS$63 ) )</f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ref="AY8:AY63" si="23">RANK( AX8, $AX$7:$AX$63, 1 )</f>
        <v>2</v>
      </c>
      <c r="AZ8" s="169"/>
      <c r="BA8" s="169"/>
      <c r="BC8" s="168">
        <f ca="1">OFFSET( BC8, -1, 0 ) + 1</f>
        <v>2</v>
      </c>
      <c r="BD8" s="209">
        <f t="shared" ca="1" si="6"/>
        <v>2</v>
      </c>
      <c r="BF8" s="173" t="str">
        <f t="shared" ca="1" si="7"/>
        <v>Alliant Energy Corporation</v>
      </c>
      <c r="BG8" s="173" t="str">
        <f t="shared" ca="1" si="7"/>
        <v>A-</v>
      </c>
      <c r="BH8" s="173">
        <f t="shared" ca="1" si="7"/>
        <v>20</v>
      </c>
      <c r="BI8" s="173" t="str">
        <f t="shared" ca="1" si="7"/>
        <v>LNT</v>
      </c>
    </row>
    <row r="9" spans="1:61" ht="13.8" x14ac:dyDescent="0.25">
      <c r="A9" s="223" t="s">
        <v>249</v>
      </c>
      <c r="B9" s="224" t="s">
        <v>139</v>
      </c>
      <c r="C9" s="224">
        <v>20</v>
      </c>
      <c r="D9" s="224" t="s">
        <v>250</v>
      </c>
      <c r="E9" s="225" t="str">
        <f t="shared" ca="1" si="8"/>
        <v>MR</v>
      </c>
      <c r="F9" s="348"/>
      <c r="G9" s="349">
        <f t="shared" ca="1" si="1"/>
        <v>13</v>
      </c>
      <c r="H9" s="350"/>
      <c r="I9" s="234"/>
      <c r="J9" s="215" t="s">
        <v>139</v>
      </c>
      <c r="K9" s="234"/>
      <c r="L9" s="215">
        <f t="shared" si="9"/>
        <v>12</v>
      </c>
      <c r="M9" s="216">
        <f t="shared" si="10"/>
        <v>0.22641509433962265</v>
      </c>
      <c r="N9" s="234"/>
      <c r="O9" s="215">
        <f t="shared" ca="1" si="11"/>
        <v>8</v>
      </c>
      <c r="P9" s="216">
        <f t="shared" ca="1" si="12"/>
        <v>0.21052631578947367</v>
      </c>
      <c r="Q9" s="234"/>
      <c r="R9" s="215">
        <f t="shared" ca="1" si="13"/>
        <v>4</v>
      </c>
      <c r="S9" s="216">
        <f t="shared" ca="1" si="14"/>
        <v>0.30769230769230771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7"/>
        <v>12</v>
      </c>
      <c r="AC9" s="351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si="21"/>
        <v>14</v>
      </c>
      <c r="AW9" s="168">
        <f>COUNTIF( AV$7:AV9, AV9 )</f>
        <v>2</v>
      </c>
      <c r="AX9" s="208">
        <f t="shared" si="22"/>
        <v>14.2</v>
      </c>
      <c r="AY9" s="168">
        <f t="shared" si="23"/>
        <v>15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8</v>
      </c>
      <c r="BF9" s="173" t="str">
        <f t="shared" ca="1" si="7"/>
        <v>CenterPoint Energy, Inc.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CNP</v>
      </c>
    </row>
    <row r="10" spans="1:61" ht="13.8" x14ac:dyDescent="0.25">
      <c r="A10" s="223" t="s">
        <v>227</v>
      </c>
      <c r="B10" s="224" t="s">
        <v>139</v>
      </c>
      <c r="C10" s="224">
        <v>20</v>
      </c>
      <c r="D10" s="224" t="s">
        <v>228</v>
      </c>
      <c r="E10" s="225" t="str">
        <f t="shared" ca="1" si="8"/>
        <v>R</v>
      </c>
      <c r="F10" s="348"/>
      <c r="G10" s="349">
        <f t="shared" ca="1" si="1"/>
        <v>16</v>
      </c>
      <c r="H10" s="350"/>
      <c r="I10" s="234"/>
      <c r="J10" s="215" t="s">
        <v>140</v>
      </c>
      <c r="K10" s="234"/>
      <c r="L10" s="215">
        <f t="shared" si="9"/>
        <v>15</v>
      </c>
      <c r="M10" s="216">
        <f t="shared" si="10"/>
        <v>0.28301886792452829</v>
      </c>
      <c r="N10" s="234"/>
      <c r="O10" s="215">
        <f t="shared" ca="1" si="11"/>
        <v>10</v>
      </c>
      <c r="P10" s="216">
        <f t="shared" ca="1" si="12"/>
        <v>0.26315789473684209</v>
      </c>
      <c r="Q10" s="234"/>
      <c r="R10" s="215">
        <f t="shared" ca="1" si="13"/>
        <v>4</v>
      </c>
      <c r="S10" s="216">
        <f t="shared" ca="1" si="14"/>
        <v>0.30769230769230771</v>
      </c>
      <c r="T10" s="234"/>
      <c r="U10" s="215">
        <f t="shared" ca="1" si="15"/>
        <v>1</v>
      </c>
      <c r="V10" s="216">
        <f t="shared" ca="1" si="16"/>
        <v>0.5</v>
      </c>
      <c r="W10" s="234"/>
      <c r="X10" s="186" t="s">
        <v>229</v>
      </c>
      <c r="Y10" s="186">
        <v>19</v>
      </c>
      <c r="Z10" s="186">
        <v>1</v>
      </c>
      <c r="AA10" s="185">
        <f t="shared" ca="1" si="17"/>
        <v>15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222</v>
      </c>
      <c r="AR10" s="207" t="s">
        <v>141</v>
      </c>
      <c r="AS10" s="207">
        <v>18</v>
      </c>
      <c r="AT10" s="207" t="s">
        <v>223</v>
      </c>
      <c r="AV10" s="168">
        <f t="shared" si="21"/>
        <v>29</v>
      </c>
      <c r="AW10" s="168">
        <f>COUNTIF( AV$7:AV10, AV10 )</f>
        <v>1</v>
      </c>
      <c r="AX10" s="208">
        <f t="shared" si="22"/>
        <v>29.1</v>
      </c>
      <c r="AY10" s="168">
        <f t="shared" si="23"/>
        <v>29</v>
      </c>
      <c r="AZ10" s="169"/>
      <c r="BA10" s="169"/>
      <c r="BC10" s="168">
        <f t="shared" ca="1" si="24"/>
        <v>4</v>
      </c>
      <c r="BD10" s="209">
        <f t="shared" ca="1" si="6"/>
        <v>11</v>
      </c>
      <c r="BF10" s="173" t="str">
        <f t="shared" ca="1" si="7"/>
        <v>Consolidated Edison,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ED</v>
      </c>
    </row>
    <row r="11" spans="1:61" ht="13.8" x14ac:dyDescent="0.25">
      <c r="A11" s="223" t="s">
        <v>361</v>
      </c>
      <c r="B11" s="224" t="s">
        <v>139</v>
      </c>
      <c r="C11" s="224">
        <v>20</v>
      </c>
      <c r="D11" s="224" t="s">
        <v>194</v>
      </c>
      <c r="E11" s="225" t="str">
        <f t="shared" ca="1" si="8"/>
        <v>MR</v>
      </c>
      <c r="F11" s="348"/>
      <c r="G11" s="349">
        <f t="shared" ca="1" si="1"/>
        <v>17</v>
      </c>
      <c r="H11" s="350"/>
      <c r="I11" s="234"/>
      <c r="J11" s="215" t="s">
        <v>141</v>
      </c>
      <c r="K11" s="234"/>
      <c r="L11" s="215">
        <f t="shared" si="9"/>
        <v>18</v>
      </c>
      <c r="M11" s="216">
        <f t="shared" si="10"/>
        <v>0.33962264150943394</v>
      </c>
      <c r="N11" s="234"/>
      <c r="O11" s="215">
        <f t="shared" ca="1" si="11"/>
        <v>16</v>
      </c>
      <c r="P11" s="216">
        <f t="shared" ca="1" si="12"/>
        <v>0.42105263157894735</v>
      </c>
      <c r="Q11" s="234"/>
      <c r="R11" s="215">
        <f t="shared" ca="1" si="13"/>
        <v>2</v>
      </c>
      <c r="S11" s="216">
        <f t="shared" ca="1" si="14"/>
        <v>0.15384615384615385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7"/>
        <v>18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238</v>
      </c>
      <c r="AR11" s="207" t="s">
        <v>141</v>
      </c>
      <c r="AS11" s="207">
        <v>18</v>
      </c>
      <c r="AT11" s="207" t="s">
        <v>239</v>
      </c>
      <c r="AV11" s="168">
        <f t="shared" si="21"/>
        <v>29</v>
      </c>
      <c r="AW11" s="168">
        <f>COUNTIF( AV$7:AV11, AV11 )</f>
        <v>2</v>
      </c>
      <c r="AX11" s="208">
        <f t="shared" si="22"/>
        <v>29.2</v>
      </c>
      <c r="AY11" s="168">
        <f t="shared" si="23"/>
        <v>30</v>
      </c>
      <c r="AZ11" s="169"/>
      <c r="BA11" s="169"/>
      <c r="BC11" s="168">
        <f t="shared" ca="1" si="24"/>
        <v>5</v>
      </c>
      <c r="BD11" s="209">
        <f t="shared" ca="1" si="6"/>
        <v>12</v>
      </c>
      <c r="BF11" s="173" t="str">
        <f t="shared" ca="1" si="7"/>
        <v>Dominion Resources,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D</v>
      </c>
    </row>
    <row r="12" spans="1:61" ht="13.8" x14ac:dyDescent="0.25">
      <c r="A12" s="223" t="s">
        <v>395</v>
      </c>
      <c r="B12" s="224" t="s">
        <v>139</v>
      </c>
      <c r="C12" s="224">
        <v>20</v>
      </c>
      <c r="D12" s="224" t="s">
        <v>396</v>
      </c>
      <c r="E12" s="225" t="str">
        <f t="shared" ca="1" si="8"/>
        <v>R</v>
      </c>
      <c r="F12" s="348"/>
      <c r="G12" s="349">
        <f t="shared" ca="1" si="1"/>
        <v>29</v>
      </c>
      <c r="H12" s="350"/>
      <c r="I12" s="234"/>
      <c r="J12" s="215" t="s">
        <v>142</v>
      </c>
      <c r="K12" s="234"/>
      <c r="L12" s="215">
        <f t="shared" si="9"/>
        <v>4</v>
      </c>
      <c r="M12" s="216">
        <f t="shared" si="10"/>
        <v>7.5471698113207544E-2</v>
      </c>
      <c r="N12" s="234"/>
      <c r="O12" s="215">
        <f t="shared" ca="1" si="11"/>
        <v>1</v>
      </c>
      <c r="P12" s="216">
        <f t="shared" ca="1" si="12"/>
        <v>2.6315789473684209E-2</v>
      </c>
      <c r="Q12" s="234"/>
      <c r="R12" s="215">
        <f t="shared" ca="1" si="13"/>
        <v>2</v>
      </c>
      <c r="S12" s="216">
        <f t="shared" ca="1" si="14"/>
        <v>0.15384615384615385</v>
      </c>
      <c r="T12" s="234"/>
      <c r="U12" s="215">
        <f t="shared" ca="1" si="15"/>
        <v>1</v>
      </c>
      <c r="V12" s="216">
        <f t="shared" ca="1" si="16"/>
        <v>0.5</v>
      </c>
      <c r="W12" s="234"/>
      <c r="X12" s="186" t="s">
        <v>237</v>
      </c>
      <c r="Y12" s="186">
        <v>17</v>
      </c>
      <c r="Z12" s="186">
        <v>1</v>
      </c>
      <c r="AA12" s="185">
        <f t="shared" ca="1" si="17"/>
        <v>4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215</v>
      </c>
      <c r="AR12" s="207" t="s">
        <v>140</v>
      </c>
      <c r="AS12" s="207">
        <v>19</v>
      </c>
      <c r="AT12" s="207" t="s">
        <v>216</v>
      </c>
      <c r="AV12" s="168">
        <f t="shared" si="21"/>
        <v>14</v>
      </c>
      <c r="AW12" s="168">
        <f>COUNTIF( AV$7:AV12, AV12 )</f>
        <v>3</v>
      </c>
      <c r="AX12" s="208">
        <f t="shared" si="22"/>
        <v>14.3</v>
      </c>
      <c r="AY12" s="168">
        <f t="shared" si="23"/>
        <v>16</v>
      </c>
      <c r="AZ12" s="169"/>
      <c r="BA12" s="169"/>
      <c r="BC12" s="168">
        <f t="shared" ca="1" si="24"/>
        <v>6</v>
      </c>
      <c r="BD12" s="209">
        <f t="shared" ca="1" si="6"/>
        <v>26</v>
      </c>
      <c r="BF12" s="173" t="str">
        <f t="shared" ca="1" si="7"/>
        <v>Integrys Energy Group,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TEG</v>
      </c>
    </row>
    <row r="13" spans="1:61" ht="13.8" x14ac:dyDescent="0.25">
      <c r="A13" s="223" t="s">
        <v>240</v>
      </c>
      <c r="B13" s="224" t="s">
        <v>139</v>
      </c>
      <c r="C13" s="224">
        <v>20</v>
      </c>
      <c r="D13" s="224" t="s">
        <v>241</v>
      </c>
      <c r="E13" s="225" t="str">
        <f t="shared" ca="1" si="8"/>
        <v>MR</v>
      </c>
      <c r="F13" s="348"/>
      <c r="G13" s="349">
        <f t="shared" ca="1" si="1"/>
        <v>32</v>
      </c>
      <c r="H13" s="350"/>
      <c r="I13" s="235"/>
      <c r="J13" s="217" t="s">
        <v>143</v>
      </c>
      <c r="K13" s="235"/>
      <c r="L13" s="217">
        <f t="shared" si="9"/>
        <v>2</v>
      </c>
      <c r="M13" s="218">
        <f t="shared" si="10"/>
        <v>3.7735849056603772E-2</v>
      </c>
      <c r="N13" s="235"/>
      <c r="O13" s="217">
        <f t="shared" ca="1" si="11"/>
        <v>2</v>
      </c>
      <c r="P13" s="218">
        <f t="shared" ca="1" si="12"/>
        <v>5.2631578947368418E-2</v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242</v>
      </c>
      <c r="Y13" s="186">
        <v>16</v>
      </c>
      <c r="Z13" s="186">
        <v>1</v>
      </c>
      <c r="AA13" s="188">
        <f t="shared" ca="1" si="17"/>
        <v>2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245</v>
      </c>
      <c r="AR13" s="207" t="s">
        <v>141</v>
      </c>
      <c r="AS13" s="207">
        <v>18</v>
      </c>
      <c r="AT13" s="207" t="s">
        <v>246</v>
      </c>
      <c r="AV13" s="168">
        <f t="shared" si="21"/>
        <v>29</v>
      </c>
      <c r="AW13" s="168">
        <f>COUNTIF( AV$7:AV13, AV13 )</f>
        <v>3</v>
      </c>
      <c r="AX13" s="208">
        <f t="shared" si="22"/>
        <v>29.3</v>
      </c>
      <c r="AY13" s="168">
        <f t="shared" si="23"/>
        <v>31</v>
      </c>
      <c r="AZ13" s="169"/>
      <c r="BA13" s="169"/>
      <c r="BC13" s="168">
        <f t="shared" ca="1" si="24"/>
        <v>7</v>
      </c>
      <c r="BD13" s="209">
        <f t="shared" ca="1" si="6"/>
        <v>29</v>
      </c>
      <c r="BF13" s="173" t="str">
        <f t="shared" ca="1" si="7"/>
        <v>NextEra Energy, Inc.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NEE</v>
      </c>
    </row>
    <row r="14" spans="1:61" ht="13.8" x14ac:dyDescent="0.25">
      <c r="A14" s="223" t="s">
        <v>394</v>
      </c>
      <c r="B14" s="224" t="s">
        <v>139</v>
      </c>
      <c r="C14" s="224">
        <v>20</v>
      </c>
      <c r="D14" s="224" t="s">
        <v>236</v>
      </c>
      <c r="E14" s="225" t="str">
        <f t="shared" ca="1" si="8"/>
        <v>R</v>
      </c>
      <c r="F14" s="348"/>
      <c r="G14" s="349">
        <f t="shared" ca="1" si="1"/>
        <v>34</v>
      </c>
      <c r="H14" s="350"/>
      <c r="I14" s="236"/>
      <c r="J14" s="211" t="s">
        <v>144</v>
      </c>
      <c r="K14" s="236"/>
      <c r="L14" s="211">
        <f>SUM(L8:L13)</f>
        <v>53</v>
      </c>
      <c r="M14" s="212">
        <f>L14/L$14</f>
        <v>1</v>
      </c>
      <c r="N14" s="236"/>
      <c r="O14" s="211">
        <f ca="1">SUM(O8:O13)</f>
        <v>38</v>
      </c>
      <c r="P14" s="212">
        <f ca="1">O14/O$14</f>
        <v>1</v>
      </c>
      <c r="Q14" s="236"/>
      <c r="R14" s="211">
        <f ca="1">SUM(R8:R13)</f>
        <v>13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18.69811320754717</v>
      </c>
      <c r="Z14" s="190"/>
      <c r="AA14" s="189">
        <f ca="1">SUM(AA8:AA13)</f>
        <v>53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249</v>
      </c>
      <c r="AR14" s="207" t="s">
        <v>139</v>
      </c>
      <c r="AS14" s="207">
        <v>20</v>
      </c>
      <c r="AT14" s="207" t="s">
        <v>250</v>
      </c>
      <c r="AV14" s="168">
        <f>IF( LEN( AS14 ) = 0, 99, RANK( AS14, $AS$7:$AS$63 ) )</f>
        <v>2</v>
      </c>
      <c r="AW14" s="168">
        <f>COUNTIF( AV$7:AV14, AV14 )</f>
        <v>2</v>
      </c>
      <c r="AX14" s="208">
        <f t="shared" si="22"/>
        <v>2.2000000000000002</v>
      </c>
      <c r="AY14" s="168">
        <f t="shared" si="23"/>
        <v>3</v>
      </c>
      <c r="AZ14" s="169"/>
      <c r="BA14" s="169"/>
      <c r="BC14" s="168">
        <f t="shared" ca="1" si="24"/>
        <v>8</v>
      </c>
      <c r="BD14" s="209">
        <f t="shared" ca="1" si="6"/>
        <v>31</v>
      </c>
      <c r="BF14" s="173" t="str">
        <f t="shared" ca="1" si="7"/>
        <v>Eversource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ES</v>
      </c>
    </row>
    <row r="15" spans="1:61" ht="13.8" x14ac:dyDescent="0.25">
      <c r="A15" s="223" t="s">
        <v>277</v>
      </c>
      <c r="B15" s="224" t="s">
        <v>139</v>
      </c>
      <c r="C15" s="224">
        <v>20</v>
      </c>
      <c r="D15" s="224" t="s">
        <v>278</v>
      </c>
      <c r="E15" s="225" t="str">
        <f t="shared" ca="1" si="8"/>
        <v>R</v>
      </c>
      <c r="F15" s="348"/>
      <c r="G15" s="349">
        <f t="shared" ca="1" si="1"/>
        <v>36</v>
      </c>
      <c r="H15" s="350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254</v>
      </c>
      <c r="AR15" s="207" t="s">
        <v>140</v>
      </c>
      <c r="AS15" s="207">
        <v>19</v>
      </c>
      <c r="AT15" s="207" t="s">
        <v>378</v>
      </c>
      <c r="AV15" s="168">
        <f t="shared" si="21"/>
        <v>14</v>
      </c>
      <c r="AW15" s="168">
        <f>COUNTIF( AV$7:AV15, AV15 )</f>
        <v>4</v>
      </c>
      <c r="AX15" s="208">
        <f t="shared" si="22"/>
        <v>14.4</v>
      </c>
      <c r="AY15" s="168">
        <f t="shared" si="23"/>
        <v>17</v>
      </c>
      <c r="AZ15" s="169"/>
      <c r="BA15" s="169"/>
      <c r="BC15" s="168">
        <f t="shared" ca="1" si="24"/>
        <v>9</v>
      </c>
      <c r="BD15" s="209">
        <f t="shared" ca="1" si="6"/>
        <v>33</v>
      </c>
      <c r="BF15" s="173" t="str">
        <f t="shared" ca="1" si="7"/>
        <v>OGE Energy Corp.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OGE</v>
      </c>
    </row>
    <row r="16" spans="1:61" ht="13.8" x14ac:dyDescent="0.25">
      <c r="A16" s="223" t="s">
        <v>281</v>
      </c>
      <c r="B16" s="224" t="s">
        <v>139</v>
      </c>
      <c r="C16" s="224">
        <v>20</v>
      </c>
      <c r="D16" s="224" t="s">
        <v>282</v>
      </c>
      <c r="E16" s="225" t="str">
        <f t="shared" ca="1" si="8"/>
        <v>R</v>
      </c>
      <c r="F16" s="348"/>
      <c r="G16" s="349">
        <f t="shared" ca="1" si="1"/>
        <v>40</v>
      </c>
      <c r="H16" s="350"/>
      <c r="I16" s="232"/>
      <c r="J16" s="210" t="s">
        <v>253</v>
      </c>
      <c r="K16" s="232"/>
      <c r="L16" s="386">
        <f t="array" ref="L16">SUM( IF( LEN( $C$7:$C$65 ) = 0, 0, $C$7:$C$65 ) ) / SUM( IF( LEN( $C$7:$C$65 ) = 0, 0, 1  ) )</f>
        <v>18.716981132075471</v>
      </c>
      <c r="M16" s="387"/>
      <c r="N16" s="232"/>
      <c r="O16" s="386">
        <f t="array" aca="1" ref="O16" ca="1">SUM( IF( LEN( $C$7:$C$65 ) = 0, 0, IF( $E$7:$E$65 = O3, $C$7:$C$65, 0 ) ) ) / SUM( IF( LEN( $C$7:$C$65 ) = 0, 0, IF( $E$7:$E$65 = O3, 1, 0 ) ) )</f>
        <v>18.605263157894736</v>
      </c>
      <c r="P16" s="387"/>
      <c r="Q16" s="232"/>
      <c r="R16" s="386">
        <f t="array" aca="1" ref="R16" ca="1">SUM( IF( LEN( $C$7:$C$65 ) = 0, 0, IF( $E$7:$E$65 = R3, $C$7:$C$65, 0 ) ) ) / SUM( IF( LEN( $C$7:$C$65 ) = 0, 0, IF( $E$7:$E$65 = R3, 1, 0 ) ) )</f>
        <v>19.153846153846153</v>
      </c>
      <c r="S16" s="387"/>
      <c r="T16" s="232"/>
      <c r="U16" s="386">
        <f t="array" aca="1" ref="U16" ca="1">SUM( IF( LEN( $C$7:$C$65 ) = 0, 0, IF( $E$7:$E$65 = U3, $C$7:$C$65, 0 ) ) ) / SUM( IF( LEN( $C$7:$C$65 ) = 0, 0, IF( $E$7:$E$65 = U3, 1, 0 ) ) )</f>
        <v>18</v>
      </c>
      <c r="V16" s="388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256</v>
      </c>
      <c r="AR16" s="207" t="s">
        <v>141</v>
      </c>
      <c r="AS16" s="207">
        <v>18</v>
      </c>
      <c r="AT16" s="207" t="s">
        <v>257</v>
      </c>
      <c r="AV16" s="168">
        <f t="shared" si="21"/>
        <v>29</v>
      </c>
      <c r="AW16" s="168">
        <f>COUNTIF( AV$7:AV16, AV16 )</f>
        <v>4</v>
      </c>
      <c r="AX16" s="208">
        <f t="shared" si="22"/>
        <v>29.4</v>
      </c>
      <c r="AY16" s="168">
        <f t="shared" si="23"/>
        <v>32</v>
      </c>
      <c r="AZ16" s="169"/>
      <c r="BA16" s="169"/>
      <c r="BC16" s="168">
        <f t="shared" ca="1" si="24"/>
        <v>10</v>
      </c>
      <c r="BD16" s="209">
        <f t="shared" ca="1" si="6"/>
        <v>37</v>
      </c>
      <c r="BF16" s="173" t="str">
        <f t="shared" ca="1" si="7"/>
        <v>Pinnacle West Capital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PNW</v>
      </c>
    </row>
    <row r="17" spans="1:61" ht="13.8" x14ac:dyDescent="0.25">
      <c r="A17" s="223" t="s">
        <v>345</v>
      </c>
      <c r="B17" s="224" t="s">
        <v>139</v>
      </c>
      <c r="C17" s="224">
        <v>20</v>
      </c>
      <c r="D17" s="224" t="s">
        <v>346</v>
      </c>
      <c r="E17" s="225" t="str">
        <f t="shared" ca="1" si="8"/>
        <v>MR</v>
      </c>
      <c r="F17" s="348"/>
      <c r="G17" s="349">
        <f t="shared" ca="1" si="1"/>
        <v>52</v>
      </c>
      <c r="H17" s="350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227</v>
      </c>
      <c r="AR17" s="207" t="s">
        <v>139</v>
      </c>
      <c r="AS17" s="207">
        <v>20</v>
      </c>
      <c r="AT17" s="207" t="s">
        <v>228</v>
      </c>
      <c r="AV17" s="168">
        <f t="shared" si="21"/>
        <v>2</v>
      </c>
      <c r="AW17" s="168">
        <f>COUNTIF( AV$7:AV17, AV17 )</f>
        <v>3</v>
      </c>
      <c r="AX17" s="208">
        <f t="shared" si="22"/>
        <v>2.2999999999999998</v>
      </c>
      <c r="AY17" s="168">
        <f t="shared" si="23"/>
        <v>4</v>
      </c>
      <c r="AZ17" s="169"/>
      <c r="BA17" s="169"/>
      <c r="BC17" s="168">
        <f t="shared" ca="1" si="24"/>
        <v>11</v>
      </c>
      <c r="BD17" s="209">
        <f t="shared" ca="1" si="6"/>
        <v>48</v>
      </c>
      <c r="BF17" s="173" t="str">
        <f t="shared" ca="1" si="7"/>
        <v>Vectren Corporation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VVC</v>
      </c>
    </row>
    <row r="18" spans="1:61" ht="13.8" x14ac:dyDescent="0.25">
      <c r="A18" s="223" t="s">
        <v>247</v>
      </c>
      <c r="B18" s="224" t="s">
        <v>139</v>
      </c>
      <c r="C18" s="224">
        <v>20</v>
      </c>
      <c r="D18" s="224" t="s">
        <v>248</v>
      </c>
      <c r="E18" s="225" t="str">
        <f t="shared" ca="1" si="8"/>
        <v>R</v>
      </c>
      <c r="F18" s="348"/>
      <c r="G18" s="349">
        <f t="shared" ca="1" si="1"/>
        <v>54</v>
      </c>
      <c r="H18" s="350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361</v>
      </c>
      <c r="AR18" s="207" t="s">
        <v>139</v>
      </c>
      <c r="AS18" s="207">
        <v>20</v>
      </c>
      <c r="AT18" s="207" t="s">
        <v>194</v>
      </c>
      <c r="AV18" s="168">
        <f t="shared" si="21"/>
        <v>2</v>
      </c>
      <c r="AW18" s="168">
        <f>COUNTIF( AV$7:AV18, AV18 )</f>
        <v>4</v>
      </c>
      <c r="AX18" s="208">
        <f t="shared" si="22"/>
        <v>2.4</v>
      </c>
      <c r="AY18" s="168">
        <f t="shared" si="23"/>
        <v>5</v>
      </c>
      <c r="AZ18" s="169"/>
      <c r="BA18" s="169"/>
      <c r="BC18" s="168">
        <f t="shared" ca="1" si="24"/>
        <v>12</v>
      </c>
      <c r="BD18" s="209">
        <f t="shared" ca="1" si="6"/>
        <v>50</v>
      </c>
      <c r="BF18" s="173" t="str">
        <f t="shared" ca="1" si="7"/>
        <v>Wisconsin Energy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WEC</v>
      </c>
    </row>
    <row r="19" spans="1:61" ht="13.8" x14ac:dyDescent="0.25">
      <c r="A19" s="223" t="s">
        <v>251</v>
      </c>
      <c r="B19" s="224" t="s">
        <v>139</v>
      </c>
      <c r="C19" s="224">
        <v>20</v>
      </c>
      <c r="D19" s="224" t="s">
        <v>252</v>
      </c>
      <c r="E19" s="225" t="str">
        <f t="shared" ca="1" si="8"/>
        <v>R</v>
      </c>
      <c r="F19" s="348"/>
      <c r="G19" s="349">
        <f t="shared" ca="1" si="1"/>
        <v>55</v>
      </c>
      <c r="H19" s="350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259</v>
      </c>
      <c r="AR19" s="207" t="s">
        <v>175</v>
      </c>
      <c r="AS19" s="207">
        <v>15</v>
      </c>
      <c r="AT19" s="207" t="s">
        <v>260</v>
      </c>
      <c r="AV19" s="168">
        <f t="shared" si="21"/>
        <v>51</v>
      </c>
      <c r="AW19" s="168">
        <f>COUNTIF( AV$7:AV19, AV19 )</f>
        <v>1</v>
      </c>
      <c r="AX19" s="208">
        <f t="shared" si="22"/>
        <v>51.1</v>
      </c>
      <c r="AY19" s="168">
        <f t="shared" si="23"/>
        <v>51</v>
      </c>
      <c r="AZ19" s="169"/>
      <c r="BA19" s="169"/>
      <c r="BC19" s="168">
        <f t="shared" ca="1" si="24"/>
        <v>13</v>
      </c>
      <c r="BD19" s="209">
        <f t="shared" ca="1" si="6"/>
        <v>51</v>
      </c>
      <c r="BF19" s="173" t="str">
        <f t="shared" ca="1" si="7"/>
        <v>Xcel Energy Inc.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XEL</v>
      </c>
    </row>
    <row r="20" spans="1:61" ht="13.8" x14ac:dyDescent="0.25">
      <c r="A20" s="223" t="s">
        <v>217</v>
      </c>
      <c r="B20" s="224" t="s">
        <v>140</v>
      </c>
      <c r="C20" s="224">
        <v>19</v>
      </c>
      <c r="D20" s="224" t="s">
        <v>218</v>
      </c>
      <c r="E20" s="225" t="str">
        <f t="shared" ca="1" si="8"/>
        <v>R</v>
      </c>
      <c r="F20" s="348"/>
      <c r="G20" s="349">
        <f t="shared" ca="1" si="1"/>
        <v>7</v>
      </c>
      <c r="H20" s="350"/>
      <c r="I20" s="352"/>
      <c r="K20" s="352"/>
      <c r="N20" s="352"/>
      <c r="O20" s="173"/>
      <c r="Q20" s="352"/>
      <c r="T20" s="352"/>
      <c r="W20" s="352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4"/>
        <v/>
      </c>
      <c r="AQ20" s="207" t="s">
        <v>261</v>
      </c>
      <c r="AR20" s="207" t="s">
        <v>140</v>
      </c>
      <c r="AS20" s="207">
        <v>19</v>
      </c>
      <c r="AT20" s="207" t="s">
        <v>262</v>
      </c>
      <c r="AV20" s="168">
        <f t="shared" si="21"/>
        <v>14</v>
      </c>
      <c r="AW20" s="168">
        <f>COUNTIF( AV$7:AV20, AV20 )</f>
        <v>5</v>
      </c>
      <c r="AX20" s="208">
        <f t="shared" si="22"/>
        <v>14.5</v>
      </c>
      <c r="AY20" s="168">
        <f t="shared" si="23"/>
        <v>18</v>
      </c>
      <c r="AZ20" s="169"/>
      <c r="BA20" s="169"/>
      <c r="BC20" s="168">
        <f t="shared" ca="1" si="24"/>
        <v>14</v>
      </c>
      <c r="BD20" s="209">
        <f t="shared" ca="1" si="6"/>
        <v>1</v>
      </c>
      <c r="BF20" s="173" t="str">
        <f t="shared" ca="1" si="7"/>
        <v>ALLETE, Inc.</v>
      </c>
      <c r="BG20" s="173" t="str">
        <f t="shared" ca="1" si="7"/>
        <v>BBB+</v>
      </c>
      <c r="BH20" s="173">
        <f t="shared" ca="1" si="7"/>
        <v>19</v>
      </c>
      <c r="BI20" s="173" t="str">
        <f t="shared" ca="1" si="7"/>
        <v>ALE</v>
      </c>
    </row>
    <row r="21" spans="1:61" ht="13.8" x14ac:dyDescent="0.25">
      <c r="A21" s="223" t="s">
        <v>225</v>
      </c>
      <c r="B21" s="224" t="s">
        <v>140</v>
      </c>
      <c r="C21" s="224">
        <v>19</v>
      </c>
      <c r="D21" s="224" t="s">
        <v>226</v>
      </c>
      <c r="E21" s="225" t="str">
        <f t="shared" ca="1" si="8"/>
        <v>R</v>
      </c>
      <c r="F21" s="348"/>
      <c r="G21" s="349">
        <f t="shared" ca="1" si="1"/>
        <v>9</v>
      </c>
      <c r="H21" s="350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263</v>
      </c>
      <c r="AR21" s="207" t="s">
        <v>140</v>
      </c>
      <c r="AS21" s="207">
        <v>19</v>
      </c>
      <c r="AT21" s="207" t="s">
        <v>264</v>
      </c>
      <c r="AV21" s="168">
        <f t="shared" si="21"/>
        <v>14</v>
      </c>
      <c r="AW21" s="168">
        <f>COUNTIF( AV$7:AV21, AV21 )</f>
        <v>6</v>
      </c>
      <c r="AX21" s="208">
        <f t="shared" si="22"/>
        <v>14.6</v>
      </c>
      <c r="AY21" s="168">
        <f t="shared" si="23"/>
        <v>19</v>
      </c>
      <c r="AZ21" s="169"/>
      <c r="BA21" s="169"/>
      <c r="BC21" s="168">
        <f t="shared" ca="1" si="24"/>
        <v>15</v>
      </c>
      <c r="BD21" s="209">
        <f t="shared" ca="1" si="6"/>
        <v>3</v>
      </c>
      <c r="BF21" s="173" t="str">
        <f t="shared" ca="1" si="7"/>
        <v>Ameren Corporation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AEE</v>
      </c>
    </row>
    <row r="22" spans="1:61" ht="13.8" x14ac:dyDescent="0.25">
      <c r="A22" s="223" t="s">
        <v>215</v>
      </c>
      <c r="B22" s="224" t="s">
        <v>140</v>
      </c>
      <c r="C22" s="224">
        <v>19</v>
      </c>
      <c r="D22" s="224" t="s">
        <v>216</v>
      </c>
      <c r="E22" s="225" t="str">
        <f t="shared" ca="1" si="8"/>
        <v>MR</v>
      </c>
      <c r="F22" s="348"/>
      <c r="G22" s="349">
        <f t="shared" ca="1" si="1"/>
        <v>61</v>
      </c>
      <c r="H22" s="350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265</v>
      </c>
      <c r="AR22" s="207" t="s">
        <v>140</v>
      </c>
      <c r="AS22" s="207">
        <v>19</v>
      </c>
      <c r="AT22" s="207" t="s">
        <v>266</v>
      </c>
      <c r="AV22" s="168">
        <f t="shared" si="21"/>
        <v>14</v>
      </c>
      <c r="AW22" s="168">
        <f>COUNTIF( AV$7:AV22, AV22 )</f>
        <v>7</v>
      </c>
      <c r="AX22" s="208">
        <f t="shared" si="22"/>
        <v>14.7</v>
      </c>
      <c r="AY22" s="168">
        <f t="shared" si="23"/>
        <v>20</v>
      </c>
      <c r="AZ22" s="169"/>
      <c r="BA22" s="169"/>
      <c r="BC22" s="168">
        <f t="shared" ca="1" si="24"/>
        <v>16</v>
      </c>
      <c r="BD22" s="209">
        <f t="shared" ca="1" si="6"/>
        <v>6</v>
      </c>
      <c r="BF22" s="173" t="str">
        <f t="shared" ca="1" si="7"/>
        <v>Berkshire Energy Holdings Company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**BRK</v>
      </c>
    </row>
    <row r="23" spans="1:61" ht="13.8" x14ac:dyDescent="0.25">
      <c r="A23" s="223" t="s">
        <v>254</v>
      </c>
      <c r="B23" s="224" t="s">
        <v>140</v>
      </c>
      <c r="C23" s="224">
        <v>19</v>
      </c>
      <c r="D23" s="224" t="s">
        <v>378</v>
      </c>
      <c r="E23" s="225" t="str">
        <f t="shared" ca="1" si="8"/>
        <v>R</v>
      </c>
      <c r="F23" s="348"/>
      <c r="G23" s="349">
        <f t="shared" ca="1" si="1"/>
        <v>14</v>
      </c>
      <c r="H23" s="350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328</v>
      </c>
      <c r="AR23" s="207" t="s">
        <v>141</v>
      </c>
      <c r="AS23" s="207">
        <v>18</v>
      </c>
      <c r="AT23" s="207" t="s">
        <v>331</v>
      </c>
      <c r="AV23" s="168">
        <f t="shared" si="21"/>
        <v>29</v>
      </c>
      <c r="AW23" s="168">
        <f>COUNTIF( AV$7:AV23, AV23 )</f>
        <v>5</v>
      </c>
      <c r="AX23" s="208">
        <f t="shared" si="22"/>
        <v>29.5</v>
      </c>
      <c r="AY23" s="168">
        <f t="shared" si="23"/>
        <v>33</v>
      </c>
      <c r="AZ23" s="169"/>
      <c r="BA23" s="169"/>
      <c r="BC23" s="168">
        <f t="shared" ca="1" si="24"/>
        <v>17</v>
      </c>
      <c r="BD23" s="209">
        <f t="shared" ca="1" si="6"/>
        <v>9</v>
      </c>
      <c r="BF23" s="173" t="str">
        <f t="shared" ca="1" si="7"/>
        <v>Cleco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CNL</v>
      </c>
    </row>
    <row r="24" spans="1:61" ht="13.8" x14ac:dyDescent="0.25">
      <c r="A24" s="223" t="s">
        <v>261</v>
      </c>
      <c r="B24" s="224" t="s">
        <v>140</v>
      </c>
      <c r="C24" s="224">
        <v>19</v>
      </c>
      <c r="D24" s="224" t="s">
        <v>262</v>
      </c>
      <c r="E24" s="225" t="str">
        <f t="shared" ca="1" si="8"/>
        <v>R</v>
      </c>
      <c r="F24" s="348"/>
      <c r="G24" s="349">
        <f t="shared" ca="1" si="1"/>
        <v>18</v>
      </c>
      <c r="H24" s="350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367</v>
      </c>
      <c r="AR24" s="207" t="s">
        <v>141</v>
      </c>
      <c r="AS24" s="207">
        <v>18</v>
      </c>
      <c r="AT24" s="207" t="s">
        <v>368</v>
      </c>
      <c r="AV24" s="168">
        <f t="shared" si="21"/>
        <v>29</v>
      </c>
      <c r="AW24" s="168">
        <f>COUNTIF( AV$7:AV24, AV24 )</f>
        <v>6</v>
      </c>
      <c r="AX24" s="208">
        <f t="shared" si="22"/>
        <v>29.6</v>
      </c>
      <c r="AY24" s="168">
        <f t="shared" si="23"/>
        <v>34</v>
      </c>
      <c r="AZ24" s="169"/>
      <c r="BA24" s="169"/>
      <c r="BC24" s="168">
        <f t="shared" ca="1" si="24"/>
        <v>18</v>
      </c>
      <c r="BD24" s="209">
        <f t="shared" ca="1" si="6"/>
        <v>14</v>
      </c>
      <c r="BF24" s="173" t="str">
        <f t="shared" ca="1" si="7"/>
        <v>DTE Energy Company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DTE</v>
      </c>
    </row>
    <row r="25" spans="1:61" ht="13.8" x14ac:dyDescent="0.25">
      <c r="A25" s="223" t="s">
        <v>263</v>
      </c>
      <c r="B25" s="224" t="s">
        <v>140</v>
      </c>
      <c r="C25" s="224">
        <v>19</v>
      </c>
      <c r="D25" s="224" t="s">
        <v>264</v>
      </c>
      <c r="E25" s="225" t="str">
        <f t="shared" ca="1" si="8"/>
        <v>R</v>
      </c>
      <c r="F25" s="348"/>
      <c r="G25" s="349">
        <f t="shared" ca="1" si="1"/>
        <v>19</v>
      </c>
      <c r="H25" s="350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267</v>
      </c>
      <c r="AR25" s="207" t="s">
        <v>141</v>
      </c>
      <c r="AS25" s="207">
        <v>18</v>
      </c>
      <c r="AT25" s="207" t="s">
        <v>268</v>
      </c>
      <c r="AV25" s="168">
        <f t="shared" si="21"/>
        <v>29</v>
      </c>
      <c r="AW25" s="168">
        <f>COUNTIF( AV$7:AV25, AV25 )</f>
        <v>7</v>
      </c>
      <c r="AX25" s="208">
        <f t="shared" si="22"/>
        <v>29.7</v>
      </c>
      <c r="AY25" s="168">
        <f t="shared" si="23"/>
        <v>35</v>
      </c>
      <c r="AZ25" s="169"/>
      <c r="BA25" s="169"/>
      <c r="BC25" s="168">
        <f t="shared" ca="1" si="24"/>
        <v>19</v>
      </c>
      <c r="BD25" s="209">
        <f t="shared" ca="1" si="6"/>
        <v>15</v>
      </c>
      <c r="BF25" s="173" t="str">
        <f t="shared" ca="1" si="7"/>
        <v>Duke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DUK</v>
      </c>
    </row>
    <row r="26" spans="1:61" ht="13.8" x14ac:dyDescent="0.25">
      <c r="A26" s="223" t="s">
        <v>265</v>
      </c>
      <c r="B26" s="224" t="s">
        <v>140</v>
      </c>
      <c r="C26" s="224">
        <v>19</v>
      </c>
      <c r="D26" s="224" t="s">
        <v>266</v>
      </c>
      <c r="E26" s="225" t="str">
        <f t="shared" ca="1" si="8"/>
        <v>R</v>
      </c>
      <c r="F26" s="348"/>
      <c r="G26" s="349">
        <f t="shared" ca="1" si="1"/>
        <v>20</v>
      </c>
      <c r="H26" s="350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269</v>
      </c>
      <c r="AR26" s="207" t="s">
        <v>141</v>
      </c>
      <c r="AS26" s="207">
        <v>18</v>
      </c>
      <c r="AT26" s="207" t="s">
        <v>270</v>
      </c>
      <c r="AV26" s="168">
        <f t="shared" si="21"/>
        <v>29</v>
      </c>
      <c r="AW26" s="168">
        <f>COUNTIF( AV$7:AV26, AV26 )</f>
        <v>8</v>
      </c>
      <c r="AX26" s="208">
        <f t="shared" si="22"/>
        <v>29.8</v>
      </c>
      <c r="AY26" s="168">
        <f t="shared" si="23"/>
        <v>36</v>
      </c>
      <c r="AZ26" s="169"/>
      <c r="BA26" s="169"/>
      <c r="BC26" s="168">
        <f t="shared" ca="1" si="24"/>
        <v>20</v>
      </c>
      <c r="BD26" s="209">
        <f t="shared" ca="1" si="6"/>
        <v>16</v>
      </c>
      <c r="BF26" s="173" t="str">
        <f t="shared" ca="1" si="7"/>
        <v>Edison International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EIX</v>
      </c>
    </row>
    <row r="27" spans="1:61" ht="13.8" x14ac:dyDescent="0.25">
      <c r="A27" s="223" t="s">
        <v>352</v>
      </c>
      <c r="B27" s="224" t="s">
        <v>140</v>
      </c>
      <c r="C27" s="224">
        <v>19</v>
      </c>
      <c r="D27" s="224" t="s">
        <v>353</v>
      </c>
      <c r="E27" s="225" t="str">
        <f t="shared" ca="1" si="8"/>
        <v>R</v>
      </c>
      <c r="F27" s="348"/>
      <c r="G27" s="349">
        <f t="shared" ca="1" si="1"/>
        <v>26</v>
      </c>
      <c r="H27" s="350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275</v>
      </c>
      <c r="AR27" s="207" t="s">
        <v>142</v>
      </c>
      <c r="AS27" s="207">
        <v>17</v>
      </c>
      <c r="AT27" s="207" t="s">
        <v>276</v>
      </c>
      <c r="AV27" s="168">
        <f t="shared" si="21"/>
        <v>46</v>
      </c>
      <c r="AW27" s="168">
        <f>COUNTIF( AV$7:AV27, AV27 )</f>
        <v>1</v>
      </c>
      <c r="AX27" s="208">
        <f t="shared" si="22"/>
        <v>46.1</v>
      </c>
      <c r="AY27" s="168">
        <f t="shared" si="23"/>
        <v>46</v>
      </c>
      <c r="AZ27" s="169"/>
      <c r="BA27" s="169"/>
      <c r="BC27" s="168">
        <f t="shared" ca="1" si="24"/>
        <v>21</v>
      </c>
      <c r="BD27" s="209">
        <f t="shared" ca="1" si="6"/>
        <v>22</v>
      </c>
      <c r="BF27" s="173" t="str">
        <f t="shared" ca="1" si="7"/>
        <v>Great Plains Energy Inc.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GXP</v>
      </c>
    </row>
    <row r="28" spans="1:61" ht="13.8" x14ac:dyDescent="0.25">
      <c r="A28" s="223" t="s">
        <v>271</v>
      </c>
      <c r="B28" s="224" t="s">
        <v>140</v>
      </c>
      <c r="C28" s="224">
        <v>19</v>
      </c>
      <c r="D28" s="224" t="s">
        <v>272</v>
      </c>
      <c r="E28" s="225" t="str">
        <f t="shared" ca="1" si="8"/>
        <v>D</v>
      </c>
      <c r="F28" s="348"/>
      <c r="G28" s="349">
        <f t="shared" ca="1" si="1"/>
        <v>30</v>
      </c>
      <c r="H28" s="350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352</v>
      </c>
      <c r="AR28" s="207" t="s">
        <v>140</v>
      </c>
      <c r="AS28" s="207">
        <v>19</v>
      </c>
      <c r="AT28" s="207" t="s">
        <v>353</v>
      </c>
      <c r="AV28" s="168">
        <f t="shared" si="21"/>
        <v>14</v>
      </c>
      <c r="AW28" s="168">
        <f>COUNTIF( AV$7:AV28, AV28 )</f>
        <v>8</v>
      </c>
      <c r="AX28" s="208">
        <f t="shared" si="22"/>
        <v>14.8</v>
      </c>
      <c r="AY28" s="168">
        <f t="shared" si="23"/>
        <v>21</v>
      </c>
      <c r="AZ28" s="169"/>
      <c r="BA28" s="169"/>
      <c r="BC28" s="168">
        <f t="shared" ca="1" si="24"/>
        <v>22</v>
      </c>
      <c r="BD28" s="209">
        <f t="shared" ca="1" si="6"/>
        <v>28</v>
      </c>
      <c r="BF28" s="173" t="str">
        <f t="shared" ca="1" si="7"/>
        <v>MDU Resources Group, Inc.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MDU</v>
      </c>
    </row>
    <row r="29" spans="1:61" ht="13.8" x14ac:dyDescent="0.25">
      <c r="A29" s="223" t="s">
        <v>382</v>
      </c>
      <c r="B29" s="224" t="s">
        <v>140</v>
      </c>
      <c r="C29" s="224">
        <v>19</v>
      </c>
      <c r="D29" s="224" t="s">
        <v>383</v>
      </c>
      <c r="E29" s="225" t="str">
        <f t="shared" ca="1" si="8"/>
        <v>R</v>
      </c>
      <c r="F29" s="348"/>
      <c r="G29" s="349">
        <f t="shared" ca="1" si="1"/>
        <v>38</v>
      </c>
      <c r="H29" s="350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279</v>
      </c>
      <c r="AR29" s="207" t="s">
        <v>142</v>
      </c>
      <c r="AS29" s="207">
        <v>17</v>
      </c>
      <c r="AT29" s="207" t="s">
        <v>280</v>
      </c>
      <c r="AV29" s="168">
        <f t="shared" si="21"/>
        <v>46</v>
      </c>
      <c r="AW29" s="168">
        <f>COUNTIF( AV$7:AV29, AV29 )</f>
        <v>2</v>
      </c>
      <c r="AX29" s="208">
        <f t="shared" si="22"/>
        <v>46.2</v>
      </c>
      <c r="AY29" s="168">
        <f t="shared" si="23"/>
        <v>47</v>
      </c>
      <c r="AZ29" s="169"/>
      <c r="BA29" s="169"/>
      <c r="BC29" s="168">
        <f t="shared" ca="1" si="24"/>
        <v>23</v>
      </c>
      <c r="BD29" s="209">
        <f t="shared" ca="1" si="6"/>
        <v>35</v>
      </c>
      <c r="BF29" s="173" t="str">
        <f t="shared" ca="1" si="7"/>
        <v>Pepco Holdings, Inc.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POM</v>
      </c>
    </row>
    <row r="30" spans="1:61" ht="13.8" x14ac:dyDescent="0.25">
      <c r="A30" s="223" t="s">
        <v>289</v>
      </c>
      <c r="B30" s="224" t="s">
        <v>140</v>
      </c>
      <c r="C30" s="224">
        <v>19</v>
      </c>
      <c r="D30" s="224" t="s">
        <v>290</v>
      </c>
      <c r="E30" s="225" t="str">
        <f t="shared" ca="1" si="8"/>
        <v>MR</v>
      </c>
      <c r="F30" s="348"/>
      <c r="G30" s="349">
        <f t="shared" ca="1" si="1"/>
        <v>44</v>
      </c>
      <c r="H30" s="350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387</v>
      </c>
      <c r="AR30" s="207" t="s">
        <v>141</v>
      </c>
      <c r="AS30" s="207">
        <v>18</v>
      </c>
      <c r="AT30" s="207" t="s">
        <v>388</v>
      </c>
      <c r="AV30" s="168">
        <f t="shared" si="21"/>
        <v>29</v>
      </c>
      <c r="AW30" s="168">
        <f>COUNTIF( AV$7:AV30, AV30 )</f>
        <v>9</v>
      </c>
      <c r="AX30" s="208">
        <f t="shared" si="22"/>
        <v>29.9</v>
      </c>
      <c r="AY30" s="168">
        <f t="shared" si="23"/>
        <v>37</v>
      </c>
      <c r="AZ30" s="169"/>
      <c r="BA30" s="169"/>
      <c r="BC30" s="168">
        <f t="shared" ca="1" si="24"/>
        <v>24</v>
      </c>
      <c r="BD30" s="209">
        <f t="shared" ca="1" si="6"/>
        <v>41</v>
      </c>
      <c r="BF30" s="173" t="str">
        <f t="shared" ca="1" si="7"/>
        <v>Public Service Enterprise Group Incorporated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PEG</v>
      </c>
    </row>
    <row r="31" spans="1:61" ht="13.8" x14ac:dyDescent="0.25">
      <c r="A31" s="223" t="s">
        <v>347</v>
      </c>
      <c r="B31" s="224" t="s">
        <v>140</v>
      </c>
      <c r="C31" s="224">
        <v>19</v>
      </c>
      <c r="D31" s="224" t="s">
        <v>348</v>
      </c>
      <c r="E31" s="225" t="str">
        <f t="shared" ca="1" si="8"/>
        <v>MR</v>
      </c>
      <c r="F31" s="348"/>
      <c r="G31" s="349">
        <f t="shared" ca="1" si="1"/>
        <v>45</v>
      </c>
      <c r="H31" s="350"/>
      <c r="I31" s="237"/>
      <c r="J31" s="191"/>
      <c r="K31" s="237"/>
      <c r="N31" s="237"/>
      <c r="O31" s="351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283</v>
      </c>
      <c r="AR31" s="207" t="s">
        <v>141</v>
      </c>
      <c r="AS31" s="207">
        <v>18</v>
      </c>
      <c r="AT31" s="207" t="s">
        <v>284</v>
      </c>
      <c r="AV31" s="168">
        <f t="shared" si="21"/>
        <v>29</v>
      </c>
      <c r="AW31" s="168">
        <f>COUNTIF( AV$7:AV31, AV31 )</f>
        <v>10</v>
      </c>
      <c r="AX31" s="208">
        <f t="shared" si="22"/>
        <v>30</v>
      </c>
      <c r="AY31" s="168">
        <f t="shared" si="23"/>
        <v>38</v>
      </c>
      <c r="AZ31" s="169"/>
      <c r="BA31" s="169"/>
      <c r="BC31" s="168">
        <f t="shared" ca="1" si="24"/>
        <v>25</v>
      </c>
      <c r="BD31" s="209">
        <f t="shared" ca="1" si="6"/>
        <v>43</v>
      </c>
      <c r="BF31" s="173" t="str">
        <f t="shared" ca="1" si="7"/>
        <v>SCANA Corporation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SCG</v>
      </c>
    </row>
    <row r="32" spans="1:61" ht="13.8" x14ac:dyDescent="0.25">
      <c r="A32" s="223" t="s">
        <v>291</v>
      </c>
      <c r="B32" s="224" t="s">
        <v>140</v>
      </c>
      <c r="C32" s="224">
        <v>19</v>
      </c>
      <c r="D32" s="224" t="s">
        <v>292</v>
      </c>
      <c r="E32" s="225" t="str">
        <f t="shared" ca="1" si="8"/>
        <v>MR</v>
      </c>
      <c r="F32" s="348"/>
      <c r="G32" s="349">
        <f t="shared" ca="1" si="1"/>
        <v>46</v>
      </c>
      <c r="H32" s="350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32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395</v>
      </c>
      <c r="AR32" s="207" t="s">
        <v>139</v>
      </c>
      <c r="AS32" s="207">
        <v>20</v>
      </c>
      <c r="AT32" s="207" t="s">
        <v>396</v>
      </c>
      <c r="AV32" s="168">
        <f t="shared" si="21"/>
        <v>2</v>
      </c>
      <c r="AW32" s="168">
        <f>COUNTIF( AV$7:AV32, AV32 )</f>
        <v>5</v>
      </c>
      <c r="AX32" s="208">
        <f t="shared" si="22"/>
        <v>2.5</v>
      </c>
      <c r="AY32" s="168">
        <f t="shared" si="23"/>
        <v>6</v>
      </c>
      <c r="AZ32" s="169"/>
      <c r="BA32" s="169"/>
      <c r="BC32" s="168">
        <f t="shared" ca="1" si="24"/>
        <v>26</v>
      </c>
      <c r="BD32" s="209">
        <f t="shared" ca="1" si="6"/>
        <v>44</v>
      </c>
      <c r="BF32" s="173" t="str">
        <f t="shared" ca="1" si="7"/>
        <v>Sempra Energy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SRE</v>
      </c>
    </row>
    <row r="33" spans="1:61" ht="13.8" x14ac:dyDescent="0.25">
      <c r="A33" s="223" t="s">
        <v>369</v>
      </c>
      <c r="B33" s="224" t="s">
        <v>140</v>
      </c>
      <c r="C33" s="224">
        <v>19</v>
      </c>
      <c r="D33" s="224" t="s">
        <v>375</v>
      </c>
      <c r="E33" s="225" t="str">
        <f t="shared" ca="1" si="8"/>
        <v>R</v>
      </c>
      <c r="F33" s="348"/>
      <c r="G33" s="349">
        <f t="shared" ca="1" si="1"/>
        <v>48</v>
      </c>
      <c r="H33" s="350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33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287</v>
      </c>
      <c r="AR33" s="207" t="s">
        <v>173</v>
      </c>
      <c r="AS33" s="207">
        <v>16</v>
      </c>
      <c r="AT33" s="207" t="s">
        <v>288</v>
      </c>
      <c r="AV33" s="168">
        <f t="shared" si="21"/>
        <v>50</v>
      </c>
      <c r="AW33" s="168">
        <f>COUNTIF( AV$7:AV33, AV33 )</f>
        <v>1</v>
      </c>
      <c r="AX33" s="208">
        <f t="shared" si="22"/>
        <v>50.1</v>
      </c>
      <c r="AY33" s="168">
        <f t="shared" si="23"/>
        <v>50</v>
      </c>
      <c r="AZ33" s="169"/>
      <c r="BA33" s="169"/>
      <c r="BC33" s="168">
        <f t="shared" ca="1" si="24"/>
        <v>27</v>
      </c>
      <c r="BD33" s="209">
        <f t="shared" ca="1" si="6"/>
        <v>46</v>
      </c>
      <c r="BF33" s="173" t="str">
        <f t="shared" ca="1" si="7"/>
        <v>TECO Energy, Inc.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TE</v>
      </c>
    </row>
    <row r="34" spans="1:61" ht="13.8" x14ac:dyDescent="0.25">
      <c r="A34" s="223" t="s">
        <v>354</v>
      </c>
      <c r="B34" s="224" t="s">
        <v>140</v>
      </c>
      <c r="C34" s="224">
        <v>19</v>
      </c>
      <c r="D34" s="224" t="s">
        <v>355</v>
      </c>
      <c r="E34" s="225" t="str">
        <f t="shared" ca="1" si="8"/>
        <v>R</v>
      </c>
      <c r="F34" s="348"/>
      <c r="G34" s="349">
        <f t="shared" ca="1" si="1"/>
        <v>53</v>
      </c>
      <c r="H34" s="350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34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271</v>
      </c>
      <c r="AR34" s="207" t="s">
        <v>140</v>
      </c>
      <c r="AS34" s="207">
        <v>19</v>
      </c>
      <c r="AT34" s="207" t="s">
        <v>272</v>
      </c>
      <c r="AV34" s="168">
        <f t="shared" si="21"/>
        <v>14</v>
      </c>
      <c r="AW34" s="168">
        <f>COUNTIF( AV$7:AV34, AV34 )</f>
        <v>9</v>
      </c>
      <c r="AX34" s="208">
        <f t="shared" si="22"/>
        <v>14.9</v>
      </c>
      <c r="AY34" s="168">
        <f t="shared" si="23"/>
        <v>22</v>
      </c>
      <c r="AZ34" s="169"/>
      <c r="BA34" s="169"/>
      <c r="BC34" s="168">
        <f t="shared" ca="1" si="24"/>
        <v>28</v>
      </c>
      <c r="BD34" s="209">
        <f t="shared" ca="1" si="6"/>
        <v>49</v>
      </c>
      <c r="BF34" s="173" t="str">
        <f t="shared" ca="1" si="7"/>
        <v>Westar Energy, Inc.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WR</v>
      </c>
    </row>
    <row r="35" spans="1:61" ht="13.8" x14ac:dyDescent="0.25">
      <c r="A35" s="223" t="s">
        <v>222</v>
      </c>
      <c r="B35" s="224" t="s">
        <v>141</v>
      </c>
      <c r="C35" s="224">
        <v>18</v>
      </c>
      <c r="D35" s="224" t="s">
        <v>223</v>
      </c>
      <c r="E35" s="225" t="str">
        <f t="shared" ca="1" si="8"/>
        <v>R</v>
      </c>
      <c r="F35" s="348"/>
      <c r="G35" s="349">
        <f t="shared" ca="1" si="1"/>
        <v>10</v>
      </c>
      <c r="H35" s="350"/>
      <c r="I35" s="237"/>
      <c r="K35" s="237"/>
      <c r="N35" s="237"/>
      <c r="Q35" s="237"/>
      <c r="T35" s="237"/>
      <c r="W35" s="237"/>
      <c r="AF35" s="169">
        <f t="shared" si="2"/>
        <v>0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35</v>
      </c>
      <c r="AK35" s="169" t="str">
        <f t="shared" ca="1" si="20"/>
        <v>BBB</v>
      </c>
      <c r="AL35" s="169">
        <f t="shared" ca="1" si="20"/>
        <v>18</v>
      </c>
      <c r="AM35" s="169" t="str">
        <f t="shared" ca="1" si="4"/>
        <v/>
      </c>
      <c r="AQ35" s="207" t="s">
        <v>240</v>
      </c>
      <c r="AR35" s="207" t="s">
        <v>139</v>
      </c>
      <c r="AS35" s="207">
        <v>20</v>
      </c>
      <c r="AT35" s="207" t="s">
        <v>241</v>
      </c>
      <c r="AV35" s="168">
        <f t="shared" si="21"/>
        <v>2</v>
      </c>
      <c r="AW35" s="168">
        <f>COUNTIF( AV$7:AV35, AV35 )</f>
        <v>6</v>
      </c>
      <c r="AX35" s="208">
        <f t="shared" si="22"/>
        <v>2.6</v>
      </c>
      <c r="AY35" s="168">
        <f t="shared" si="23"/>
        <v>7</v>
      </c>
      <c r="AZ35" s="169"/>
      <c r="BA35" s="169"/>
      <c r="BC35" s="168">
        <f t="shared" ca="1" si="24"/>
        <v>29</v>
      </c>
      <c r="BD35" s="209">
        <f t="shared" ca="1" si="6"/>
        <v>4</v>
      </c>
      <c r="BF35" s="173" t="str">
        <f t="shared" ca="1" si="7"/>
        <v>American Electric Power Company, Inc.</v>
      </c>
      <c r="BG35" s="173" t="str">
        <f t="shared" ca="1" si="7"/>
        <v>BBB</v>
      </c>
      <c r="BH35" s="173">
        <f t="shared" ca="1" si="7"/>
        <v>18</v>
      </c>
      <c r="BI35" s="173" t="str">
        <f t="shared" ca="1" si="7"/>
        <v>AEP</v>
      </c>
    </row>
    <row r="36" spans="1:61" ht="13.8" x14ac:dyDescent="0.25">
      <c r="A36" s="223" t="s">
        <v>238</v>
      </c>
      <c r="B36" s="224" t="s">
        <v>141</v>
      </c>
      <c r="C36" s="224">
        <v>18</v>
      </c>
      <c r="D36" s="224" t="s">
        <v>239</v>
      </c>
      <c r="E36" s="225" t="str">
        <f t="shared" ca="1" si="8"/>
        <v>R</v>
      </c>
      <c r="F36" s="348"/>
      <c r="G36" s="349">
        <f t="shared" ca="1" si="1"/>
        <v>11</v>
      </c>
      <c r="H36" s="350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36</v>
      </c>
      <c r="AK36" s="169" t="str">
        <f t="shared" ca="1" si="20"/>
        <v>BBB</v>
      </c>
      <c r="AL36" s="169">
        <f t="shared" ca="1" si="20"/>
        <v>18</v>
      </c>
      <c r="AM36" s="169" t="str">
        <f t="shared" ca="1" si="4"/>
        <v/>
      </c>
      <c r="AQ36" s="207" t="s">
        <v>273</v>
      </c>
      <c r="AR36" s="207" t="s">
        <v>142</v>
      </c>
      <c r="AS36" s="207">
        <v>17</v>
      </c>
      <c r="AT36" s="207" t="s">
        <v>274</v>
      </c>
      <c r="AV36" s="168">
        <f t="shared" si="21"/>
        <v>46</v>
      </c>
      <c r="AW36" s="168">
        <f>COUNTIF( AV$7:AV36, AV36 )</f>
        <v>3</v>
      </c>
      <c r="AX36" s="208">
        <f t="shared" si="22"/>
        <v>46.3</v>
      </c>
      <c r="AY36" s="168">
        <f t="shared" si="23"/>
        <v>48</v>
      </c>
      <c r="AZ36" s="169"/>
      <c r="BA36" s="169"/>
      <c r="BC36" s="168">
        <f t="shared" ca="1" si="24"/>
        <v>30</v>
      </c>
      <c r="BD36" s="209">
        <f t="shared" ca="1" si="6"/>
        <v>5</v>
      </c>
      <c r="BF36" s="173" t="str">
        <f t="shared" ca="1" si="7"/>
        <v>Avista Corporation</v>
      </c>
      <c r="BG36" s="173" t="str">
        <f t="shared" ca="1" si="7"/>
        <v>BBB</v>
      </c>
      <c r="BH36" s="173">
        <f t="shared" ca="1" si="7"/>
        <v>18</v>
      </c>
      <c r="BI36" s="173" t="str">
        <f t="shared" ca="1" si="7"/>
        <v>AVA</v>
      </c>
    </row>
    <row r="37" spans="1:61" ht="13.8" x14ac:dyDescent="0.25">
      <c r="A37" s="223" t="s">
        <v>245</v>
      </c>
      <c r="B37" s="224" t="s">
        <v>141</v>
      </c>
      <c r="C37" s="224">
        <v>18</v>
      </c>
      <c r="D37" s="224" t="s">
        <v>246</v>
      </c>
      <c r="E37" s="225" t="str">
        <f t="shared" ca="1" si="8"/>
        <v>R</v>
      </c>
      <c r="F37" s="348"/>
      <c r="G37" s="349">
        <f t="shared" ca="1" si="1"/>
        <v>12</v>
      </c>
      <c r="H37" s="350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37</v>
      </c>
      <c r="AK37" s="169" t="str">
        <f t="shared" ca="1" si="20"/>
        <v>BBB</v>
      </c>
      <c r="AL37" s="169">
        <f t="shared" ca="1" si="20"/>
        <v>18</v>
      </c>
      <c r="AM37" s="169" t="str">
        <f t="shared" ca="1" si="4"/>
        <v/>
      </c>
      <c r="AQ37" s="207" t="s">
        <v>394</v>
      </c>
      <c r="AR37" s="207" t="s">
        <v>139</v>
      </c>
      <c r="AS37" s="207">
        <v>20</v>
      </c>
      <c r="AT37" s="207" t="s">
        <v>236</v>
      </c>
      <c r="AV37" s="168">
        <f t="shared" si="21"/>
        <v>2</v>
      </c>
      <c r="AW37" s="168">
        <f>COUNTIF( AV$7:AV37, AV37 )</f>
        <v>7</v>
      </c>
      <c r="AX37" s="208">
        <f t="shared" si="22"/>
        <v>2.7</v>
      </c>
      <c r="AY37" s="168">
        <f t="shared" si="23"/>
        <v>8</v>
      </c>
      <c r="AZ37" s="169"/>
      <c r="BA37" s="169"/>
      <c r="BC37" s="168">
        <f t="shared" ca="1" si="24"/>
        <v>31</v>
      </c>
      <c r="BD37" s="209">
        <f t="shared" ca="1" si="6"/>
        <v>7</v>
      </c>
      <c r="BF37" s="173" t="str">
        <f t="shared" ca="1" si="7"/>
        <v>Black Hills Corporation</v>
      </c>
      <c r="BG37" s="173" t="str">
        <f t="shared" ca="1" si="7"/>
        <v>BBB</v>
      </c>
      <c r="BH37" s="173">
        <f t="shared" ca="1" si="7"/>
        <v>18</v>
      </c>
      <c r="BI37" s="173" t="str">
        <f t="shared" ca="1" si="7"/>
        <v>BKH</v>
      </c>
    </row>
    <row r="38" spans="1:61" ht="13.8" x14ac:dyDescent="0.25">
      <c r="A38" s="223" t="s">
        <v>256</v>
      </c>
      <c r="B38" s="224" t="s">
        <v>141</v>
      </c>
      <c r="C38" s="224">
        <v>18</v>
      </c>
      <c r="D38" s="224" t="s">
        <v>257</v>
      </c>
      <c r="E38" s="225" t="str">
        <f t="shared" ca="1" si="8"/>
        <v>R</v>
      </c>
      <c r="F38" s="348"/>
      <c r="G38" s="349">
        <f t="shared" ca="1" si="1"/>
        <v>15</v>
      </c>
      <c r="H38" s="350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38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297</v>
      </c>
      <c r="AR38" s="207" t="s">
        <v>141</v>
      </c>
      <c r="AS38" s="207">
        <v>18</v>
      </c>
      <c r="AT38" s="207" t="s">
        <v>298</v>
      </c>
      <c r="AV38" s="168">
        <f t="shared" si="21"/>
        <v>29</v>
      </c>
      <c r="AW38" s="168">
        <f>COUNTIF( AV$7:AV38, AV38 )</f>
        <v>11</v>
      </c>
      <c r="AX38" s="208">
        <f t="shared" si="22"/>
        <v>30.1</v>
      </c>
      <c r="AY38" s="168">
        <f t="shared" si="23"/>
        <v>39</v>
      </c>
      <c r="AZ38" s="169"/>
      <c r="BA38" s="169"/>
      <c r="BC38" s="168">
        <f t="shared" ca="1" si="24"/>
        <v>32</v>
      </c>
      <c r="BD38" s="209">
        <f t="shared" ca="1" si="6"/>
        <v>10</v>
      </c>
      <c r="BF38" s="173" t="str">
        <f t="shared" ca="1" si="7"/>
        <v>CMS Energy Corporation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CMS</v>
      </c>
    </row>
    <row r="39" spans="1:61" ht="13.8" x14ac:dyDescent="0.25">
      <c r="A39" s="223" t="s">
        <v>328</v>
      </c>
      <c r="B39" s="224" t="s">
        <v>141</v>
      </c>
      <c r="C39" s="224">
        <v>18</v>
      </c>
      <c r="D39" s="224" t="s">
        <v>331</v>
      </c>
      <c r="E39" s="225" t="str">
        <f t="shared" ca="1" si="8"/>
        <v>R</v>
      </c>
      <c r="F39" s="348"/>
      <c r="G39" s="349">
        <f t="shared" ca="1" si="1"/>
        <v>21</v>
      </c>
      <c r="H39" s="350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39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277</v>
      </c>
      <c r="AR39" s="207" t="s">
        <v>139</v>
      </c>
      <c r="AS39" s="207">
        <v>20</v>
      </c>
      <c r="AT39" s="207" t="s">
        <v>278</v>
      </c>
      <c r="AV39" s="168">
        <f t="shared" si="21"/>
        <v>2</v>
      </c>
      <c r="AW39" s="168">
        <f>COUNTIF( AV$7:AV39, AV39 )</f>
        <v>8</v>
      </c>
      <c r="AX39" s="208">
        <f t="shared" si="22"/>
        <v>2.8</v>
      </c>
      <c r="AY39" s="168">
        <f t="shared" si="23"/>
        <v>9</v>
      </c>
      <c r="AZ39" s="169"/>
      <c r="BA39" s="169"/>
      <c r="BC39" s="168">
        <f t="shared" ca="1" si="24"/>
        <v>33</v>
      </c>
      <c r="BD39" s="209">
        <f t="shared" ca="1" si="6"/>
        <v>17</v>
      </c>
      <c r="BF39" s="173" t="str">
        <f t="shared" ref="BF39:BI63" ca="1" si="25">OFFSET( AQ$6, $BD39, 0 )</f>
        <v>El Paso Electric Company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EE</v>
      </c>
    </row>
    <row r="40" spans="1:61" ht="13.8" x14ac:dyDescent="0.25">
      <c r="A40" s="223" t="s">
        <v>367</v>
      </c>
      <c r="B40" s="224" t="s">
        <v>141</v>
      </c>
      <c r="C40" s="224">
        <v>18</v>
      </c>
      <c r="D40" s="224" t="s">
        <v>368</v>
      </c>
      <c r="E40" s="225" t="str">
        <f t="shared" ca="1" si="8"/>
        <v>R</v>
      </c>
      <c r="F40" s="348"/>
      <c r="G40" s="349">
        <f t="shared" ca="1" si="1"/>
        <v>22</v>
      </c>
      <c r="H40" s="350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40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299</v>
      </c>
      <c r="AR40" s="207" t="s">
        <v>141</v>
      </c>
      <c r="AS40" s="207">
        <v>18</v>
      </c>
      <c r="AT40" s="207" t="s">
        <v>300</v>
      </c>
      <c r="AV40" s="168">
        <f t="shared" si="21"/>
        <v>29</v>
      </c>
      <c r="AW40" s="168">
        <f>COUNTIF( AV$7:AV40, AV40 )</f>
        <v>12</v>
      </c>
      <c r="AX40" s="208">
        <f t="shared" si="22"/>
        <v>30.2</v>
      </c>
      <c r="AY40" s="168">
        <f t="shared" si="23"/>
        <v>40</v>
      </c>
      <c r="AZ40" s="169"/>
      <c r="BA40" s="169"/>
      <c r="BC40" s="168">
        <f t="shared" ca="1" si="24"/>
        <v>34</v>
      </c>
      <c r="BD40" s="209">
        <f t="shared" ca="1" si="6"/>
        <v>18</v>
      </c>
      <c r="BF40" s="173" t="str">
        <f t="shared" ca="1" si="25"/>
        <v>Empire District Electric Company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EDE</v>
      </c>
    </row>
    <row r="41" spans="1:61" ht="13.8" x14ac:dyDescent="0.25">
      <c r="A41" s="223" t="s">
        <v>267</v>
      </c>
      <c r="B41" s="224" t="s">
        <v>141</v>
      </c>
      <c r="C41" s="224">
        <v>18</v>
      </c>
      <c r="D41" s="224" t="s">
        <v>268</v>
      </c>
      <c r="E41" s="225" t="str">
        <f t="shared" ca="1" si="8"/>
        <v>R</v>
      </c>
      <c r="F41" s="348"/>
      <c r="G41" s="349">
        <f t="shared" ca="1" si="1"/>
        <v>23</v>
      </c>
      <c r="H41" s="350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382</v>
      </c>
      <c r="AR41" s="207" t="s">
        <v>140</v>
      </c>
      <c r="AS41" s="207">
        <v>19</v>
      </c>
      <c r="AT41" s="207" t="s">
        <v>383</v>
      </c>
      <c r="AV41" s="168">
        <f t="shared" si="21"/>
        <v>14</v>
      </c>
      <c r="AW41" s="168">
        <f>COUNTIF( AV$7:AV41, AV41 )</f>
        <v>10</v>
      </c>
      <c r="AX41" s="208">
        <f t="shared" si="22"/>
        <v>15</v>
      </c>
      <c r="AY41" s="168">
        <f t="shared" si="23"/>
        <v>23</v>
      </c>
      <c r="AZ41" s="169"/>
      <c r="BA41" s="169"/>
      <c r="BC41" s="168">
        <f t="shared" ca="1" si="24"/>
        <v>35</v>
      </c>
      <c r="BD41" s="209">
        <f t="shared" ca="1" si="6"/>
        <v>19</v>
      </c>
      <c r="BF41" s="173" t="str">
        <f t="shared" ca="1" si="25"/>
        <v>Entergy Corporation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ETR</v>
      </c>
    </row>
    <row r="42" spans="1:61" ht="13.8" x14ac:dyDescent="0.25">
      <c r="A42" s="223" t="s">
        <v>269</v>
      </c>
      <c r="B42" s="224" t="s">
        <v>141</v>
      </c>
      <c r="C42" s="224">
        <v>18</v>
      </c>
      <c r="D42" s="224" t="s">
        <v>270</v>
      </c>
      <c r="E42" s="225" t="str">
        <f t="shared" ca="1" si="8"/>
        <v>MR</v>
      </c>
      <c r="F42" s="348"/>
      <c r="G42" s="349">
        <f t="shared" ca="1" si="1"/>
        <v>24</v>
      </c>
      <c r="H42" s="350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301</v>
      </c>
      <c r="AR42" s="207" t="s">
        <v>141</v>
      </c>
      <c r="AS42" s="207">
        <v>18</v>
      </c>
      <c r="AT42" s="207" t="s">
        <v>302</v>
      </c>
      <c r="AV42" s="168">
        <f t="shared" si="21"/>
        <v>29</v>
      </c>
      <c r="AW42" s="168">
        <f>COUNTIF( AV$7:AV42, AV42 )</f>
        <v>13</v>
      </c>
      <c r="AX42" s="208">
        <f t="shared" si="22"/>
        <v>30.3</v>
      </c>
      <c r="AY42" s="168">
        <f t="shared" si="23"/>
        <v>41</v>
      </c>
      <c r="AZ42" s="169"/>
      <c r="BA42" s="169"/>
      <c r="BC42" s="168">
        <f t="shared" ca="1" si="24"/>
        <v>36</v>
      </c>
      <c r="BD42" s="209">
        <f t="shared" ca="1" si="6"/>
        <v>20</v>
      </c>
      <c r="BF42" s="173" t="str">
        <f t="shared" ca="1" si="25"/>
        <v>Exelon Corporation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EXC</v>
      </c>
    </row>
    <row r="43" spans="1:61" ht="13.8" x14ac:dyDescent="0.25">
      <c r="A43" s="223" t="s">
        <v>387</v>
      </c>
      <c r="B43" s="224" t="s">
        <v>141</v>
      </c>
      <c r="C43" s="224">
        <v>18</v>
      </c>
      <c r="D43" s="224" t="s">
        <v>388</v>
      </c>
      <c r="E43" s="225" t="str">
        <f t="shared" ca="1" si="8"/>
        <v>R</v>
      </c>
      <c r="F43" s="348"/>
      <c r="G43" s="349">
        <f t="shared" ca="1" si="1"/>
        <v>57</v>
      </c>
      <c r="H43" s="350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281</v>
      </c>
      <c r="AR43" s="207" t="s">
        <v>139</v>
      </c>
      <c r="AS43" s="207">
        <v>20</v>
      </c>
      <c r="AT43" s="207" t="s">
        <v>282</v>
      </c>
      <c r="AV43" s="168">
        <f t="shared" si="21"/>
        <v>2</v>
      </c>
      <c r="AW43" s="168">
        <f>COUNTIF( AV$7:AV43, AV43 )</f>
        <v>9</v>
      </c>
      <c r="AX43" s="208">
        <f t="shared" si="22"/>
        <v>2.9</v>
      </c>
      <c r="AY43" s="168">
        <f t="shared" si="23"/>
        <v>10</v>
      </c>
      <c r="AZ43" s="169"/>
      <c r="BA43" s="169"/>
      <c r="BC43" s="168">
        <f t="shared" ca="1" si="24"/>
        <v>37</v>
      </c>
      <c r="BD43" s="209">
        <f t="shared" ca="1" si="6"/>
        <v>24</v>
      </c>
      <c r="BF43" s="173" t="str">
        <f t="shared" ca="1" si="25"/>
        <v>Iberdrola USA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**EAST</v>
      </c>
    </row>
    <row r="44" spans="1:61" ht="13.8" x14ac:dyDescent="0.25">
      <c r="A44" s="223" t="s">
        <v>283</v>
      </c>
      <c r="B44" s="224" t="s">
        <v>141</v>
      </c>
      <c r="C44" s="224">
        <v>18</v>
      </c>
      <c r="D44" s="224" t="s">
        <v>284</v>
      </c>
      <c r="E44" s="225" t="str">
        <f t="shared" ca="1" si="8"/>
        <v>R</v>
      </c>
      <c r="F44" s="348"/>
      <c r="G44" s="349">
        <f t="shared" ca="1" si="1"/>
        <v>28</v>
      </c>
      <c r="H44" s="350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303</v>
      </c>
      <c r="AR44" s="207" t="s">
        <v>141</v>
      </c>
      <c r="AS44" s="207">
        <v>18</v>
      </c>
      <c r="AT44" s="207" t="s">
        <v>304</v>
      </c>
      <c r="AV44" s="168">
        <f t="shared" si="21"/>
        <v>29</v>
      </c>
      <c r="AW44" s="168">
        <f>COUNTIF( AV$7:AV44, AV44 )</f>
        <v>14</v>
      </c>
      <c r="AX44" s="208">
        <f t="shared" si="22"/>
        <v>30.4</v>
      </c>
      <c r="AY44" s="168">
        <f t="shared" si="23"/>
        <v>42</v>
      </c>
      <c r="AZ44" s="169"/>
      <c r="BA44" s="169"/>
      <c r="BC44" s="168">
        <f t="shared" ca="1" si="24"/>
        <v>38</v>
      </c>
      <c r="BD44" s="209">
        <f t="shared" ca="1" si="6"/>
        <v>25</v>
      </c>
      <c r="BF44" s="173" t="str">
        <f t="shared" ca="1" si="25"/>
        <v>IDACORP, Inc.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IDA</v>
      </c>
    </row>
    <row r="45" spans="1:61" ht="13.8" x14ac:dyDescent="0.25">
      <c r="A45" s="223" t="s">
        <v>297</v>
      </c>
      <c r="B45" s="224" t="s">
        <v>141</v>
      </c>
      <c r="C45" s="224">
        <v>18</v>
      </c>
      <c r="D45" s="224" t="s">
        <v>298</v>
      </c>
      <c r="E45" s="225" t="str">
        <f t="shared" ca="1" si="8"/>
        <v>R</v>
      </c>
      <c r="F45" s="348"/>
      <c r="G45" s="349">
        <f t="shared" ca="1" si="1"/>
        <v>35</v>
      </c>
      <c r="H45" s="350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285</v>
      </c>
      <c r="AR45" s="207" t="s">
        <v>141</v>
      </c>
      <c r="AS45" s="207">
        <v>18</v>
      </c>
      <c r="AT45" s="207" t="s">
        <v>286</v>
      </c>
      <c r="AV45" s="168">
        <f t="shared" si="21"/>
        <v>29</v>
      </c>
      <c r="AW45" s="168">
        <f>COUNTIF( AV$7:AV45, AV45 )</f>
        <v>15</v>
      </c>
      <c r="AX45" s="208">
        <f t="shared" si="22"/>
        <v>30.5</v>
      </c>
      <c r="AY45" s="168">
        <f t="shared" si="23"/>
        <v>43</v>
      </c>
      <c r="AZ45" s="169"/>
      <c r="BA45" s="169"/>
      <c r="BC45" s="168">
        <f t="shared" ca="1" si="24"/>
        <v>39</v>
      </c>
      <c r="BD45" s="209">
        <f t="shared" ca="1" si="6"/>
        <v>32</v>
      </c>
      <c r="BF45" s="173" t="str">
        <f t="shared" ca="1" si="25"/>
        <v>NorthWestern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NWE</v>
      </c>
    </row>
    <row r="46" spans="1:61" ht="13.8" x14ac:dyDescent="0.25">
      <c r="A46" s="223" t="s">
        <v>299</v>
      </c>
      <c r="B46" s="224" t="s">
        <v>141</v>
      </c>
      <c r="C46" s="224">
        <v>18</v>
      </c>
      <c r="D46" s="224" t="s">
        <v>300</v>
      </c>
      <c r="E46" s="225" t="str">
        <f t="shared" ca="1" si="8"/>
        <v>R</v>
      </c>
      <c r="F46" s="348"/>
      <c r="G46" s="349">
        <f t="shared" ca="1" si="1"/>
        <v>37</v>
      </c>
      <c r="H46" s="350"/>
      <c r="I46" s="191"/>
      <c r="K46" s="191"/>
      <c r="N46" s="351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46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243</v>
      </c>
      <c r="AR46" s="207" t="s">
        <v>141</v>
      </c>
      <c r="AS46" s="207">
        <v>18</v>
      </c>
      <c r="AT46" s="207" t="s">
        <v>244</v>
      </c>
      <c r="AV46" s="168">
        <f t="shared" si="21"/>
        <v>29</v>
      </c>
      <c r="AW46" s="168">
        <f>COUNTIF( AV$7:AV46, AV46 )</f>
        <v>16</v>
      </c>
      <c r="AX46" s="208">
        <f t="shared" si="22"/>
        <v>30.6</v>
      </c>
      <c r="AY46" s="168">
        <f t="shared" si="23"/>
        <v>44</v>
      </c>
      <c r="AZ46" s="169"/>
      <c r="BA46" s="169"/>
      <c r="BC46" s="168">
        <f t="shared" ca="1" si="24"/>
        <v>40</v>
      </c>
      <c r="BD46" s="209">
        <f t="shared" ca="1" si="6"/>
        <v>34</v>
      </c>
      <c r="BF46" s="173" t="str">
        <f t="shared" ca="1" si="25"/>
        <v>Otter Tail Corporation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OTTR</v>
      </c>
    </row>
    <row r="47" spans="1:61" ht="13.8" x14ac:dyDescent="0.25">
      <c r="A47" s="223" t="s">
        <v>301</v>
      </c>
      <c r="B47" s="224" t="s">
        <v>141</v>
      </c>
      <c r="C47" s="224">
        <v>18</v>
      </c>
      <c r="D47" s="224" t="s">
        <v>302</v>
      </c>
      <c r="E47" s="225" t="str">
        <f t="shared" ca="1" si="8"/>
        <v>R</v>
      </c>
      <c r="F47" s="348"/>
      <c r="G47" s="349">
        <f t="shared" ca="1" si="1"/>
        <v>39</v>
      </c>
      <c r="H47" s="350"/>
      <c r="I47" s="350"/>
      <c r="J47" s="187" t="s">
        <v>373</v>
      </c>
      <c r="K47" s="191"/>
      <c r="M47" s="351"/>
      <c r="N47" s="351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47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289</v>
      </c>
      <c r="AR47" s="207" t="s">
        <v>140</v>
      </c>
      <c r="AS47" s="207">
        <v>19</v>
      </c>
      <c r="AT47" s="207" t="s">
        <v>290</v>
      </c>
      <c r="AV47" s="168">
        <f t="shared" si="21"/>
        <v>14</v>
      </c>
      <c r="AW47" s="168">
        <f>COUNTIF( AV$7:AV47, AV47 )</f>
        <v>11</v>
      </c>
      <c r="AX47" s="208">
        <f t="shared" si="22"/>
        <v>15.1</v>
      </c>
      <c r="AY47" s="168">
        <f t="shared" si="23"/>
        <v>24</v>
      </c>
      <c r="AZ47" s="169"/>
      <c r="BA47" s="169"/>
      <c r="BC47" s="168">
        <f t="shared" ca="1" si="24"/>
        <v>41</v>
      </c>
      <c r="BD47" s="209">
        <f t="shared" ca="1" si="6"/>
        <v>36</v>
      </c>
      <c r="BF47" s="173" t="str">
        <f t="shared" ca="1" si="25"/>
        <v>PG&amp;E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PCG</v>
      </c>
    </row>
    <row r="48" spans="1:61" ht="13.8" x14ac:dyDescent="0.25">
      <c r="A48" s="223" t="s">
        <v>303</v>
      </c>
      <c r="B48" s="224" t="s">
        <v>141</v>
      </c>
      <c r="C48" s="224">
        <v>18</v>
      </c>
      <c r="D48" s="224" t="s">
        <v>304</v>
      </c>
      <c r="E48" s="225" t="str">
        <f t="shared" ca="1" si="8"/>
        <v>R</v>
      </c>
      <c r="F48" s="348"/>
      <c r="G48" s="349">
        <f t="shared" ca="1" si="1"/>
        <v>41</v>
      </c>
      <c r="H48" s="350"/>
      <c r="I48" s="350"/>
      <c r="K48" s="191"/>
      <c r="M48" s="351"/>
      <c r="N48" s="351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48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305</v>
      </c>
      <c r="AR48" s="207" t="s">
        <v>142</v>
      </c>
      <c r="AS48" s="207">
        <v>17</v>
      </c>
      <c r="AT48" s="207" t="s">
        <v>306</v>
      </c>
      <c r="AV48" s="168">
        <f t="shared" si="21"/>
        <v>46</v>
      </c>
      <c r="AW48" s="168">
        <f>COUNTIF( AV$7:AV48, AV48 )</f>
        <v>4</v>
      </c>
      <c r="AX48" s="208">
        <f t="shared" si="22"/>
        <v>46.4</v>
      </c>
      <c r="AY48" s="168">
        <f t="shared" si="23"/>
        <v>49</v>
      </c>
      <c r="AZ48" s="169"/>
      <c r="BA48" s="169"/>
      <c r="BC48" s="168">
        <f t="shared" ca="1" si="24"/>
        <v>42</v>
      </c>
      <c r="BD48" s="209">
        <f t="shared" ca="1" si="6"/>
        <v>38</v>
      </c>
      <c r="BF48" s="173" t="str">
        <f t="shared" ca="1" si="25"/>
        <v>PNM Resources, Inc.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PNM</v>
      </c>
    </row>
    <row r="49" spans="1:61" ht="13.8" x14ac:dyDescent="0.25">
      <c r="A49" s="223" t="s">
        <v>285</v>
      </c>
      <c r="B49" s="224" t="s">
        <v>141</v>
      </c>
      <c r="C49" s="224">
        <v>18</v>
      </c>
      <c r="D49" s="224" t="s">
        <v>286</v>
      </c>
      <c r="E49" s="225" t="str">
        <f t="shared" ca="1" si="8"/>
        <v>R</v>
      </c>
      <c r="F49" s="348"/>
      <c r="G49" s="349">
        <f t="shared" ca="1" si="1"/>
        <v>42</v>
      </c>
      <c r="H49" s="350"/>
      <c r="I49" s="350"/>
      <c r="J49" s="191"/>
      <c r="K49" s="191"/>
      <c r="M49" s="351"/>
      <c r="N49" s="351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4"/>
        <v/>
      </c>
      <c r="AQ49" s="207" t="s">
        <v>347</v>
      </c>
      <c r="AR49" s="207" t="s">
        <v>140</v>
      </c>
      <c r="AS49" s="207">
        <v>19</v>
      </c>
      <c r="AT49" s="207" t="s">
        <v>348</v>
      </c>
      <c r="AV49" s="168">
        <f t="shared" si="21"/>
        <v>14</v>
      </c>
      <c r="AW49" s="168">
        <f>COUNTIF( AV$7:AV49, AV49 )</f>
        <v>12</v>
      </c>
      <c r="AX49" s="208">
        <f t="shared" si="22"/>
        <v>15.2</v>
      </c>
      <c r="AY49" s="168">
        <f t="shared" si="23"/>
        <v>25</v>
      </c>
      <c r="AZ49" s="169"/>
      <c r="BA49" s="169"/>
      <c r="BC49" s="168">
        <f t="shared" ca="1" si="24"/>
        <v>43</v>
      </c>
      <c r="BD49" s="209">
        <f t="shared" ca="1" si="6"/>
        <v>39</v>
      </c>
      <c r="BF49" s="173" t="str">
        <f t="shared" ca="1" si="25"/>
        <v>Portland General Electric Company</v>
      </c>
      <c r="BG49" s="173" t="str">
        <f t="shared" ca="1" si="25"/>
        <v>BBB</v>
      </c>
      <c r="BH49" s="173">
        <f t="shared" ca="1" si="25"/>
        <v>18</v>
      </c>
      <c r="BI49" s="173" t="str">
        <f t="shared" ca="1" si="25"/>
        <v>POR</v>
      </c>
    </row>
    <row r="50" spans="1:61" ht="13.8" x14ac:dyDescent="0.25">
      <c r="A50" s="223" t="s">
        <v>243</v>
      </c>
      <c r="B50" s="224" t="s">
        <v>141</v>
      </c>
      <c r="C50" s="224">
        <v>18</v>
      </c>
      <c r="D50" s="224" t="s">
        <v>244</v>
      </c>
      <c r="E50" s="225" t="str">
        <f t="shared" ca="1" si="8"/>
        <v>MR</v>
      </c>
      <c r="F50" s="348"/>
      <c r="G50" s="349">
        <f t="shared" ca="1" si="1"/>
        <v>43</v>
      </c>
      <c r="H50" s="350"/>
      <c r="I50" s="350"/>
      <c r="J50" s="191"/>
      <c r="K50" s="191"/>
      <c r="M50" s="351"/>
      <c r="N50" s="351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50</v>
      </c>
      <c r="AK50" s="169" t="str">
        <f t="shared" ca="1" si="20"/>
        <v>BBB</v>
      </c>
      <c r="AL50" s="169">
        <f t="shared" ca="1" si="20"/>
        <v>18</v>
      </c>
      <c r="AM50" s="169" t="str">
        <f t="shared" ca="1" si="4"/>
        <v/>
      </c>
      <c r="AQ50" s="207" t="s">
        <v>291</v>
      </c>
      <c r="AR50" s="207" t="s">
        <v>140</v>
      </c>
      <c r="AS50" s="207">
        <v>19</v>
      </c>
      <c r="AT50" s="207" t="s">
        <v>292</v>
      </c>
      <c r="AV50" s="168">
        <f t="shared" si="21"/>
        <v>14</v>
      </c>
      <c r="AW50" s="168">
        <f>COUNTIF( AV$7:AV50, AV50 )</f>
        <v>13</v>
      </c>
      <c r="AX50" s="208">
        <f t="shared" si="22"/>
        <v>15.3</v>
      </c>
      <c r="AY50" s="168">
        <f t="shared" si="23"/>
        <v>26</v>
      </c>
      <c r="AZ50" s="169"/>
      <c r="BA50" s="169"/>
      <c r="BC50" s="168">
        <f t="shared" ca="1" si="24"/>
        <v>44</v>
      </c>
      <c r="BD50" s="209">
        <f t="shared" ca="1" si="6"/>
        <v>40</v>
      </c>
      <c r="BF50" s="173" t="str">
        <f t="shared" ca="1" si="25"/>
        <v>PPL Corporation</v>
      </c>
      <c r="BG50" s="173" t="str">
        <f t="shared" ca="1" si="25"/>
        <v>BBB</v>
      </c>
      <c r="BH50" s="173">
        <f t="shared" ca="1" si="25"/>
        <v>18</v>
      </c>
      <c r="BI50" s="173" t="str">
        <f t="shared" ca="1" si="25"/>
        <v>PPL</v>
      </c>
    </row>
    <row r="51" spans="1:61" ht="13.8" x14ac:dyDescent="0.25">
      <c r="A51" s="223" t="s">
        <v>389</v>
      </c>
      <c r="B51" s="224" t="s">
        <v>141</v>
      </c>
      <c r="C51" s="224">
        <v>18</v>
      </c>
      <c r="D51" s="224" t="s">
        <v>390</v>
      </c>
      <c r="E51" s="225" t="str">
        <f t="shared" ca="1" si="8"/>
        <v>R</v>
      </c>
      <c r="F51" s="348"/>
      <c r="G51" s="349">
        <f t="shared" ca="1" si="1"/>
        <v>49</v>
      </c>
      <c r="H51" s="350"/>
      <c r="I51" s="350"/>
      <c r="J51" s="191"/>
      <c r="K51" s="191"/>
      <c r="M51" s="351"/>
      <c r="N51" s="351"/>
      <c r="AF51" s="169">
        <f t="shared" si="2"/>
        <v>0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51</v>
      </c>
      <c r="AK51" s="169" t="str">
        <f t="shared" ca="1" si="20"/>
        <v>BBB</v>
      </c>
      <c r="AL51" s="169">
        <f t="shared" ca="1" si="20"/>
        <v>18</v>
      </c>
      <c r="AM51" s="169" t="str">
        <f t="shared" ca="1" si="4"/>
        <v/>
      </c>
      <c r="AQ51" s="207" t="s">
        <v>293</v>
      </c>
      <c r="AR51" s="207" t="s">
        <v>166</v>
      </c>
      <c r="AS51" s="207">
        <v>21</v>
      </c>
      <c r="AT51" s="207" t="s">
        <v>294</v>
      </c>
      <c r="AV51" s="168">
        <f t="shared" si="21"/>
        <v>1</v>
      </c>
      <c r="AW51" s="168">
        <f>COUNTIF( AV$7:AV51, AV51 )</f>
        <v>1</v>
      </c>
      <c r="AX51" s="208">
        <f t="shared" si="22"/>
        <v>1.1000000000000001</v>
      </c>
      <c r="AY51" s="168">
        <f t="shared" si="23"/>
        <v>1</v>
      </c>
      <c r="AZ51" s="169"/>
      <c r="BA51" s="169"/>
      <c r="BC51" s="168">
        <f t="shared" ca="1" si="24"/>
        <v>45</v>
      </c>
      <c r="BD51" s="209">
        <f t="shared" ca="1" si="6"/>
        <v>47</v>
      </c>
      <c r="BF51" s="173" t="str">
        <f t="shared" ca="1" si="25"/>
        <v>UIL Holdings Corporation</v>
      </c>
      <c r="BG51" s="173" t="str">
        <f t="shared" ca="1" si="25"/>
        <v>BBB</v>
      </c>
      <c r="BH51" s="173">
        <f t="shared" ca="1" si="25"/>
        <v>18</v>
      </c>
      <c r="BI51" s="173" t="str">
        <f t="shared" ca="1" si="25"/>
        <v>UIL</v>
      </c>
    </row>
    <row r="52" spans="1:61" ht="13.8" x14ac:dyDescent="0.25">
      <c r="A52" s="223" t="s">
        <v>275</v>
      </c>
      <c r="B52" s="224" t="s">
        <v>142</v>
      </c>
      <c r="C52" s="224">
        <v>17</v>
      </c>
      <c r="D52" s="224" t="s">
        <v>276</v>
      </c>
      <c r="E52" s="225" t="str">
        <f t="shared" ca="1" si="8"/>
        <v>MR</v>
      </c>
      <c r="F52" s="348"/>
      <c r="G52" s="349">
        <f t="shared" ca="1" si="1"/>
        <v>25</v>
      </c>
      <c r="H52" s="350"/>
      <c r="I52" s="350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52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369</v>
      </c>
      <c r="AR52" s="207" t="s">
        <v>140</v>
      </c>
      <c r="AS52" s="207">
        <v>19</v>
      </c>
      <c r="AT52" s="207" t="s">
        <v>375</v>
      </c>
      <c r="AV52" s="168">
        <f t="shared" si="21"/>
        <v>14</v>
      </c>
      <c r="AW52" s="168">
        <f>COUNTIF( AV$7:AV52, AV52 )</f>
        <v>14</v>
      </c>
      <c r="AX52" s="208">
        <f t="shared" si="22"/>
        <v>15.4</v>
      </c>
      <c r="AY52" s="168">
        <f t="shared" si="23"/>
        <v>27</v>
      </c>
      <c r="AZ52" s="169"/>
      <c r="BA52" s="169"/>
      <c r="BC52" s="168">
        <f t="shared" ca="1" si="24"/>
        <v>46</v>
      </c>
      <c r="BD52" s="209">
        <f t="shared" ca="1" si="6"/>
        <v>21</v>
      </c>
      <c r="BF52" s="173" t="str">
        <f t="shared" ca="1" si="25"/>
        <v>FirstEnergy Corp.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FE</v>
      </c>
    </row>
    <row r="53" spans="1:61" ht="13.8" x14ac:dyDescent="0.25">
      <c r="A53" s="223" t="s">
        <v>279</v>
      </c>
      <c r="B53" s="224" t="s">
        <v>142</v>
      </c>
      <c r="C53" s="224">
        <v>17</v>
      </c>
      <c r="D53" s="224" t="s">
        <v>280</v>
      </c>
      <c r="E53" s="225" t="str">
        <f t="shared" ca="1" si="8"/>
        <v>D</v>
      </c>
      <c r="F53" s="348"/>
      <c r="G53" s="349">
        <f t="shared" ca="1" si="1"/>
        <v>27</v>
      </c>
      <c r="H53" s="350"/>
      <c r="I53" s="350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389</v>
      </c>
      <c r="AR53" s="207" t="s">
        <v>141</v>
      </c>
      <c r="AS53" s="207">
        <v>18</v>
      </c>
      <c r="AT53" s="207" t="s">
        <v>390</v>
      </c>
      <c r="AV53" s="168">
        <f t="shared" si="21"/>
        <v>29</v>
      </c>
      <c r="AW53" s="168">
        <f>COUNTIF( AV$7:AV53, AV53 )</f>
        <v>17</v>
      </c>
      <c r="AX53" s="208">
        <f t="shared" si="22"/>
        <v>30.7</v>
      </c>
      <c r="AY53" s="168">
        <f t="shared" si="23"/>
        <v>45</v>
      </c>
      <c r="AZ53" s="169"/>
      <c r="BA53" s="169"/>
      <c r="BC53" s="168">
        <f t="shared" ca="1" si="24"/>
        <v>47</v>
      </c>
      <c r="BD53" s="209">
        <f t="shared" ca="1" si="6"/>
        <v>23</v>
      </c>
      <c r="BF53" s="173" t="str">
        <f t="shared" ca="1" si="25"/>
        <v>Hawaiian Electric Industries,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HE</v>
      </c>
    </row>
    <row r="54" spans="1:61" ht="13.8" x14ac:dyDescent="0.25">
      <c r="A54" s="223" t="s">
        <v>273</v>
      </c>
      <c r="B54" s="224" t="s">
        <v>142</v>
      </c>
      <c r="C54" s="224">
        <v>17</v>
      </c>
      <c r="D54" s="224" t="s">
        <v>274</v>
      </c>
      <c r="E54" s="225" t="str">
        <f t="shared" ca="1" si="8"/>
        <v>MR</v>
      </c>
      <c r="F54" s="348"/>
      <c r="G54" s="349">
        <f t="shared" ca="1" si="1"/>
        <v>33</v>
      </c>
      <c r="H54" s="350"/>
      <c r="I54" s="350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8"/>
        <v/>
      </c>
      <c r="AJ54" s="169">
        <f t="shared" ca="1" si="19"/>
        <v>54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4"/>
        <v/>
      </c>
      <c r="AQ54" s="207" t="s">
        <v>345</v>
      </c>
      <c r="AR54" s="207" t="s">
        <v>139</v>
      </c>
      <c r="AS54" s="207">
        <v>20</v>
      </c>
      <c r="AT54" s="207" t="s">
        <v>346</v>
      </c>
      <c r="AV54" s="168">
        <f t="shared" si="21"/>
        <v>2</v>
      </c>
      <c r="AW54" s="168">
        <f>COUNTIF( AV$7:AV54, AV54 )</f>
        <v>10</v>
      </c>
      <c r="AX54" s="208">
        <f t="shared" si="22"/>
        <v>3</v>
      </c>
      <c r="AY54" s="168">
        <f t="shared" si="23"/>
        <v>11</v>
      </c>
      <c r="AZ54" s="169"/>
      <c r="BA54" s="169"/>
      <c r="BC54" s="168">
        <f t="shared" ca="1" si="24"/>
        <v>48</v>
      </c>
      <c r="BD54" s="209">
        <f t="shared" ca="1" si="6"/>
        <v>30</v>
      </c>
      <c r="BF54" s="173" t="str">
        <f t="shared" ca="1" si="25"/>
        <v>NiSource Inc.</v>
      </c>
      <c r="BG54" s="173" t="str">
        <f t="shared" ca="1" si="25"/>
        <v>BBB-</v>
      </c>
      <c r="BH54" s="173">
        <f t="shared" ca="1" si="25"/>
        <v>17</v>
      </c>
      <c r="BI54" s="173" t="str">
        <f t="shared" ca="1" si="25"/>
        <v>NI</v>
      </c>
    </row>
    <row r="55" spans="1:61" ht="13.8" x14ac:dyDescent="0.25">
      <c r="A55" s="223" t="s">
        <v>305</v>
      </c>
      <c r="B55" s="224" t="s">
        <v>142</v>
      </c>
      <c r="C55" s="224">
        <v>17</v>
      </c>
      <c r="D55" s="224" t="s">
        <v>306</v>
      </c>
      <c r="E55" s="225" t="str">
        <f t="shared" ca="1" si="8"/>
        <v>R</v>
      </c>
      <c r="F55" s="348"/>
      <c r="G55" s="349">
        <f t="shared" ca="1" si="1"/>
        <v>62</v>
      </c>
      <c r="H55" s="350"/>
      <c r="I55" s="350"/>
      <c r="J55" s="191"/>
      <c r="K55" s="191"/>
      <c r="AF55" s="169">
        <f t="shared" si="2"/>
        <v>1</v>
      </c>
      <c r="AG55" s="169" t="str">
        <f t="shared" ca="1" si="3"/>
        <v/>
      </c>
      <c r="AH55" s="169" t="str">
        <f t="shared" ca="1" si="18"/>
        <v/>
      </c>
      <c r="AJ55" s="169">
        <f t="shared" ca="1" si="19"/>
        <v>55</v>
      </c>
      <c r="AK55" s="169" t="str">
        <f t="shared" ca="1" si="20"/>
        <v>BBB-</v>
      </c>
      <c r="AL55" s="169">
        <f t="shared" ca="1" si="20"/>
        <v>17</v>
      </c>
      <c r="AM55" s="169" t="str">
        <f t="shared" ca="1" si="4"/>
        <v/>
      </c>
      <c r="AQ55" s="207" t="s">
        <v>354</v>
      </c>
      <c r="AR55" s="207" t="s">
        <v>140</v>
      </c>
      <c r="AS55" s="207">
        <v>19</v>
      </c>
      <c r="AT55" s="207" t="s">
        <v>355</v>
      </c>
      <c r="AV55" s="168">
        <f t="shared" si="21"/>
        <v>14</v>
      </c>
      <c r="AW55" s="168">
        <f>COUNTIF( AV$7:AV55, AV55 )</f>
        <v>15</v>
      </c>
      <c r="AX55" s="208">
        <f t="shared" si="22"/>
        <v>15.5</v>
      </c>
      <c r="AY55" s="168">
        <f t="shared" si="23"/>
        <v>28</v>
      </c>
      <c r="AZ55" s="169"/>
      <c r="BA55" s="169"/>
      <c r="BC55" s="168">
        <f t="shared" ca="1" si="24"/>
        <v>49</v>
      </c>
      <c r="BD55" s="209">
        <f t="shared" ca="1" si="6"/>
        <v>42</v>
      </c>
      <c r="BF55" s="173" t="str">
        <f t="shared" ca="1" si="25"/>
        <v>Puget Energy, Inc.</v>
      </c>
      <c r="BG55" s="173" t="str">
        <f t="shared" ca="1" si="25"/>
        <v>BBB-</v>
      </c>
      <c r="BH55" s="173">
        <f t="shared" ca="1" si="25"/>
        <v>17</v>
      </c>
      <c r="BI55" s="173" t="str">
        <f t="shared" ca="1" si="25"/>
        <v>**PSD</v>
      </c>
    </row>
    <row r="56" spans="1:61" ht="13.8" x14ac:dyDescent="0.25">
      <c r="A56" s="223" t="s">
        <v>287</v>
      </c>
      <c r="B56" s="224" t="s">
        <v>173</v>
      </c>
      <c r="C56" s="224">
        <v>16</v>
      </c>
      <c r="D56" s="224" t="s">
        <v>288</v>
      </c>
      <c r="E56" s="225" t="str">
        <f t="shared" ca="1" si="8"/>
        <v>R</v>
      </c>
      <c r="F56" s="348"/>
      <c r="G56" s="349">
        <f t="shared" ca="1" si="1"/>
        <v>60</v>
      </c>
      <c r="H56" s="350"/>
      <c r="I56" s="350"/>
      <c r="J56" s="191"/>
      <c r="K56" s="191"/>
      <c r="AF56" s="169">
        <f t="shared" si="2"/>
        <v>0</v>
      </c>
      <c r="AG56" s="169" t="str">
        <f t="shared" ca="1" si="3"/>
        <v/>
      </c>
      <c r="AH56" s="169" t="str">
        <f t="shared" ca="1" si="18"/>
        <v/>
      </c>
      <c r="AJ56" s="169">
        <f t="shared" ca="1" si="19"/>
        <v>56</v>
      </c>
      <c r="AK56" s="169" t="str">
        <f t="shared" ca="1" si="20"/>
        <v>BB+</v>
      </c>
      <c r="AL56" s="169">
        <f t="shared" ca="1" si="20"/>
        <v>16</v>
      </c>
      <c r="AM56" s="169" t="str">
        <f t="shared" ca="1" si="4"/>
        <v/>
      </c>
      <c r="AQ56" s="207" t="s">
        <v>247</v>
      </c>
      <c r="AR56" s="207" t="s">
        <v>139</v>
      </c>
      <c r="AS56" s="207">
        <v>20</v>
      </c>
      <c r="AT56" s="207" t="s">
        <v>248</v>
      </c>
      <c r="AV56" s="168">
        <f t="shared" si="21"/>
        <v>2</v>
      </c>
      <c r="AW56" s="168">
        <f>COUNTIF( AV$7:AV56, AV56 )</f>
        <v>11</v>
      </c>
      <c r="AX56" s="208">
        <f t="shared" si="22"/>
        <v>3.1</v>
      </c>
      <c r="AY56" s="168">
        <f t="shared" si="23"/>
        <v>12</v>
      </c>
      <c r="AZ56" s="169"/>
      <c r="BA56" s="169"/>
      <c r="BC56" s="168">
        <f t="shared" ca="1" si="24"/>
        <v>50</v>
      </c>
      <c r="BD56" s="209">
        <f t="shared" ca="1" si="6"/>
        <v>27</v>
      </c>
      <c r="BF56" s="173" t="str">
        <f t="shared" ca="1" si="25"/>
        <v>IPALCO Enterprises, Inc.</v>
      </c>
      <c r="BG56" s="173" t="str">
        <f t="shared" ca="1" si="25"/>
        <v>BB+</v>
      </c>
      <c r="BH56" s="173">
        <f t="shared" ca="1" si="25"/>
        <v>16</v>
      </c>
      <c r="BI56" s="173" t="str">
        <f t="shared" ca="1" si="25"/>
        <v>**IPALCO</v>
      </c>
    </row>
    <row r="57" spans="1:61" ht="13.8" x14ac:dyDescent="0.25">
      <c r="A57" s="223" t="s">
        <v>259</v>
      </c>
      <c r="B57" s="224" t="s">
        <v>175</v>
      </c>
      <c r="C57" s="224">
        <v>15</v>
      </c>
      <c r="D57" s="224" t="s">
        <v>260</v>
      </c>
      <c r="E57" s="225" t="str">
        <f t="shared" ca="1" si="8"/>
        <v>R</v>
      </c>
      <c r="F57" s="348"/>
      <c r="G57" s="349">
        <f t="shared" ca="1" si="1"/>
        <v>58</v>
      </c>
      <c r="H57" s="350"/>
      <c r="I57" s="350"/>
      <c r="J57" s="191"/>
      <c r="K57" s="191"/>
      <c r="AF57" s="169">
        <f t="shared" si="2"/>
        <v>1</v>
      </c>
      <c r="AG57" s="169" t="str">
        <f t="shared" ca="1" si="3"/>
        <v/>
      </c>
      <c r="AH57" s="169" t="str">
        <f t="shared" ca="1" si="18"/>
        <v/>
      </c>
      <c r="AJ57" s="169">
        <f t="shared" ca="1" si="19"/>
        <v>57</v>
      </c>
      <c r="AK57" s="169" t="str">
        <f t="shared" ca="1" si="20"/>
        <v>BB</v>
      </c>
      <c r="AL57" s="169">
        <f t="shared" ca="1" si="20"/>
        <v>15</v>
      </c>
      <c r="AM57" s="169" t="str">
        <f t="shared" ca="1" si="4"/>
        <v/>
      </c>
      <c r="AQ57" s="207" t="s">
        <v>251</v>
      </c>
      <c r="AR57" s="207" t="s">
        <v>139</v>
      </c>
      <c r="AS57" s="207">
        <v>20</v>
      </c>
      <c r="AT57" s="207" t="s">
        <v>252</v>
      </c>
      <c r="AV57" s="168">
        <f t="shared" si="21"/>
        <v>2</v>
      </c>
      <c r="AW57" s="168">
        <f>COUNTIF( AV$7:AV57, AV57 )</f>
        <v>12</v>
      </c>
      <c r="AX57" s="208">
        <f t="shared" si="22"/>
        <v>3.2</v>
      </c>
      <c r="AY57" s="168">
        <f t="shared" si="23"/>
        <v>13</v>
      </c>
      <c r="AZ57" s="169"/>
      <c r="BA57" s="169"/>
      <c r="BC57" s="168">
        <f t="shared" ca="1" si="24"/>
        <v>51</v>
      </c>
      <c r="BD57" s="209">
        <f t="shared" ca="1" si="6"/>
        <v>13</v>
      </c>
      <c r="BF57" s="173" t="str">
        <f t="shared" ca="1" si="25"/>
        <v>DPL Inc.</v>
      </c>
      <c r="BG57" s="173" t="str">
        <f t="shared" ca="1" si="25"/>
        <v>BB</v>
      </c>
      <c r="BH57" s="173">
        <f t="shared" ca="1" si="25"/>
        <v>15</v>
      </c>
      <c r="BI57" s="173" t="str">
        <f t="shared" ca="1" si="25"/>
        <v>**DPL</v>
      </c>
    </row>
    <row r="58" spans="1:61" ht="13.8" x14ac:dyDescent="0.25">
      <c r="A58" s="223"/>
      <c r="B58" s="224"/>
      <c r="C58" s="224"/>
      <c r="D58" s="224"/>
      <c r="E58" s="225" t="str">
        <f t="shared" ca="1" si="8"/>
        <v/>
      </c>
      <c r="F58" s="348"/>
      <c r="G58" s="349" t="str">
        <f t="shared" ca="1" si="1"/>
        <v/>
      </c>
      <c r="H58" s="350"/>
      <c r="I58" s="350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1</v>
      </c>
      <c r="AX58" s="208">
        <f t="shared" si="22"/>
        <v>99.1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8" x14ac:dyDescent="0.25">
      <c r="A59" s="223"/>
      <c r="B59" s="224"/>
      <c r="C59" s="224"/>
      <c r="D59" s="224"/>
      <c r="E59" s="225" t="str">
        <f t="shared" ca="1" si="8"/>
        <v/>
      </c>
      <c r="F59" s="348"/>
      <c r="G59" s="349" t="str">
        <f t="shared" ca="1" si="1"/>
        <v/>
      </c>
      <c r="H59" s="350"/>
      <c r="I59" s="350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2</v>
      </c>
      <c r="AX59" s="208">
        <f t="shared" si="22"/>
        <v>99.2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" thickBot="1" x14ac:dyDescent="0.3">
      <c r="A60" s="192"/>
      <c r="B60" s="193"/>
      <c r="C60" s="193"/>
      <c r="D60" s="193"/>
      <c r="E60" s="194" t="str">
        <f t="shared" ca="1" si="8"/>
        <v/>
      </c>
      <c r="F60" s="350"/>
      <c r="G60" s="353" t="str">
        <f t="shared" ca="1" si="1"/>
        <v/>
      </c>
      <c r="H60" s="350"/>
      <c r="I60" s="350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3</v>
      </c>
      <c r="AX60" s="208">
        <f t="shared" si="22"/>
        <v>99.3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8" x14ac:dyDescent="0.25">
      <c r="A61" s="226" t="s">
        <v>384</v>
      </c>
      <c r="B61" s="227" t="s">
        <v>162</v>
      </c>
      <c r="C61" s="227">
        <v>23</v>
      </c>
      <c r="D61" s="227" t="s">
        <v>309</v>
      </c>
      <c r="E61" s="228" t="str">
        <f t="shared" ca="1" si="8"/>
        <v>MR</v>
      </c>
      <c r="F61" s="354"/>
      <c r="G61" s="355">
        <f t="shared" ca="1" si="1"/>
        <v>31</v>
      </c>
      <c r="H61" s="350"/>
      <c r="I61" s="350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4</v>
      </c>
      <c r="AX61" s="208">
        <f t="shared" si="22"/>
        <v>99.4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8" x14ac:dyDescent="0.25">
      <c r="A62" s="223" t="s">
        <v>399</v>
      </c>
      <c r="B62" s="224" t="s">
        <v>141</v>
      </c>
      <c r="C62" s="224">
        <v>18</v>
      </c>
      <c r="D62" s="224" t="s">
        <v>400</v>
      </c>
      <c r="E62" s="225" t="str">
        <f t="shared" ca="1" si="8"/>
        <v>R</v>
      </c>
      <c r="F62" s="348"/>
      <c r="G62" s="349">
        <f t="shared" ca="1" si="1"/>
        <v>51</v>
      </c>
      <c r="H62" s="350"/>
      <c r="I62" s="350"/>
      <c r="AF62" s="169">
        <f t="shared" si="2"/>
        <v>0</v>
      </c>
      <c r="AG62" s="169" t="str">
        <f t="shared" ca="1" si="3"/>
        <v/>
      </c>
      <c r="AH62" s="169" t="str">
        <f t="shared" ca="1" si="18"/>
        <v/>
      </c>
      <c r="AJ62" s="169">
        <f t="shared" ca="1" si="19"/>
        <v>62</v>
      </c>
      <c r="AK62" s="169" t="str">
        <f t="shared" ca="1" si="20"/>
        <v>BBB</v>
      </c>
      <c r="AL62" s="169">
        <f t="shared" ca="1" si="20"/>
        <v>18</v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5</v>
      </c>
      <c r="AX62" s="208">
        <f t="shared" si="22"/>
        <v>99.5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 t="s">
        <v>401</v>
      </c>
      <c r="B63" s="224"/>
      <c r="C63" s="224"/>
      <c r="D63" s="224" t="s">
        <v>376</v>
      </c>
      <c r="E63" s="225" t="str">
        <f t="shared" ca="1" si="8"/>
        <v>R</v>
      </c>
      <c r="F63" s="348"/>
      <c r="G63" s="349">
        <f t="shared" ca="1" si="1"/>
        <v>50</v>
      </c>
      <c r="H63" s="350"/>
      <c r="I63" s="350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>
        <f t="shared" ca="1" si="19"/>
        <v>63</v>
      </c>
      <c r="AK63" s="169">
        <f t="shared" ca="1" si="20"/>
        <v>0</v>
      </c>
      <c r="AL63" s="169">
        <f t="shared" ca="1" si="20"/>
        <v>0</v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6</v>
      </c>
      <c r="AX63" s="208">
        <f t="shared" si="22"/>
        <v>99.6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 t="s">
        <v>371</v>
      </c>
      <c r="B64" s="224"/>
      <c r="C64" s="224"/>
      <c r="D64" s="224" t="s">
        <v>359</v>
      </c>
      <c r="E64" s="225" t="str">
        <f t="shared" ca="1" si="8"/>
        <v>D</v>
      </c>
      <c r="F64" s="348"/>
      <c r="G64" s="349">
        <f t="shared" ca="1" si="1"/>
        <v>59</v>
      </c>
      <c r="H64" s="350"/>
      <c r="I64" s="350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>
        <f t="shared" ca="1" si="19"/>
        <v>64</v>
      </c>
      <c r="AK64" s="169">
        <f t="shared" ca="1" si="20"/>
        <v>0</v>
      </c>
      <c r="AL64" s="169">
        <f t="shared" ca="1" si="20"/>
        <v>0</v>
      </c>
      <c r="AM64" s="169" t="str">
        <f t="shared" ca="1" si="4"/>
        <v/>
      </c>
      <c r="AQ64" s="207" t="s">
        <v>308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58" ht="13.8" x14ac:dyDescent="0.25">
      <c r="A65" s="223"/>
      <c r="B65" s="229"/>
      <c r="C65" s="224"/>
      <c r="D65" s="224"/>
      <c r="E65" s="225"/>
      <c r="F65" s="348"/>
      <c r="G65" s="349"/>
      <c r="H65" s="350"/>
      <c r="I65" s="350"/>
      <c r="N65" s="168" t="s">
        <v>310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 t="s">
        <v>402</v>
      </c>
      <c r="AR65" s="207" t="s">
        <v>141</v>
      </c>
      <c r="AS65" s="207">
        <v>18</v>
      </c>
      <c r="AT65" s="207" t="s">
        <v>400</v>
      </c>
      <c r="AU65" s="207"/>
      <c r="AZ65" s="169"/>
      <c r="BA65" s="169"/>
      <c r="BF65" s="169"/>
    </row>
    <row r="66" spans="1:58" ht="13.8" x14ac:dyDescent="0.25">
      <c r="A66" s="195"/>
      <c r="B66" s="196"/>
      <c r="C66" s="185"/>
      <c r="D66" s="185"/>
      <c r="E66" s="182"/>
      <c r="F66" s="350"/>
      <c r="H66" s="350"/>
      <c r="I66" s="350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Q66" s="207" t="s">
        <v>401</v>
      </c>
      <c r="AR66" s="207"/>
      <c r="AS66" s="207"/>
      <c r="AT66" s="207" t="s">
        <v>376</v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50"/>
      <c r="H67" s="350"/>
      <c r="I67" s="350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Q67" s="207" t="s">
        <v>371</v>
      </c>
      <c r="AR67" s="207"/>
      <c r="AS67" s="207"/>
      <c r="AT67" s="207" t="s">
        <v>359</v>
      </c>
      <c r="AX67" s="208"/>
      <c r="AZ67" s="169"/>
      <c r="BA67" s="169"/>
      <c r="BD67" s="209"/>
      <c r="BF67" s="169"/>
    </row>
    <row r="68" spans="1:58" ht="13.8" x14ac:dyDescent="0.25">
      <c r="A68" s="200" t="s">
        <v>311</v>
      </c>
      <c r="B68" s="189" t="str">
        <f ca="1">OFFSET( Scale!$H$5, ROUND( C68, 0 ) - 1, 1 )</f>
        <v>BBB+</v>
      </c>
      <c r="C68" s="201">
        <f>AVERAGE(C7:C65)</f>
        <v>18.716981132075471</v>
      </c>
      <c r="D68" s="201"/>
      <c r="E68" s="201"/>
      <c r="F68" s="350"/>
      <c r="H68" s="350"/>
      <c r="I68" s="350"/>
      <c r="J68" s="351"/>
      <c r="K68" s="351"/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50"/>
      <c r="H69" s="350"/>
      <c r="I69" s="350"/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1"/>
      <c r="K70" s="351"/>
    </row>
    <row r="71" spans="1:58" x14ac:dyDescent="0.25">
      <c r="A71" s="203" t="s">
        <v>312</v>
      </c>
      <c r="F71" s="173"/>
      <c r="H71" s="173"/>
      <c r="I71" s="173"/>
    </row>
    <row r="72" spans="1:58" x14ac:dyDescent="0.25">
      <c r="A72" s="203" t="s">
        <v>313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314</v>
      </c>
      <c r="B73" s="173"/>
      <c r="D73" s="173"/>
      <c r="E73" s="173"/>
      <c r="F73" s="204"/>
      <c r="H73" s="204"/>
      <c r="I73" s="204"/>
    </row>
    <row r="74" spans="1:58" x14ac:dyDescent="0.25">
      <c r="A74" s="205" t="s">
        <v>403</v>
      </c>
      <c r="D74" s="204"/>
      <c r="F74" s="206"/>
      <c r="H74" s="206"/>
      <c r="I74" s="206"/>
    </row>
    <row r="75" spans="1:58" x14ac:dyDescent="0.25">
      <c r="A75" s="203" t="s">
        <v>315</v>
      </c>
      <c r="D75" s="204"/>
      <c r="F75" s="206"/>
      <c r="H75" s="206"/>
      <c r="I75" s="206"/>
      <c r="AQ75" s="207"/>
      <c r="AR75" s="207"/>
      <c r="AS75" s="207"/>
    </row>
    <row r="76" spans="1:58" x14ac:dyDescent="0.25">
      <c r="A76" s="203" t="s">
        <v>316</v>
      </c>
      <c r="D76" s="204"/>
      <c r="F76" s="206"/>
      <c r="H76" s="206"/>
      <c r="I76" s="206"/>
      <c r="AQ76" s="207"/>
      <c r="AR76" s="207"/>
      <c r="AS76" s="207"/>
    </row>
    <row r="77" spans="1:58" x14ac:dyDescent="0.25">
      <c r="A77" s="203"/>
      <c r="AQ77" s="207"/>
      <c r="AR77" s="207"/>
      <c r="AS77" s="207"/>
    </row>
    <row r="78" spans="1:58" x14ac:dyDescent="0.25">
      <c r="C78" s="190">
        <f>SUMPRODUCT( L8:L13, Y8:Y13 ) / L14</f>
        <v>18.69811320754717</v>
      </c>
      <c r="E78" s="191"/>
      <c r="G78" s="353"/>
      <c r="J78" s="173"/>
      <c r="K78" s="173"/>
      <c r="AQ78" s="207"/>
      <c r="AR78" s="207"/>
      <c r="AS78" s="207"/>
    </row>
    <row r="79" spans="1:58" s="173" customFormat="1" ht="13.8" x14ac:dyDescent="0.25">
      <c r="A79" s="195"/>
      <c r="B79" s="185"/>
      <c r="C79" s="185"/>
      <c r="D79" s="185"/>
      <c r="E79" s="182"/>
      <c r="F79" s="168"/>
      <c r="G79" s="169"/>
      <c r="H79" s="168"/>
      <c r="I79" s="168"/>
      <c r="Q79" s="168"/>
      <c r="T79" s="169"/>
      <c r="U79" s="169"/>
      <c r="V79" s="169"/>
      <c r="AF79" s="169"/>
      <c r="AG79" s="169"/>
      <c r="AH79" s="169"/>
      <c r="AJ79" s="169"/>
      <c r="AK79" s="169"/>
      <c r="AL79" s="169"/>
      <c r="AM79" s="169"/>
      <c r="AN79" s="169"/>
      <c r="AQ79" s="207"/>
      <c r="AR79" s="207"/>
      <c r="AS79" s="207"/>
    </row>
  </sheetData>
  <sortState ref="AQ7:AT57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E7:E59 A60:E61 E62:E65">
    <cfRule type="expression" dxfId="509" priority="28" stopIfTrue="1">
      <formula>IF( $AH7 = 1, TRUE, FALSE )</formula>
    </cfRule>
    <cfRule type="expression" dxfId="508" priority="29" stopIfTrue="1">
      <formula>IF( $AG7 = 1, TRUE, FALSE )</formula>
    </cfRule>
    <cfRule type="expression" dxfId="507" priority="30" stopIfTrue="1">
      <formula>IF( $AF7 = 1, TRUE, FALSE )</formula>
    </cfRule>
  </conditionalFormatting>
  <conditionalFormatting sqref="A67:E67">
    <cfRule type="expression" dxfId="506" priority="31" stopIfTrue="1">
      <formula>IF( $AH67 = 1, TRUE, FALSE )</formula>
    </cfRule>
    <cfRule type="expression" dxfId="505" priority="32" stopIfTrue="1">
      <formula>IF( $AG67 = 1, TRUE, FALSE )</formula>
    </cfRule>
    <cfRule type="expression" dxfId="504" priority="33" stopIfTrue="1">
      <formula>IF( $AF67 = 1, TRUE, FALSE )</formula>
    </cfRule>
  </conditionalFormatting>
  <conditionalFormatting sqref="A66:E66">
    <cfRule type="expression" dxfId="503" priority="25" stopIfTrue="1">
      <formula>IF( $AH66 = 1, TRUE, FALSE )</formula>
    </cfRule>
    <cfRule type="expression" dxfId="502" priority="26" stopIfTrue="1">
      <formula>IF( $AG66 = 1, TRUE, FALSE )</formula>
    </cfRule>
    <cfRule type="expression" dxfId="501" priority="27" stopIfTrue="1">
      <formula>IF( $AF66 = 1, TRUE, FALSE )</formula>
    </cfRule>
  </conditionalFormatting>
  <conditionalFormatting sqref="A8:D58 B7:D7">
    <cfRule type="expression" dxfId="500" priority="22" stopIfTrue="1">
      <formula>IF( $AH7 = 1, TRUE, FALSE )</formula>
    </cfRule>
    <cfRule type="expression" dxfId="499" priority="23" stopIfTrue="1">
      <formula>IF( $AG7 = 1, TRUE, FALSE )</formula>
    </cfRule>
    <cfRule type="expression" dxfId="498" priority="24" stopIfTrue="1">
      <formula>IF( $AF7 = 1, TRUE, FALSE )</formula>
    </cfRule>
  </conditionalFormatting>
  <conditionalFormatting sqref="A59:D59">
    <cfRule type="expression" dxfId="497" priority="19" stopIfTrue="1">
      <formula>IF( $AH59 = 1, TRUE, FALSE )</formula>
    </cfRule>
    <cfRule type="expression" dxfId="496" priority="20" stopIfTrue="1">
      <formula>IF( $AG59 = 1, TRUE, FALSE )</formula>
    </cfRule>
    <cfRule type="expression" dxfId="495" priority="21" stopIfTrue="1">
      <formula>IF( $AF59 = 1, TRUE, FALSE )</formula>
    </cfRule>
  </conditionalFormatting>
  <conditionalFormatting sqref="A61:D65">
    <cfRule type="expression" dxfId="494" priority="16" stopIfTrue="1">
      <formula>IF( $AH61 = 1, TRUE, FALSE )</formula>
    </cfRule>
    <cfRule type="expression" dxfId="493" priority="17" stopIfTrue="1">
      <formula>IF( $AG61 = 1, TRUE, FALSE )</formula>
    </cfRule>
    <cfRule type="expression" dxfId="492" priority="18" stopIfTrue="1">
      <formula>IF( $AF61 = 1, TRUE, FALSE )</formula>
    </cfRule>
  </conditionalFormatting>
  <conditionalFormatting sqref="U8:U12">
    <cfRule type="cellIs" dxfId="491" priority="15" operator="equal">
      <formula>0</formula>
    </cfRule>
  </conditionalFormatting>
  <conditionalFormatting sqref="O8:O12 Q8:Q12">
    <cfRule type="cellIs" dxfId="490" priority="14" operator="equal">
      <formula>0</formula>
    </cfRule>
  </conditionalFormatting>
  <conditionalFormatting sqref="V8:V12">
    <cfRule type="cellIs" dxfId="489" priority="13" operator="equal">
      <formula>0</formula>
    </cfRule>
  </conditionalFormatting>
  <conditionalFormatting sqref="S8:S12">
    <cfRule type="cellIs" dxfId="488" priority="11" operator="equal">
      <formula>0</formula>
    </cfRule>
  </conditionalFormatting>
  <conditionalFormatting sqref="R8:R12">
    <cfRule type="cellIs" dxfId="487" priority="12" operator="equal">
      <formula>0</formula>
    </cfRule>
  </conditionalFormatting>
  <conditionalFormatting sqref="P8:P12">
    <cfRule type="cellIs" dxfId="486" priority="10" operator="equal">
      <formula>0</formula>
    </cfRule>
  </conditionalFormatting>
  <conditionalFormatting sqref="M8:M12">
    <cfRule type="cellIs" dxfId="485" priority="9" operator="equal">
      <formula>0</formula>
    </cfRule>
  </conditionalFormatting>
  <conditionalFormatting sqref="T8:T12">
    <cfRule type="cellIs" dxfId="484" priority="8" operator="equal">
      <formula>0</formula>
    </cfRule>
  </conditionalFormatting>
  <conditionalFormatting sqref="N8:N12">
    <cfRule type="cellIs" dxfId="483" priority="7" operator="equal">
      <formula>0</formula>
    </cfRule>
  </conditionalFormatting>
  <conditionalFormatting sqref="K8:K12">
    <cfRule type="cellIs" dxfId="482" priority="6" operator="equal">
      <formula>0</formula>
    </cfRule>
  </conditionalFormatting>
  <conditionalFormatting sqref="I8:I12">
    <cfRule type="cellIs" dxfId="481" priority="5" operator="equal">
      <formula>0</formula>
    </cfRule>
  </conditionalFormatting>
  <conditionalFormatting sqref="W8:W12">
    <cfRule type="cellIs" dxfId="480" priority="4" operator="equal">
      <formula>0</formula>
    </cfRule>
  </conditionalFormatting>
  <conditionalFormatting sqref="A7">
    <cfRule type="expression" dxfId="479" priority="1" stopIfTrue="1">
      <formula>IF( $AH7 = 1, TRUE, FALSE )</formula>
    </cfRule>
    <cfRule type="expression" dxfId="478" priority="2" stopIfTrue="1">
      <formula>IF( $AG7 = 1, TRUE, FALSE )</formula>
    </cfRule>
    <cfRule type="expression" dxfId="477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9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customWidth="1"/>
    <col min="23" max="23" width="2" style="168" customWidth="1"/>
    <col min="24" max="24" width="4.109375" style="168" customWidth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15.88671875" style="169" hidden="1" customWidth="1" outlineLevel="1" collapsed="1"/>
    <col min="37" max="38" width="15.88671875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style="168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-- 2014 Q2</v>
      </c>
      <c r="G1" s="175" t="s">
        <v>195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 x14ac:dyDescent="0.25">
      <c r="A2" s="167"/>
      <c r="E2" s="171" t="str">
        <f>G2</f>
        <v>Reg_Percent_2013</v>
      </c>
      <c r="G2" s="172" t="s">
        <v>391</v>
      </c>
      <c r="AJ2" s="173" t="str">
        <f>AJ4 &amp; AJ3</f>
        <v>'Credit_2014Q1'!d:d</v>
      </c>
      <c r="AK2" s="173" t="str">
        <f>AK4 &amp; AK3</f>
        <v>'Credit_2014Q1'!b1</v>
      </c>
      <c r="AL2" s="173" t="str">
        <f>AL4 &amp; AL3</f>
        <v>'Credit_2014Q1'!c1</v>
      </c>
      <c r="AQ2" s="169"/>
    </row>
    <row r="3" spans="1:61" ht="18" hidden="1" outlineLevel="1" x14ac:dyDescent="0.25">
      <c r="A3" s="167"/>
      <c r="E3" s="174" t="str">
        <f>"'" &amp; E2 &amp; "'!"</f>
        <v>'Reg_Percent_2013'!</v>
      </c>
      <c r="G3" s="168" t="str">
        <f>"'" &amp; G2 &amp; "'!"</f>
        <v>'Reg_Percent_2013'!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205</v>
      </c>
      <c r="AK3" s="149" t="s">
        <v>206</v>
      </c>
      <c r="AL3" s="149" t="s">
        <v>207</v>
      </c>
      <c r="AQ3" s="169"/>
    </row>
    <row r="4" spans="1:61" ht="18" hidden="1" outlineLevel="1" x14ac:dyDescent="0.25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>$AQ$5</f>
        <v>'Credit_2014Q1'!</v>
      </c>
      <c r="AK4" s="169" t="str">
        <f t="shared" ref="AK4:AL4" si="0">$AQ$5</f>
        <v>'Credit_2014Q1'!</v>
      </c>
      <c r="AL4" s="169" t="str">
        <f t="shared" si="0"/>
        <v>'Credit_2014Q1'!</v>
      </c>
      <c r="AQ4" s="169"/>
    </row>
    <row r="5" spans="1:61" ht="13.8" collapsed="1" x14ac:dyDescent="0.25">
      <c r="E5" s="176" t="s">
        <v>209</v>
      </c>
      <c r="G5" s="170" t="s">
        <v>199</v>
      </c>
      <c r="I5" s="230"/>
      <c r="J5" s="389" t="s">
        <v>210</v>
      </c>
      <c r="K5" s="230"/>
      <c r="L5" s="391" t="str">
        <f>"All Companies" &amp; CHAR( 10 ) &amp; "("&amp; L14 &amp; ")"</f>
        <v>All Companies
(53)</v>
      </c>
      <c r="M5" s="391"/>
      <c r="N5" s="230"/>
      <c r="O5" s="389" t="str">
        <f ca="1">"Regulated" &amp; CHAR( 10 ) &amp; "(" &amp; O14 &amp; ")"</f>
        <v>Regulated
(38)</v>
      </c>
      <c r="P5" s="393"/>
      <c r="Q5" s="230"/>
      <c r="R5" s="389" t="str">
        <f ca="1">"Mostly Regulated" &amp; CHAR( 10 ) &amp; "(" &amp; R14 &amp; ")"</f>
        <v>Mostly Regulated
(13)</v>
      </c>
      <c r="S5" s="393"/>
      <c r="T5" s="230"/>
      <c r="U5" s="389" t="str">
        <f ca="1">"Diversified" &amp; CHAR( 10 ) &amp; "(" &amp; U14 &amp; ")"</f>
        <v>Diversified
(2)</v>
      </c>
      <c r="V5" s="393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404</v>
      </c>
    </row>
    <row r="6" spans="1:61" ht="28.5" customHeight="1" x14ac:dyDescent="0.25">
      <c r="A6" s="219" t="s">
        <v>212</v>
      </c>
      <c r="B6" s="220" t="s">
        <v>57</v>
      </c>
      <c r="C6" s="249" t="s">
        <v>214</v>
      </c>
      <c r="D6" s="221"/>
      <c r="E6" s="222">
        <f ca="1">INDIRECT( E3 &amp; G1 )</f>
        <v>41639</v>
      </c>
      <c r="I6" s="231"/>
      <c r="J6" s="390"/>
      <c r="K6" s="231"/>
      <c r="L6" s="392"/>
      <c r="M6" s="392"/>
      <c r="N6" s="231"/>
      <c r="O6" s="390"/>
      <c r="P6" s="390"/>
      <c r="Q6" s="231"/>
      <c r="R6" s="390" t="s">
        <v>136</v>
      </c>
      <c r="S6" s="390"/>
      <c r="T6" s="231"/>
      <c r="U6" s="390"/>
      <c r="V6" s="390"/>
      <c r="W6" s="231"/>
      <c r="AE6" s="178"/>
      <c r="AJ6" s="179"/>
    </row>
    <row r="7" spans="1:61" ht="13.8" x14ac:dyDescent="0.25">
      <c r="A7" s="223" t="s">
        <v>293</v>
      </c>
      <c r="B7" s="224" t="s">
        <v>166</v>
      </c>
      <c r="C7" s="224">
        <v>21</v>
      </c>
      <c r="D7" s="224" t="s">
        <v>294</v>
      </c>
      <c r="E7" s="225" t="str">
        <f ca="1">IF( LEN( $G7 ) = 0, "", OFFSET( INDIRECT( E$3 &amp; E$4 ), $G7 - 1, 0 ) )</f>
        <v>R</v>
      </c>
      <c r="F7" s="348"/>
      <c r="G7" s="349">
        <f t="shared" ref="G7:G64" ca="1" si="1">IF( LEN( $D7 ) = 0, "", MATCH( $D7, INDIRECT( G$3 &amp; G$4 ), 0 ) )</f>
        <v>47</v>
      </c>
      <c r="H7" s="350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217</v>
      </c>
      <c r="AR7" s="207" t="s">
        <v>140</v>
      </c>
      <c r="AS7" s="207">
        <v>19</v>
      </c>
      <c r="AT7" s="207" t="s">
        <v>218</v>
      </c>
      <c r="AV7" s="168">
        <f>IF( LEN( AS7 ) = 0, 99, RANK( AS7, $AS$7:$AS$63 ) )</f>
        <v>14</v>
      </c>
      <c r="AW7" s="168">
        <f>COUNTIF( AV7:AV$7, AV7 )</f>
        <v>1</v>
      </c>
      <c r="AX7" s="208">
        <f>AV7 + AW7 / 10</f>
        <v>14.1</v>
      </c>
      <c r="AY7" s="168">
        <f>RANK( AX7, $AX$7:$AX$63, 1 )</f>
        <v>14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45</v>
      </c>
      <c r="BF7" s="173" t="str">
        <f t="shared" ref="BF7:BI38" ca="1" si="7">OFFSET( AQ$6, $BD7, 0 )</f>
        <v>Southern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SO</v>
      </c>
    </row>
    <row r="8" spans="1:61" ht="13.8" x14ac:dyDescent="0.25">
      <c r="A8" s="223" t="s">
        <v>219</v>
      </c>
      <c r="B8" s="224" t="s">
        <v>139</v>
      </c>
      <c r="C8" s="224">
        <v>20</v>
      </c>
      <c r="D8" s="224" t="s">
        <v>220</v>
      </c>
      <c r="E8" s="225" t="str">
        <f t="shared" ref="E8:E64" ca="1" si="8">IF( LEN( $G8 ) = 0, "", OFFSET( INDIRECT( E$3 &amp; E$4 ), $G8 - 1, 0 ) )</f>
        <v>R</v>
      </c>
      <c r="F8" s="348"/>
      <c r="G8" s="349">
        <f t="shared" ca="1" si="1"/>
        <v>8</v>
      </c>
      <c r="H8" s="350"/>
      <c r="I8" s="233"/>
      <c r="J8" s="213" t="s">
        <v>137</v>
      </c>
      <c r="K8" s="233"/>
      <c r="L8" s="213">
        <f t="shared" ref="L8:L13" si="9">COUNTIF($C$7:$C$67,$X8)</f>
        <v>2</v>
      </c>
      <c r="M8" s="214">
        <f t="shared" ref="M8:M13" si="10">IF( L8 = 0, "", L8/L$14 )</f>
        <v>3.7735849056603772E-2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2.6315789473684209E-2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7.6923076923076927E-2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7">SUM(O8, R8, U8)</f>
        <v>2</v>
      </c>
      <c r="AC8" s="351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4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ref="AV8:AV63" si="21">IF( LEN( AS8 ) = 0, 99, RANK( AS8, $AS$7:$AS$63 ) )</f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ref="AY8:AY63" si="23">RANK( AX8, $AX$7:$AX$63, 1 )</f>
        <v>2</v>
      </c>
      <c r="AZ8" s="169"/>
      <c r="BA8" s="169"/>
      <c r="BC8" s="168">
        <f ca="1">OFFSET( BC8, -1, 0 ) + 1</f>
        <v>2</v>
      </c>
      <c r="BD8" s="209">
        <f t="shared" ca="1" si="6"/>
        <v>2</v>
      </c>
      <c r="BF8" s="173" t="str">
        <f t="shared" ca="1" si="7"/>
        <v>Alliant Energy Corporation</v>
      </c>
      <c r="BG8" s="173" t="str">
        <f t="shared" ca="1" si="7"/>
        <v>A-</v>
      </c>
      <c r="BH8" s="173">
        <f t="shared" ca="1" si="7"/>
        <v>20</v>
      </c>
      <c r="BI8" s="173" t="str">
        <f t="shared" ca="1" si="7"/>
        <v>LNT</v>
      </c>
    </row>
    <row r="9" spans="1:61" ht="13.8" x14ac:dyDescent="0.25">
      <c r="A9" s="223" t="s">
        <v>249</v>
      </c>
      <c r="B9" s="224" t="s">
        <v>139</v>
      </c>
      <c r="C9" s="224">
        <v>20</v>
      </c>
      <c r="D9" s="224" t="s">
        <v>250</v>
      </c>
      <c r="E9" s="225" t="str">
        <f t="shared" ca="1" si="8"/>
        <v>MR</v>
      </c>
      <c r="F9" s="348"/>
      <c r="G9" s="349">
        <f t="shared" ca="1" si="1"/>
        <v>13</v>
      </c>
      <c r="H9" s="350"/>
      <c r="I9" s="234"/>
      <c r="J9" s="215" t="s">
        <v>139</v>
      </c>
      <c r="K9" s="234"/>
      <c r="L9" s="215">
        <f t="shared" si="9"/>
        <v>12</v>
      </c>
      <c r="M9" s="216">
        <f t="shared" si="10"/>
        <v>0.22641509433962265</v>
      </c>
      <c r="N9" s="234"/>
      <c r="O9" s="215">
        <f t="shared" ca="1" si="11"/>
        <v>8</v>
      </c>
      <c r="P9" s="216">
        <f t="shared" ca="1" si="12"/>
        <v>0.21052631578947367</v>
      </c>
      <c r="Q9" s="234"/>
      <c r="R9" s="215">
        <f t="shared" ca="1" si="13"/>
        <v>4</v>
      </c>
      <c r="S9" s="216">
        <f t="shared" ca="1" si="14"/>
        <v>0.30769230769230771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7"/>
        <v>12</v>
      </c>
      <c r="AC9" s="351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si="21"/>
        <v>14</v>
      </c>
      <c r="AW9" s="168">
        <f>COUNTIF( AV$7:AV9, AV9 )</f>
        <v>2</v>
      </c>
      <c r="AX9" s="208">
        <f t="shared" si="22"/>
        <v>14.2</v>
      </c>
      <c r="AY9" s="168">
        <f t="shared" si="23"/>
        <v>15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8</v>
      </c>
      <c r="BF9" s="173" t="str">
        <f t="shared" ca="1" si="7"/>
        <v>CenterPoint Energy, Inc.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CNP</v>
      </c>
    </row>
    <row r="10" spans="1:61" ht="13.8" x14ac:dyDescent="0.25">
      <c r="A10" s="223" t="s">
        <v>227</v>
      </c>
      <c r="B10" s="224" t="s">
        <v>139</v>
      </c>
      <c r="C10" s="224">
        <v>20</v>
      </c>
      <c r="D10" s="224" t="s">
        <v>228</v>
      </c>
      <c r="E10" s="225" t="str">
        <f t="shared" ca="1" si="8"/>
        <v>R</v>
      </c>
      <c r="F10" s="348"/>
      <c r="G10" s="349">
        <f t="shared" ca="1" si="1"/>
        <v>16</v>
      </c>
      <c r="H10" s="350"/>
      <c r="I10" s="234"/>
      <c r="J10" s="215" t="s">
        <v>140</v>
      </c>
      <c r="K10" s="234"/>
      <c r="L10" s="215">
        <f t="shared" si="9"/>
        <v>15</v>
      </c>
      <c r="M10" s="216">
        <f t="shared" si="10"/>
        <v>0.28301886792452829</v>
      </c>
      <c r="N10" s="234"/>
      <c r="O10" s="215">
        <f t="shared" ca="1" si="11"/>
        <v>10</v>
      </c>
      <c r="P10" s="216">
        <f t="shared" ca="1" si="12"/>
        <v>0.26315789473684209</v>
      </c>
      <c r="Q10" s="234"/>
      <c r="R10" s="215">
        <f t="shared" ca="1" si="13"/>
        <v>4</v>
      </c>
      <c r="S10" s="216">
        <f t="shared" ca="1" si="14"/>
        <v>0.30769230769230771</v>
      </c>
      <c r="T10" s="234"/>
      <c r="U10" s="215">
        <f t="shared" ca="1" si="15"/>
        <v>1</v>
      </c>
      <c r="V10" s="216">
        <f t="shared" ca="1" si="16"/>
        <v>0.5</v>
      </c>
      <c r="W10" s="234"/>
      <c r="X10" s="186" t="s">
        <v>229</v>
      </c>
      <c r="Y10" s="186">
        <v>19</v>
      </c>
      <c r="Z10" s="186">
        <v>1</v>
      </c>
      <c r="AA10" s="185">
        <f t="shared" ca="1" si="17"/>
        <v>15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222</v>
      </c>
      <c r="AR10" s="207" t="s">
        <v>141</v>
      </c>
      <c r="AS10" s="207">
        <v>18</v>
      </c>
      <c r="AT10" s="207" t="s">
        <v>223</v>
      </c>
      <c r="AV10" s="168">
        <f t="shared" si="21"/>
        <v>29</v>
      </c>
      <c r="AW10" s="168">
        <f>COUNTIF( AV$7:AV10, AV10 )</f>
        <v>1</v>
      </c>
      <c r="AX10" s="208">
        <f t="shared" si="22"/>
        <v>29.1</v>
      </c>
      <c r="AY10" s="168">
        <f t="shared" si="23"/>
        <v>29</v>
      </c>
      <c r="AZ10" s="169"/>
      <c r="BA10" s="169"/>
      <c r="BC10" s="168">
        <f t="shared" ca="1" si="24"/>
        <v>4</v>
      </c>
      <c r="BD10" s="209">
        <f t="shared" ca="1" si="6"/>
        <v>11</v>
      </c>
      <c r="BF10" s="173" t="str">
        <f t="shared" ca="1" si="7"/>
        <v>Consolidated Edison,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ED</v>
      </c>
    </row>
    <row r="11" spans="1:61" ht="13.8" x14ac:dyDescent="0.25">
      <c r="A11" s="223" t="s">
        <v>361</v>
      </c>
      <c r="B11" s="224" t="s">
        <v>139</v>
      </c>
      <c r="C11" s="224">
        <v>20</v>
      </c>
      <c r="D11" s="224" t="s">
        <v>194</v>
      </c>
      <c r="E11" s="225" t="str">
        <f t="shared" ca="1" si="8"/>
        <v>MR</v>
      </c>
      <c r="F11" s="348"/>
      <c r="G11" s="349">
        <f t="shared" ca="1" si="1"/>
        <v>17</v>
      </c>
      <c r="H11" s="350"/>
      <c r="I11" s="234"/>
      <c r="J11" s="215" t="s">
        <v>141</v>
      </c>
      <c r="K11" s="234"/>
      <c r="L11" s="215">
        <f t="shared" si="9"/>
        <v>18</v>
      </c>
      <c r="M11" s="216">
        <f t="shared" si="10"/>
        <v>0.33962264150943394</v>
      </c>
      <c r="N11" s="234"/>
      <c r="O11" s="215">
        <f t="shared" ca="1" si="11"/>
        <v>16</v>
      </c>
      <c r="P11" s="216">
        <f t="shared" ca="1" si="12"/>
        <v>0.42105263157894735</v>
      </c>
      <c r="Q11" s="234"/>
      <c r="R11" s="215">
        <f t="shared" ca="1" si="13"/>
        <v>2</v>
      </c>
      <c r="S11" s="216">
        <f t="shared" ca="1" si="14"/>
        <v>0.15384615384615385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7"/>
        <v>18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238</v>
      </c>
      <c r="AR11" s="207" t="s">
        <v>141</v>
      </c>
      <c r="AS11" s="207">
        <v>18</v>
      </c>
      <c r="AT11" s="207" t="s">
        <v>239</v>
      </c>
      <c r="AV11" s="168">
        <f t="shared" si="21"/>
        <v>29</v>
      </c>
      <c r="AW11" s="168">
        <f>COUNTIF( AV$7:AV11, AV11 )</f>
        <v>2</v>
      </c>
      <c r="AX11" s="208">
        <f t="shared" si="22"/>
        <v>29.2</v>
      </c>
      <c r="AY11" s="168">
        <f t="shared" si="23"/>
        <v>30</v>
      </c>
      <c r="AZ11" s="169"/>
      <c r="BA11" s="169"/>
      <c r="BC11" s="168">
        <f t="shared" ca="1" si="24"/>
        <v>5</v>
      </c>
      <c r="BD11" s="209">
        <f t="shared" ca="1" si="6"/>
        <v>12</v>
      </c>
      <c r="BF11" s="173" t="str">
        <f t="shared" ca="1" si="7"/>
        <v>Dominion Resources,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D</v>
      </c>
    </row>
    <row r="12" spans="1:61" ht="13.8" x14ac:dyDescent="0.25">
      <c r="A12" s="223" t="s">
        <v>395</v>
      </c>
      <c r="B12" s="224" t="s">
        <v>139</v>
      </c>
      <c r="C12" s="224">
        <v>20</v>
      </c>
      <c r="D12" s="224" t="s">
        <v>396</v>
      </c>
      <c r="E12" s="225" t="str">
        <f t="shared" ca="1" si="8"/>
        <v>R</v>
      </c>
      <c r="F12" s="348"/>
      <c r="G12" s="349">
        <f t="shared" ca="1" si="1"/>
        <v>29</v>
      </c>
      <c r="H12" s="350"/>
      <c r="I12" s="234"/>
      <c r="J12" s="215" t="s">
        <v>142</v>
      </c>
      <c r="K12" s="234"/>
      <c r="L12" s="215">
        <f t="shared" si="9"/>
        <v>4</v>
      </c>
      <c r="M12" s="216">
        <f t="shared" si="10"/>
        <v>7.5471698113207544E-2</v>
      </c>
      <c r="N12" s="234"/>
      <c r="O12" s="215">
        <f t="shared" ca="1" si="11"/>
        <v>1</v>
      </c>
      <c r="P12" s="216">
        <f t="shared" ca="1" si="12"/>
        <v>2.6315789473684209E-2</v>
      </c>
      <c r="Q12" s="234"/>
      <c r="R12" s="215">
        <f t="shared" ca="1" si="13"/>
        <v>2</v>
      </c>
      <c r="S12" s="216">
        <f t="shared" ca="1" si="14"/>
        <v>0.15384615384615385</v>
      </c>
      <c r="T12" s="234"/>
      <c r="U12" s="215">
        <f t="shared" ca="1" si="15"/>
        <v>1</v>
      </c>
      <c r="V12" s="216">
        <f t="shared" ca="1" si="16"/>
        <v>0.5</v>
      </c>
      <c r="W12" s="234"/>
      <c r="X12" s="186" t="s">
        <v>237</v>
      </c>
      <c r="Y12" s="186">
        <v>17</v>
      </c>
      <c r="Z12" s="186">
        <v>1</v>
      </c>
      <c r="AA12" s="185">
        <f t="shared" ca="1" si="17"/>
        <v>4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215</v>
      </c>
      <c r="AR12" s="207" t="s">
        <v>140</v>
      </c>
      <c r="AS12" s="207">
        <v>19</v>
      </c>
      <c r="AT12" s="207" t="s">
        <v>216</v>
      </c>
      <c r="AV12" s="168">
        <f t="shared" si="21"/>
        <v>14</v>
      </c>
      <c r="AW12" s="168">
        <f>COUNTIF( AV$7:AV12, AV12 )</f>
        <v>3</v>
      </c>
      <c r="AX12" s="208">
        <f t="shared" si="22"/>
        <v>14.3</v>
      </c>
      <c r="AY12" s="168">
        <f t="shared" si="23"/>
        <v>16</v>
      </c>
      <c r="AZ12" s="169"/>
      <c r="BA12" s="169"/>
      <c r="BC12" s="168">
        <f t="shared" ca="1" si="24"/>
        <v>6</v>
      </c>
      <c r="BD12" s="209">
        <f t="shared" ca="1" si="6"/>
        <v>26</v>
      </c>
      <c r="BF12" s="173" t="str">
        <f t="shared" ca="1" si="7"/>
        <v>Integrys Energy Group,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TEG</v>
      </c>
    </row>
    <row r="13" spans="1:61" ht="13.8" x14ac:dyDescent="0.25">
      <c r="A13" s="223" t="s">
        <v>240</v>
      </c>
      <c r="B13" s="224" t="s">
        <v>139</v>
      </c>
      <c r="C13" s="224">
        <v>20</v>
      </c>
      <c r="D13" s="224" t="s">
        <v>241</v>
      </c>
      <c r="E13" s="225" t="str">
        <f t="shared" ca="1" si="8"/>
        <v>MR</v>
      </c>
      <c r="F13" s="348"/>
      <c r="G13" s="349">
        <f t="shared" ca="1" si="1"/>
        <v>32</v>
      </c>
      <c r="H13" s="350"/>
      <c r="I13" s="235"/>
      <c r="J13" s="217" t="s">
        <v>143</v>
      </c>
      <c r="K13" s="235"/>
      <c r="L13" s="217">
        <f t="shared" si="9"/>
        <v>2</v>
      </c>
      <c r="M13" s="218">
        <f t="shared" si="10"/>
        <v>3.7735849056603772E-2</v>
      </c>
      <c r="N13" s="235"/>
      <c r="O13" s="217">
        <f t="shared" ca="1" si="11"/>
        <v>2</v>
      </c>
      <c r="P13" s="218">
        <f t="shared" ca="1" si="12"/>
        <v>5.2631578947368418E-2</v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242</v>
      </c>
      <c r="Y13" s="186">
        <v>16</v>
      </c>
      <c r="Z13" s="186">
        <v>1</v>
      </c>
      <c r="AA13" s="188">
        <f t="shared" ca="1" si="17"/>
        <v>2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245</v>
      </c>
      <c r="AR13" s="207" t="s">
        <v>141</v>
      </c>
      <c r="AS13" s="207">
        <v>18</v>
      </c>
      <c r="AT13" s="207" t="s">
        <v>246</v>
      </c>
      <c r="AV13" s="168">
        <f t="shared" si="21"/>
        <v>29</v>
      </c>
      <c r="AW13" s="168">
        <f>COUNTIF( AV$7:AV13, AV13 )</f>
        <v>3</v>
      </c>
      <c r="AX13" s="208">
        <f t="shared" si="22"/>
        <v>29.3</v>
      </c>
      <c r="AY13" s="168">
        <f t="shared" si="23"/>
        <v>31</v>
      </c>
      <c r="AZ13" s="169"/>
      <c r="BA13" s="169"/>
      <c r="BC13" s="168">
        <f t="shared" ca="1" si="24"/>
        <v>7</v>
      </c>
      <c r="BD13" s="209">
        <f t="shared" ca="1" si="6"/>
        <v>29</v>
      </c>
      <c r="BF13" s="173" t="str">
        <f t="shared" ca="1" si="7"/>
        <v>NextEra Energy, Inc.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NEE</v>
      </c>
    </row>
    <row r="14" spans="1:61" ht="13.8" x14ac:dyDescent="0.25">
      <c r="A14" s="223" t="s">
        <v>394</v>
      </c>
      <c r="B14" s="224" t="s">
        <v>139</v>
      </c>
      <c r="C14" s="224">
        <v>20</v>
      </c>
      <c r="D14" s="224" t="s">
        <v>236</v>
      </c>
      <c r="E14" s="225" t="str">
        <f t="shared" ca="1" si="8"/>
        <v>R</v>
      </c>
      <c r="F14" s="348"/>
      <c r="G14" s="349">
        <f t="shared" ca="1" si="1"/>
        <v>34</v>
      </c>
      <c r="H14" s="350"/>
      <c r="I14" s="236"/>
      <c r="J14" s="211" t="s">
        <v>144</v>
      </c>
      <c r="K14" s="236"/>
      <c r="L14" s="211">
        <f>SUM(L8:L13)</f>
        <v>53</v>
      </c>
      <c r="M14" s="212">
        <f>L14/L$14</f>
        <v>1</v>
      </c>
      <c r="N14" s="236"/>
      <c r="O14" s="211">
        <f ca="1">SUM(O8:O13)</f>
        <v>38</v>
      </c>
      <c r="P14" s="212">
        <f ca="1">O14/O$14</f>
        <v>1</v>
      </c>
      <c r="Q14" s="236"/>
      <c r="R14" s="211">
        <f ca="1">SUM(R8:R13)</f>
        <v>13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18.69811320754717</v>
      </c>
      <c r="Z14" s="190"/>
      <c r="AA14" s="189">
        <f ca="1">SUM(AA8:AA13)</f>
        <v>53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249</v>
      </c>
      <c r="AR14" s="207" t="s">
        <v>139</v>
      </c>
      <c r="AS14" s="207">
        <v>20</v>
      </c>
      <c r="AT14" s="207" t="s">
        <v>250</v>
      </c>
      <c r="AV14" s="168">
        <f>IF( LEN( AS14 ) = 0, 99, RANK( AS14, $AS$7:$AS$63 ) )</f>
        <v>2</v>
      </c>
      <c r="AW14" s="168">
        <f>COUNTIF( AV$7:AV14, AV14 )</f>
        <v>2</v>
      </c>
      <c r="AX14" s="208">
        <f t="shared" si="22"/>
        <v>2.2000000000000002</v>
      </c>
      <c r="AY14" s="168">
        <f t="shared" si="23"/>
        <v>3</v>
      </c>
      <c r="AZ14" s="169"/>
      <c r="BA14" s="169"/>
      <c r="BC14" s="168">
        <f t="shared" ca="1" si="24"/>
        <v>8</v>
      </c>
      <c r="BD14" s="209">
        <f t="shared" ca="1" si="6"/>
        <v>31</v>
      </c>
      <c r="BF14" s="173" t="str">
        <f t="shared" ca="1" si="7"/>
        <v>Eversource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ES</v>
      </c>
    </row>
    <row r="15" spans="1:61" ht="13.8" x14ac:dyDescent="0.25">
      <c r="A15" s="223" t="s">
        <v>277</v>
      </c>
      <c r="B15" s="224" t="s">
        <v>139</v>
      </c>
      <c r="C15" s="224">
        <v>20</v>
      </c>
      <c r="D15" s="224" t="s">
        <v>278</v>
      </c>
      <c r="E15" s="225" t="str">
        <f t="shared" ca="1" si="8"/>
        <v>R</v>
      </c>
      <c r="F15" s="348"/>
      <c r="G15" s="349">
        <f t="shared" ca="1" si="1"/>
        <v>36</v>
      </c>
      <c r="H15" s="350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254</v>
      </c>
      <c r="AR15" s="207" t="s">
        <v>140</v>
      </c>
      <c r="AS15" s="207">
        <v>19</v>
      </c>
      <c r="AT15" s="207" t="s">
        <v>378</v>
      </c>
      <c r="AV15" s="168">
        <f t="shared" si="21"/>
        <v>14</v>
      </c>
      <c r="AW15" s="168">
        <f>COUNTIF( AV$7:AV15, AV15 )</f>
        <v>4</v>
      </c>
      <c r="AX15" s="208">
        <f t="shared" si="22"/>
        <v>14.4</v>
      </c>
      <c r="AY15" s="168">
        <f t="shared" si="23"/>
        <v>17</v>
      </c>
      <c r="AZ15" s="169"/>
      <c r="BA15" s="169"/>
      <c r="BC15" s="168">
        <f t="shared" ca="1" si="24"/>
        <v>9</v>
      </c>
      <c r="BD15" s="209">
        <f t="shared" ca="1" si="6"/>
        <v>33</v>
      </c>
      <c r="BF15" s="173" t="str">
        <f t="shared" ca="1" si="7"/>
        <v>OGE Energy Corp.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OGE</v>
      </c>
    </row>
    <row r="16" spans="1:61" ht="13.8" x14ac:dyDescent="0.25">
      <c r="A16" s="223" t="s">
        <v>281</v>
      </c>
      <c r="B16" s="224" t="s">
        <v>139</v>
      </c>
      <c r="C16" s="224">
        <v>20</v>
      </c>
      <c r="D16" s="224" t="s">
        <v>282</v>
      </c>
      <c r="E16" s="225" t="str">
        <f t="shared" ca="1" si="8"/>
        <v>R</v>
      </c>
      <c r="F16" s="348"/>
      <c r="G16" s="349">
        <f t="shared" ca="1" si="1"/>
        <v>40</v>
      </c>
      <c r="H16" s="350"/>
      <c r="I16" s="232"/>
      <c r="J16" s="210" t="s">
        <v>253</v>
      </c>
      <c r="K16" s="232"/>
      <c r="L16" s="386">
        <f t="array" ref="L16">SUM( IF( LEN( $C$7:$C$65 ) = 0, 0, $C$7:$C$65 ) ) / SUM( IF( LEN( $C$7:$C$65 ) = 0, 0, 1  ) )</f>
        <v>18.716981132075471</v>
      </c>
      <c r="M16" s="387"/>
      <c r="N16" s="232"/>
      <c r="O16" s="386">
        <f t="array" aca="1" ref="O16" ca="1">SUM( IF( LEN( $C$7:$C$65 ) = 0, 0, IF( $E$7:$E$65 = O3, $C$7:$C$65, 0 ) ) ) / SUM( IF( LEN( $C$7:$C$65 ) = 0, 0, IF( $E$7:$E$65 = O3, 1, 0 ) ) )</f>
        <v>18.605263157894736</v>
      </c>
      <c r="P16" s="387"/>
      <c r="Q16" s="232"/>
      <c r="R16" s="386">
        <f t="array" aca="1" ref="R16" ca="1">SUM( IF( LEN( $C$7:$C$65 ) = 0, 0, IF( $E$7:$E$65 = R3, $C$7:$C$65, 0 ) ) ) / SUM( IF( LEN( $C$7:$C$65 ) = 0, 0, IF( $E$7:$E$65 = R3, 1, 0 ) ) )</f>
        <v>19.153846153846153</v>
      </c>
      <c r="S16" s="387"/>
      <c r="T16" s="232"/>
      <c r="U16" s="386">
        <f t="array" aca="1" ref="U16" ca="1">SUM( IF( LEN( $C$7:$C$65 ) = 0, 0, IF( $E$7:$E$65 = U3, $C$7:$C$65, 0 ) ) ) / SUM( IF( LEN( $C$7:$C$65 ) = 0, 0, IF( $E$7:$E$65 = U3, 1, 0 ) ) )</f>
        <v>18</v>
      </c>
      <c r="V16" s="388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256</v>
      </c>
      <c r="AR16" s="207" t="s">
        <v>141</v>
      </c>
      <c r="AS16" s="207">
        <v>18</v>
      </c>
      <c r="AT16" s="207" t="s">
        <v>257</v>
      </c>
      <c r="AV16" s="168">
        <f t="shared" si="21"/>
        <v>29</v>
      </c>
      <c r="AW16" s="168">
        <f>COUNTIF( AV$7:AV16, AV16 )</f>
        <v>4</v>
      </c>
      <c r="AX16" s="208">
        <f t="shared" si="22"/>
        <v>29.4</v>
      </c>
      <c r="AY16" s="168">
        <f t="shared" si="23"/>
        <v>32</v>
      </c>
      <c r="AZ16" s="169"/>
      <c r="BA16" s="169"/>
      <c r="BC16" s="168">
        <f t="shared" ca="1" si="24"/>
        <v>10</v>
      </c>
      <c r="BD16" s="209">
        <f t="shared" ca="1" si="6"/>
        <v>37</v>
      </c>
      <c r="BF16" s="173" t="str">
        <f t="shared" ca="1" si="7"/>
        <v>Pinnacle West Capital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PNW</v>
      </c>
    </row>
    <row r="17" spans="1:61" ht="13.8" x14ac:dyDescent="0.25">
      <c r="A17" s="223" t="s">
        <v>345</v>
      </c>
      <c r="B17" s="224" t="s">
        <v>139</v>
      </c>
      <c r="C17" s="224">
        <v>20</v>
      </c>
      <c r="D17" s="224" t="s">
        <v>346</v>
      </c>
      <c r="E17" s="225" t="str">
        <f t="shared" ca="1" si="8"/>
        <v>MR</v>
      </c>
      <c r="F17" s="348"/>
      <c r="G17" s="349">
        <f t="shared" ca="1" si="1"/>
        <v>52</v>
      </c>
      <c r="H17" s="350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227</v>
      </c>
      <c r="AR17" s="207" t="s">
        <v>139</v>
      </c>
      <c r="AS17" s="207">
        <v>20</v>
      </c>
      <c r="AT17" s="207" t="s">
        <v>228</v>
      </c>
      <c r="AV17" s="168">
        <f t="shared" si="21"/>
        <v>2</v>
      </c>
      <c r="AW17" s="168">
        <f>COUNTIF( AV$7:AV17, AV17 )</f>
        <v>3</v>
      </c>
      <c r="AX17" s="208">
        <f t="shared" si="22"/>
        <v>2.2999999999999998</v>
      </c>
      <c r="AY17" s="168">
        <f t="shared" si="23"/>
        <v>4</v>
      </c>
      <c r="AZ17" s="169"/>
      <c r="BA17" s="169"/>
      <c r="BC17" s="168">
        <f t="shared" ca="1" si="24"/>
        <v>11</v>
      </c>
      <c r="BD17" s="209">
        <f t="shared" ca="1" si="6"/>
        <v>48</v>
      </c>
      <c r="BF17" s="173" t="str">
        <f t="shared" ca="1" si="7"/>
        <v>Vectren Corporation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VVC</v>
      </c>
    </row>
    <row r="18" spans="1:61" ht="13.8" x14ac:dyDescent="0.25">
      <c r="A18" s="223" t="s">
        <v>247</v>
      </c>
      <c r="B18" s="224" t="s">
        <v>139</v>
      </c>
      <c r="C18" s="224">
        <v>20</v>
      </c>
      <c r="D18" s="224" t="s">
        <v>248</v>
      </c>
      <c r="E18" s="225" t="str">
        <f t="shared" ca="1" si="8"/>
        <v>R</v>
      </c>
      <c r="F18" s="348"/>
      <c r="G18" s="349">
        <f t="shared" ca="1" si="1"/>
        <v>54</v>
      </c>
      <c r="H18" s="350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361</v>
      </c>
      <c r="AR18" s="207" t="s">
        <v>139</v>
      </c>
      <c r="AS18" s="207">
        <v>20</v>
      </c>
      <c r="AT18" s="207" t="s">
        <v>194</v>
      </c>
      <c r="AV18" s="168">
        <f t="shared" si="21"/>
        <v>2</v>
      </c>
      <c r="AW18" s="168">
        <f>COUNTIF( AV$7:AV18, AV18 )</f>
        <v>4</v>
      </c>
      <c r="AX18" s="208">
        <f t="shared" si="22"/>
        <v>2.4</v>
      </c>
      <c r="AY18" s="168">
        <f t="shared" si="23"/>
        <v>5</v>
      </c>
      <c r="AZ18" s="169"/>
      <c r="BA18" s="169"/>
      <c r="BC18" s="168">
        <f t="shared" ca="1" si="24"/>
        <v>12</v>
      </c>
      <c r="BD18" s="209">
        <f t="shared" ca="1" si="6"/>
        <v>50</v>
      </c>
      <c r="BF18" s="173" t="str">
        <f t="shared" ca="1" si="7"/>
        <v>Wisconsin Energy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WEC</v>
      </c>
    </row>
    <row r="19" spans="1:61" ht="13.8" x14ac:dyDescent="0.25">
      <c r="A19" s="223" t="s">
        <v>251</v>
      </c>
      <c r="B19" s="224" t="s">
        <v>139</v>
      </c>
      <c r="C19" s="224">
        <v>20</v>
      </c>
      <c r="D19" s="224" t="s">
        <v>252</v>
      </c>
      <c r="E19" s="225" t="str">
        <f t="shared" ca="1" si="8"/>
        <v>R</v>
      </c>
      <c r="F19" s="348"/>
      <c r="G19" s="349">
        <f t="shared" ca="1" si="1"/>
        <v>55</v>
      </c>
      <c r="H19" s="350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259</v>
      </c>
      <c r="AR19" s="207" t="s">
        <v>175</v>
      </c>
      <c r="AS19" s="207">
        <v>15</v>
      </c>
      <c r="AT19" s="207" t="s">
        <v>260</v>
      </c>
      <c r="AV19" s="168">
        <f t="shared" si="21"/>
        <v>51</v>
      </c>
      <c r="AW19" s="168">
        <f>COUNTIF( AV$7:AV19, AV19 )</f>
        <v>1</v>
      </c>
      <c r="AX19" s="208">
        <f t="shared" si="22"/>
        <v>51.1</v>
      </c>
      <c r="AY19" s="168">
        <f t="shared" si="23"/>
        <v>51</v>
      </c>
      <c r="AZ19" s="169"/>
      <c r="BA19" s="169"/>
      <c r="BC19" s="168">
        <f t="shared" ca="1" si="24"/>
        <v>13</v>
      </c>
      <c r="BD19" s="209">
        <f t="shared" ca="1" si="6"/>
        <v>51</v>
      </c>
      <c r="BF19" s="173" t="str">
        <f t="shared" ca="1" si="7"/>
        <v>Xcel Energy Inc.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XEL</v>
      </c>
    </row>
    <row r="20" spans="1:61" ht="13.8" x14ac:dyDescent="0.25">
      <c r="A20" s="223" t="s">
        <v>217</v>
      </c>
      <c r="B20" s="224" t="s">
        <v>140</v>
      </c>
      <c r="C20" s="224">
        <v>19</v>
      </c>
      <c r="D20" s="224" t="s">
        <v>218</v>
      </c>
      <c r="E20" s="225" t="str">
        <f t="shared" ca="1" si="8"/>
        <v>R</v>
      </c>
      <c r="F20" s="348"/>
      <c r="G20" s="349">
        <f t="shared" ca="1" si="1"/>
        <v>7</v>
      </c>
      <c r="H20" s="350"/>
      <c r="I20" s="352"/>
      <c r="K20" s="352"/>
      <c r="N20" s="352"/>
      <c r="O20" s="173"/>
      <c r="Q20" s="352"/>
      <c r="T20" s="352"/>
      <c r="W20" s="352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4"/>
        <v/>
      </c>
      <c r="AQ20" s="207" t="s">
        <v>261</v>
      </c>
      <c r="AR20" s="207" t="s">
        <v>140</v>
      </c>
      <c r="AS20" s="207">
        <v>19</v>
      </c>
      <c r="AT20" s="207" t="s">
        <v>262</v>
      </c>
      <c r="AV20" s="168">
        <f t="shared" si="21"/>
        <v>14</v>
      </c>
      <c r="AW20" s="168">
        <f>COUNTIF( AV$7:AV20, AV20 )</f>
        <v>5</v>
      </c>
      <c r="AX20" s="208">
        <f t="shared" si="22"/>
        <v>14.5</v>
      </c>
      <c r="AY20" s="168">
        <f t="shared" si="23"/>
        <v>18</v>
      </c>
      <c r="AZ20" s="169"/>
      <c r="BA20" s="169"/>
      <c r="BC20" s="168">
        <f t="shared" ca="1" si="24"/>
        <v>14</v>
      </c>
      <c r="BD20" s="209">
        <f t="shared" ca="1" si="6"/>
        <v>1</v>
      </c>
      <c r="BF20" s="173" t="str">
        <f t="shared" ca="1" si="7"/>
        <v>ALLETE, Inc.</v>
      </c>
      <c r="BG20" s="173" t="str">
        <f t="shared" ca="1" si="7"/>
        <v>BBB+</v>
      </c>
      <c r="BH20" s="173">
        <f t="shared" ca="1" si="7"/>
        <v>19</v>
      </c>
      <c r="BI20" s="173" t="str">
        <f t="shared" ca="1" si="7"/>
        <v>ALE</v>
      </c>
    </row>
    <row r="21" spans="1:61" ht="13.8" x14ac:dyDescent="0.25">
      <c r="A21" s="223" t="s">
        <v>225</v>
      </c>
      <c r="B21" s="224" t="s">
        <v>140</v>
      </c>
      <c r="C21" s="224">
        <v>19</v>
      </c>
      <c r="D21" s="224" t="s">
        <v>226</v>
      </c>
      <c r="E21" s="225" t="str">
        <f t="shared" ca="1" si="8"/>
        <v>R</v>
      </c>
      <c r="F21" s="348"/>
      <c r="G21" s="349">
        <f t="shared" ca="1" si="1"/>
        <v>9</v>
      </c>
      <c r="H21" s="350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263</v>
      </c>
      <c r="AR21" s="207" t="s">
        <v>140</v>
      </c>
      <c r="AS21" s="207">
        <v>19</v>
      </c>
      <c r="AT21" s="207" t="s">
        <v>264</v>
      </c>
      <c r="AV21" s="168">
        <f t="shared" si="21"/>
        <v>14</v>
      </c>
      <c r="AW21" s="168">
        <f>COUNTIF( AV$7:AV21, AV21 )</f>
        <v>6</v>
      </c>
      <c r="AX21" s="208">
        <f t="shared" si="22"/>
        <v>14.6</v>
      </c>
      <c r="AY21" s="168">
        <f t="shared" si="23"/>
        <v>19</v>
      </c>
      <c r="AZ21" s="169"/>
      <c r="BA21" s="169"/>
      <c r="BC21" s="168">
        <f t="shared" ca="1" si="24"/>
        <v>15</v>
      </c>
      <c r="BD21" s="209">
        <f t="shared" ca="1" si="6"/>
        <v>3</v>
      </c>
      <c r="BF21" s="173" t="str">
        <f t="shared" ca="1" si="7"/>
        <v>Ameren Corporation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AEE</v>
      </c>
    </row>
    <row r="22" spans="1:61" ht="13.8" x14ac:dyDescent="0.25">
      <c r="A22" s="223" t="s">
        <v>215</v>
      </c>
      <c r="B22" s="224" t="s">
        <v>140</v>
      </c>
      <c r="C22" s="224">
        <v>19</v>
      </c>
      <c r="D22" s="224" t="s">
        <v>216</v>
      </c>
      <c r="E22" s="225" t="str">
        <f t="shared" ca="1" si="8"/>
        <v>MR</v>
      </c>
      <c r="F22" s="348"/>
      <c r="G22" s="349">
        <f t="shared" ca="1" si="1"/>
        <v>61</v>
      </c>
      <c r="H22" s="350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26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265</v>
      </c>
      <c r="AR22" s="207" t="s">
        <v>140</v>
      </c>
      <c r="AS22" s="207">
        <v>19</v>
      </c>
      <c r="AT22" s="207" t="s">
        <v>266</v>
      </c>
      <c r="AV22" s="168">
        <f t="shared" si="21"/>
        <v>14</v>
      </c>
      <c r="AW22" s="168">
        <f>COUNTIF( AV$7:AV22, AV22 )</f>
        <v>7</v>
      </c>
      <c r="AX22" s="208">
        <f t="shared" si="22"/>
        <v>14.7</v>
      </c>
      <c r="AY22" s="168">
        <f t="shared" si="23"/>
        <v>20</v>
      </c>
      <c r="AZ22" s="169"/>
      <c r="BA22" s="169"/>
      <c r="BC22" s="168">
        <f t="shared" ca="1" si="24"/>
        <v>16</v>
      </c>
      <c r="BD22" s="209">
        <f t="shared" ca="1" si="6"/>
        <v>6</v>
      </c>
      <c r="BF22" s="173" t="str">
        <f t="shared" ca="1" si="7"/>
        <v>Berkshire Energy Holdings Company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**BRK</v>
      </c>
    </row>
    <row r="23" spans="1:61" ht="13.8" x14ac:dyDescent="0.25">
      <c r="A23" s="223" t="s">
        <v>254</v>
      </c>
      <c r="B23" s="224" t="s">
        <v>140</v>
      </c>
      <c r="C23" s="224">
        <v>19</v>
      </c>
      <c r="D23" s="224" t="s">
        <v>378</v>
      </c>
      <c r="E23" s="225" t="str">
        <f t="shared" ca="1" si="8"/>
        <v>R</v>
      </c>
      <c r="F23" s="348"/>
      <c r="G23" s="349">
        <f t="shared" ca="1" si="1"/>
        <v>14</v>
      </c>
      <c r="H23" s="350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22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328</v>
      </c>
      <c r="AR23" s="207" t="s">
        <v>141</v>
      </c>
      <c r="AS23" s="207">
        <v>18</v>
      </c>
      <c r="AT23" s="207" t="s">
        <v>331</v>
      </c>
      <c r="AV23" s="168">
        <f t="shared" si="21"/>
        <v>29</v>
      </c>
      <c r="AW23" s="168">
        <f>COUNTIF( AV$7:AV23, AV23 )</f>
        <v>5</v>
      </c>
      <c r="AX23" s="208">
        <f t="shared" si="22"/>
        <v>29.5</v>
      </c>
      <c r="AY23" s="168">
        <f t="shared" si="23"/>
        <v>33</v>
      </c>
      <c r="AZ23" s="169"/>
      <c r="BA23" s="169"/>
      <c r="BC23" s="168">
        <f t="shared" ca="1" si="24"/>
        <v>17</v>
      </c>
      <c r="BD23" s="209">
        <f t="shared" ca="1" si="6"/>
        <v>9</v>
      </c>
      <c r="BF23" s="173" t="str">
        <f t="shared" ca="1" si="7"/>
        <v>Cleco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CNL</v>
      </c>
    </row>
    <row r="24" spans="1:61" ht="13.8" x14ac:dyDescent="0.25">
      <c r="A24" s="223" t="s">
        <v>261</v>
      </c>
      <c r="B24" s="224" t="s">
        <v>140</v>
      </c>
      <c r="C24" s="224">
        <v>19</v>
      </c>
      <c r="D24" s="224" t="s">
        <v>262</v>
      </c>
      <c r="E24" s="225" t="str">
        <f t="shared" ca="1" si="8"/>
        <v>R</v>
      </c>
      <c r="F24" s="348"/>
      <c r="G24" s="349">
        <f t="shared" ca="1" si="1"/>
        <v>18</v>
      </c>
      <c r="H24" s="350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23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367</v>
      </c>
      <c r="AR24" s="207" t="s">
        <v>141</v>
      </c>
      <c r="AS24" s="207">
        <v>18</v>
      </c>
      <c r="AT24" s="207" t="s">
        <v>368</v>
      </c>
      <c r="AV24" s="168">
        <f t="shared" si="21"/>
        <v>29</v>
      </c>
      <c r="AW24" s="168">
        <f>COUNTIF( AV$7:AV24, AV24 )</f>
        <v>6</v>
      </c>
      <c r="AX24" s="208">
        <f t="shared" si="22"/>
        <v>29.6</v>
      </c>
      <c r="AY24" s="168">
        <f t="shared" si="23"/>
        <v>34</v>
      </c>
      <c r="AZ24" s="169"/>
      <c r="BA24" s="169"/>
      <c r="BC24" s="168">
        <f t="shared" ca="1" si="24"/>
        <v>18</v>
      </c>
      <c r="BD24" s="209">
        <f t="shared" ca="1" si="6"/>
        <v>14</v>
      </c>
      <c r="BF24" s="173" t="str">
        <f t="shared" ca="1" si="7"/>
        <v>DTE Energy Company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DTE</v>
      </c>
    </row>
    <row r="25" spans="1:61" ht="13.8" x14ac:dyDescent="0.25">
      <c r="A25" s="223" t="s">
        <v>263</v>
      </c>
      <c r="B25" s="224" t="s">
        <v>140</v>
      </c>
      <c r="C25" s="224">
        <v>19</v>
      </c>
      <c r="D25" s="224" t="s">
        <v>264</v>
      </c>
      <c r="E25" s="225" t="str">
        <f t="shared" ca="1" si="8"/>
        <v>R</v>
      </c>
      <c r="F25" s="348"/>
      <c r="G25" s="349">
        <f t="shared" ca="1" si="1"/>
        <v>19</v>
      </c>
      <c r="H25" s="350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24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267</v>
      </c>
      <c r="AR25" s="207" t="s">
        <v>141</v>
      </c>
      <c r="AS25" s="207">
        <v>18</v>
      </c>
      <c r="AT25" s="207" t="s">
        <v>268</v>
      </c>
      <c r="AV25" s="168">
        <f t="shared" si="21"/>
        <v>29</v>
      </c>
      <c r="AW25" s="168">
        <f>COUNTIF( AV$7:AV25, AV25 )</f>
        <v>7</v>
      </c>
      <c r="AX25" s="208">
        <f t="shared" si="22"/>
        <v>29.7</v>
      </c>
      <c r="AY25" s="168">
        <f t="shared" si="23"/>
        <v>35</v>
      </c>
      <c r="AZ25" s="169"/>
      <c r="BA25" s="169"/>
      <c r="BC25" s="168">
        <f t="shared" ca="1" si="24"/>
        <v>19</v>
      </c>
      <c r="BD25" s="209">
        <f t="shared" ca="1" si="6"/>
        <v>15</v>
      </c>
      <c r="BF25" s="173" t="str">
        <f t="shared" ca="1" si="7"/>
        <v>Duke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DUK</v>
      </c>
    </row>
    <row r="26" spans="1:61" ht="13.8" x14ac:dyDescent="0.25">
      <c r="A26" s="223" t="s">
        <v>265</v>
      </c>
      <c r="B26" s="224" t="s">
        <v>140</v>
      </c>
      <c r="C26" s="224">
        <v>19</v>
      </c>
      <c r="D26" s="224" t="s">
        <v>266</v>
      </c>
      <c r="E26" s="225" t="str">
        <f t="shared" ca="1" si="8"/>
        <v>R</v>
      </c>
      <c r="F26" s="348"/>
      <c r="G26" s="349">
        <f t="shared" ca="1" si="1"/>
        <v>20</v>
      </c>
      <c r="H26" s="350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>
        <f t="shared" ca="1" si="3"/>
        <v>1</v>
      </c>
      <c r="AH26" s="169" t="str">
        <f t="shared" ca="1" si="18"/>
        <v/>
      </c>
      <c r="AJ26" s="169">
        <f t="shared" ca="1" si="19"/>
        <v>51</v>
      </c>
      <c r="AK26" s="169" t="str">
        <f t="shared" ca="1" si="20"/>
        <v>BBB-</v>
      </c>
      <c r="AL26" s="169">
        <f t="shared" ca="1" si="20"/>
        <v>17</v>
      </c>
      <c r="AM26" s="169" t="str">
        <f t="shared" ca="1" si="4"/>
        <v>Change</v>
      </c>
      <c r="AQ26" s="207" t="s">
        <v>269</v>
      </c>
      <c r="AR26" s="207" t="s">
        <v>141</v>
      </c>
      <c r="AS26" s="207">
        <v>18</v>
      </c>
      <c r="AT26" s="207" t="s">
        <v>270</v>
      </c>
      <c r="AV26" s="168">
        <f t="shared" si="21"/>
        <v>29</v>
      </c>
      <c r="AW26" s="168">
        <f>COUNTIF( AV$7:AV26, AV26 )</f>
        <v>8</v>
      </c>
      <c r="AX26" s="208">
        <f t="shared" si="22"/>
        <v>29.8</v>
      </c>
      <c r="AY26" s="168">
        <f t="shared" si="23"/>
        <v>36</v>
      </c>
      <c r="AZ26" s="169"/>
      <c r="BA26" s="169"/>
      <c r="BC26" s="168">
        <f t="shared" ca="1" si="24"/>
        <v>20</v>
      </c>
      <c r="BD26" s="209">
        <f t="shared" ca="1" si="6"/>
        <v>16</v>
      </c>
      <c r="BF26" s="173" t="str">
        <f t="shared" ca="1" si="7"/>
        <v>Edison International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EIX</v>
      </c>
    </row>
    <row r="27" spans="1:61" ht="13.8" x14ac:dyDescent="0.25">
      <c r="A27" s="223" t="s">
        <v>352</v>
      </c>
      <c r="B27" s="224" t="s">
        <v>140</v>
      </c>
      <c r="C27" s="224">
        <v>19</v>
      </c>
      <c r="D27" s="224" t="s">
        <v>353</v>
      </c>
      <c r="E27" s="225" t="str">
        <f t="shared" ca="1" si="8"/>
        <v>R</v>
      </c>
      <c r="F27" s="348"/>
      <c r="G27" s="349">
        <f t="shared" ca="1" si="1"/>
        <v>26</v>
      </c>
      <c r="H27" s="350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>
        <f t="shared" ca="1" si="3"/>
        <v>1</v>
      </c>
      <c r="AH27" s="169" t="str">
        <f t="shared" ca="1" si="18"/>
        <v/>
      </c>
      <c r="AJ27" s="169">
        <f t="shared" ca="1" si="19"/>
        <v>40</v>
      </c>
      <c r="AK27" s="169" t="str">
        <f t="shared" ca="1" si="20"/>
        <v>BBB</v>
      </c>
      <c r="AL27" s="169">
        <f t="shared" ca="1" si="20"/>
        <v>18</v>
      </c>
      <c r="AM27" s="169" t="str">
        <f t="shared" ca="1" si="4"/>
        <v>Change</v>
      </c>
      <c r="AQ27" s="207" t="s">
        <v>275</v>
      </c>
      <c r="AR27" s="207" t="s">
        <v>142</v>
      </c>
      <c r="AS27" s="207">
        <v>17</v>
      </c>
      <c r="AT27" s="207" t="s">
        <v>276</v>
      </c>
      <c r="AV27" s="168">
        <f t="shared" si="21"/>
        <v>46</v>
      </c>
      <c r="AW27" s="168">
        <f>COUNTIF( AV$7:AV27, AV27 )</f>
        <v>1</v>
      </c>
      <c r="AX27" s="208">
        <f t="shared" si="22"/>
        <v>46.1</v>
      </c>
      <c r="AY27" s="168">
        <f t="shared" si="23"/>
        <v>46</v>
      </c>
      <c r="AZ27" s="169"/>
      <c r="BA27" s="169"/>
      <c r="BC27" s="168">
        <f t="shared" ca="1" si="24"/>
        <v>21</v>
      </c>
      <c r="BD27" s="209">
        <f t="shared" ca="1" si="6"/>
        <v>22</v>
      </c>
      <c r="BF27" s="173" t="str">
        <f t="shared" ca="1" si="7"/>
        <v>Great Plains Energy Inc.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GXP</v>
      </c>
    </row>
    <row r="28" spans="1:61" ht="13.8" x14ac:dyDescent="0.25">
      <c r="A28" s="223" t="s">
        <v>271</v>
      </c>
      <c r="B28" s="224" t="s">
        <v>140</v>
      </c>
      <c r="C28" s="224">
        <v>19</v>
      </c>
      <c r="D28" s="224" t="s">
        <v>272</v>
      </c>
      <c r="E28" s="225" t="str">
        <f t="shared" ca="1" si="8"/>
        <v>D</v>
      </c>
      <c r="F28" s="348"/>
      <c r="G28" s="349">
        <f t="shared" ca="1" si="1"/>
        <v>30</v>
      </c>
      <c r="H28" s="350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25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352</v>
      </c>
      <c r="AR28" s="207" t="s">
        <v>140</v>
      </c>
      <c r="AS28" s="207">
        <v>19</v>
      </c>
      <c r="AT28" s="207" t="s">
        <v>353</v>
      </c>
      <c r="AV28" s="168">
        <f t="shared" si="21"/>
        <v>14</v>
      </c>
      <c r="AW28" s="168">
        <f>COUNTIF( AV$7:AV28, AV28 )</f>
        <v>8</v>
      </c>
      <c r="AX28" s="208">
        <f t="shared" si="22"/>
        <v>14.8</v>
      </c>
      <c r="AY28" s="168">
        <f t="shared" si="23"/>
        <v>21</v>
      </c>
      <c r="AZ28" s="169"/>
      <c r="BA28" s="169"/>
      <c r="BC28" s="168">
        <f t="shared" ca="1" si="24"/>
        <v>22</v>
      </c>
      <c r="BD28" s="209">
        <f t="shared" ca="1" si="6"/>
        <v>28</v>
      </c>
      <c r="BF28" s="173" t="str">
        <f t="shared" ca="1" si="7"/>
        <v>MDU Resources Group, Inc.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MDU</v>
      </c>
    </row>
    <row r="29" spans="1:61" ht="13.8" x14ac:dyDescent="0.25">
      <c r="A29" s="223" t="s">
        <v>382</v>
      </c>
      <c r="B29" s="224" t="s">
        <v>140</v>
      </c>
      <c r="C29" s="224">
        <v>19</v>
      </c>
      <c r="D29" s="224" t="s">
        <v>383</v>
      </c>
      <c r="E29" s="225" t="str">
        <f t="shared" ca="1" si="8"/>
        <v>R</v>
      </c>
      <c r="F29" s="348"/>
      <c r="G29" s="349">
        <f t="shared" ca="1" si="1"/>
        <v>38</v>
      </c>
      <c r="H29" s="350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27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279</v>
      </c>
      <c r="AR29" s="207" t="s">
        <v>142</v>
      </c>
      <c r="AS29" s="207">
        <v>17</v>
      </c>
      <c r="AT29" s="207" t="s">
        <v>280</v>
      </c>
      <c r="AV29" s="168">
        <f t="shared" si="21"/>
        <v>46</v>
      </c>
      <c r="AW29" s="168">
        <f>COUNTIF( AV$7:AV29, AV29 )</f>
        <v>2</v>
      </c>
      <c r="AX29" s="208">
        <f t="shared" si="22"/>
        <v>46.2</v>
      </c>
      <c r="AY29" s="168">
        <f t="shared" si="23"/>
        <v>47</v>
      </c>
      <c r="AZ29" s="169"/>
      <c r="BA29" s="169"/>
      <c r="BC29" s="168">
        <f t="shared" ca="1" si="24"/>
        <v>23</v>
      </c>
      <c r="BD29" s="209">
        <f t="shared" ca="1" si="6"/>
        <v>35</v>
      </c>
      <c r="BF29" s="173" t="str">
        <f t="shared" ca="1" si="7"/>
        <v>Pepco Holdings, Inc.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POM</v>
      </c>
    </row>
    <row r="30" spans="1:61" ht="13.8" x14ac:dyDescent="0.25">
      <c r="A30" s="223" t="s">
        <v>289</v>
      </c>
      <c r="B30" s="224" t="s">
        <v>140</v>
      </c>
      <c r="C30" s="224">
        <v>19</v>
      </c>
      <c r="D30" s="224" t="s">
        <v>290</v>
      </c>
      <c r="E30" s="225" t="str">
        <f t="shared" ca="1" si="8"/>
        <v>MR</v>
      </c>
      <c r="F30" s="348"/>
      <c r="G30" s="349">
        <f t="shared" ca="1" si="1"/>
        <v>44</v>
      </c>
      <c r="H30" s="350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28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387</v>
      </c>
      <c r="AR30" s="207" t="s">
        <v>141</v>
      </c>
      <c r="AS30" s="207">
        <v>18</v>
      </c>
      <c r="AT30" s="207" t="s">
        <v>388</v>
      </c>
      <c r="AV30" s="168">
        <f t="shared" si="21"/>
        <v>29</v>
      </c>
      <c r="AW30" s="168">
        <f>COUNTIF( AV$7:AV30, AV30 )</f>
        <v>9</v>
      </c>
      <c r="AX30" s="208">
        <f t="shared" si="22"/>
        <v>29.9</v>
      </c>
      <c r="AY30" s="168">
        <f t="shared" si="23"/>
        <v>37</v>
      </c>
      <c r="AZ30" s="169"/>
      <c r="BA30" s="169"/>
      <c r="BC30" s="168">
        <f t="shared" ca="1" si="24"/>
        <v>24</v>
      </c>
      <c r="BD30" s="209">
        <f t="shared" ca="1" si="6"/>
        <v>41</v>
      </c>
      <c r="BF30" s="173" t="str">
        <f t="shared" ca="1" si="7"/>
        <v>Public Service Enterprise Group Incorporated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PEG</v>
      </c>
    </row>
    <row r="31" spans="1:61" ht="13.8" x14ac:dyDescent="0.25">
      <c r="A31" s="223" t="s">
        <v>347</v>
      </c>
      <c r="B31" s="224" t="s">
        <v>140</v>
      </c>
      <c r="C31" s="224">
        <v>19</v>
      </c>
      <c r="D31" s="224" t="s">
        <v>348</v>
      </c>
      <c r="E31" s="225" t="str">
        <f t="shared" ca="1" si="8"/>
        <v>MR</v>
      </c>
      <c r="F31" s="348"/>
      <c r="G31" s="349">
        <f t="shared" ca="1" si="1"/>
        <v>45</v>
      </c>
      <c r="H31" s="350"/>
      <c r="I31" s="237"/>
      <c r="J31" s="191"/>
      <c r="K31" s="237"/>
      <c r="N31" s="237"/>
      <c r="O31" s="351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29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283</v>
      </c>
      <c r="AR31" s="207" t="s">
        <v>141</v>
      </c>
      <c r="AS31" s="207">
        <v>18</v>
      </c>
      <c r="AT31" s="207" t="s">
        <v>284</v>
      </c>
      <c r="AV31" s="168">
        <f t="shared" si="21"/>
        <v>29</v>
      </c>
      <c r="AW31" s="168">
        <f>COUNTIF( AV$7:AV31, AV31 )</f>
        <v>10</v>
      </c>
      <c r="AX31" s="208">
        <f t="shared" si="22"/>
        <v>30</v>
      </c>
      <c r="AY31" s="168">
        <f t="shared" si="23"/>
        <v>38</v>
      </c>
      <c r="AZ31" s="169"/>
      <c r="BA31" s="169"/>
      <c r="BC31" s="168">
        <f t="shared" ca="1" si="24"/>
        <v>25</v>
      </c>
      <c r="BD31" s="209">
        <f t="shared" ca="1" si="6"/>
        <v>43</v>
      </c>
      <c r="BF31" s="173" t="str">
        <f t="shared" ca="1" si="7"/>
        <v>SCANA Corporation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SCG</v>
      </c>
    </row>
    <row r="32" spans="1:61" ht="13.8" x14ac:dyDescent="0.25">
      <c r="A32" s="223" t="s">
        <v>291</v>
      </c>
      <c r="B32" s="224" t="s">
        <v>140</v>
      </c>
      <c r="C32" s="224">
        <v>19</v>
      </c>
      <c r="D32" s="224" t="s">
        <v>292</v>
      </c>
      <c r="E32" s="225" t="str">
        <f t="shared" ca="1" si="8"/>
        <v>MR</v>
      </c>
      <c r="F32" s="348"/>
      <c r="G32" s="349">
        <f t="shared" ca="1" si="1"/>
        <v>46</v>
      </c>
      <c r="H32" s="350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30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395</v>
      </c>
      <c r="AR32" s="207" t="s">
        <v>139</v>
      </c>
      <c r="AS32" s="207">
        <v>20</v>
      </c>
      <c r="AT32" s="207" t="s">
        <v>396</v>
      </c>
      <c r="AV32" s="168">
        <f t="shared" si="21"/>
        <v>2</v>
      </c>
      <c r="AW32" s="168">
        <f>COUNTIF( AV$7:AV32, AV32 )</f>
        <v>5</v>
      </c>
      <c r="AX32" s="208">
        <f t="shared" si="22"/>
        <v>2.5</v>
      </c>
      <c r="AY32" s="168">
        <f t="shared" si="23"/>
        <v>6</v>
      </c>
      <c r="AZ32" s="169"/>
      <c r="BA32" s="169"/>
      <c r="BC32" s="168">
        <f t="shared" ca="1" si="24"/>
        <v>26</v>
      </c>
      <c r="BD32" s="209">
        <f t="shared" ca="1" si="6"/>
        <v>44</v>
      </c>
      <c r="BF32" s="173" t="str">
        <f t="shared" ca="1" si="7"/>
        <v>Sempra Energy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SRE</v>
      </c>
    </row>
    <row r="33" spans="1:61" ht="13.8" x14ac:dyDescent="0.25">
      <c r="A33" s="223" t="s">
        <v>369</v>
      </c>
      <c r="B33" s="224" t="s">
        <v>140</v>
      </c>
      <c r="C33" s="224">
        <v>19</v>
      </c>
      <c r="D33" s="224" t="s">
        <v>375</v>
      </c>
      <c r="E33" s="225" t="str">
        <f t="shared" ca="1" si="8"/>
        <v>R</v>
      </c>
      <c r="F33" s="348"/>
      <c r="G33" s="349">
        <f t="shared" ca="1" si="1"/>
        <v>48</v>
      </c>
      <c r="H33" s="350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31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287</v>
      </c>
      <c r="AR33" s="207" t="s">
        <v>173</v>
      </c>
      <c r="AS33" s="207">
        <v>16</v>
      </c>
      <c r="AT33" s="207" t="s">
        <v>288</v>
      </c>
      <c r="AV33" s="168">
        <f t="shared" si="21"/>
        <v>50</v>
      </c>
      <c r="AW33" s="168">
        <f>COUNTIF( AV$7:AV33, AV33 )</f>
        <v>1</v>
      </c>
      <c r="AX33" s="208">
        <f t="shared" si="22"/>
        <v>50.1</v>
      </c>
      <c r="AY33" s="168">
        <f t="shared" si="23"/>
        <v>50</v>
      </c>
      <c r="AZ33" s="169"/>
      <c r="BA33" s="169"/>
      <c r="BC33" s="168">
        <f t="shared" ca="1" si="24"/>
        <v>27</v>
      </c>
      <c r="BD33" s="209">
        <f t="shared" ca="1" si="6"/>
        <v>46</v>
      </c>
      <c r="BF33" s="173" t="str">
        <f t="shared" ca="1" si="7"/>
        <v>TECO Energy, Inc.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TE</v>
      </c>
    </row>
    <row r="34" spans="1:61" ht="13.8" x14ac:dyDescent="0.25">
      <c r="A34" s="223" t="s">
        <v>354</v>
      </c>
      <c r="B34" s="224" t="s">
        <v>140</v>
      </c>
      <c r="C34" s="224">
        <v>19</v>
      </c>
      <c r="D34" s="224" t="s">
        <v>355</v>
      </c>
      <c r="E34" s="225" t="str">
        <f t="shared" ca="1" si="8"/>
        <v>R</v>
      </c>
      <c r="F34" s="348"/>
      <c r="G34" s="349">
        <f t="shared" ca="1" si="1"/>
        <v>53</v>
      </c>
      <c r="H34" s="350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>
        <f t="shared" ca="1" si="3"/>
        <v>1</v>
      </c>
      <c r="AH34" s="169" t="str">
        <f t="shared" ca="1" si="18"/>
        <v/>
      </c>
      <c r="AJ34" s="169">
        <f t="shared" ca="1" si="19"/>
        <v>50</v>
      </c>
      <c r="AK34" s="169" t="str">
        <f t="shared" ca="1" si="20"/>
        <v>BBB</v>
      </c>
      <c r="AL34" s="169">
        <f t="shared" ca="1" si="20"/>
        <v>18</v>
      </c>
      <c r="AM34" s="169" t="str">
        <f t="shared" ca="1" si="4"/>
        <v>Change</v>
      </c>
      <c r="AQ34" s="207" t="s">
        <v>271</v>
      </c>
      <c r="AR34" s="207" t="s">
        <v>140</v>
      </c>
      <c r="AS34" s="207">
        <v>19</v>
      </c>
      <c r="AT34" s="207" t="s">
        <v>272</v>
      </c>
      <c r="AV34" s="168">
        <f t="shared" si="21"/>
        <v>14</v>
      </c>
      <c r="AW34" s="168">
        <f>COUNTIF( AV$7:AV34, AV34 )</f>
        <v>9</v>
      </c>
      <c r="AX34" s="208">
        <f t="shared" si="22"/>
        <v>14.9</v>
      </c>
      <c r="AY34" s="168">
        <f t="shared" si="23"/>
        <v>22</v>
      </c>
      <c r="AZ34" s="169"/>
      <c r="BA34" s="169"/>
      <c r="BC34" s="168">
        <f t="shared" ca="1" si="24"/>
        <v>28</v>
      </c>
      <c r="BD34" s="209">
        <f t="shared" ca="1" si="6"/>
        <v>49</v>
      </c>
      <c r="BF34" s="173" t="str">
        <f t="shared" ca="1" si="7"/>
        <v>Westar Energy, Inc.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WR</v>
      </c>
    </row>
    <row r="35" spans="1:61" ht="13.8" x14ac:dyDescent="0.25">
      <c r="A35" s="223" t="s">
        <v>222</v>
      </c>
      <c r="B35" s="224" t="s">
        <v>141</v>
      </c>
      <c r="C35" s="224">
        <v>18</v>
      </c>
      <c r="D35" s="224" t="s">
        <v>223</v>
      </c>
      <c r="E35" s="225" t="str">
        <f t="shared" ca="1" si="8"/>
        <v>R</v>
      </c>
      <c r="F35" s="348"/>
      <c r="G35" s="349">
        <f t="shared" ca="1" si="1"/>
        <v>10</v>
      </c>
      <c r="H35" s="350"/>
      <c r="I35" s="237"/>
      <c r="K35" s="237"/>
      <c r="N35" s="237"/>
      <c r="Q35" s="237"/>
      <c r="T35" s="237"/>
      <c r="W35" s="237"/>
      <c r="AF35" s="169">
        <f t="shared" si="2"/>
        <v>0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32</v>
      </c>
      <c r="AK35" s="169" t="str">
        <f t="shared" ca="1" si="20"/>
        <v>BBB</v>
      </c>
      <c r="AL35" s="169">
        <f t="shared" ca="1" si="20"/>
        <v>18</v>
      </c>
      <c r="AM35" s="169" t="str">
        <f t="shared" ca="1" si="4"/>
        <v/>
      </c>
      <c r="AQ35" s="207" t="s">
        <v>240</v>
      </c>
      <c r="AR35" s="207" t="s">
        <v>139</v>
      </c>
      <c r="AS35" s="207">
        <v>20</v>
      </c>
      <c r="AT35" s="207" t="s">
        <v>241</v>
      </c>
      <c r="AV35" s="168">
        <f t="shared" si="21"/>
        <v>2</v>
      </c>
      <c r="AW35" s="168">
        <f>COUNTIF( AV$7:AV35, AV35 )</f>
        <v>6</v>
      </c>
      <c r="AX35" s="208">
        <f t="shared" si="22"/>
        <v>2.6</v>
      </c>
      <c r="AY35" s="168">
        <f t="shared" si="23"/>
        <v>7</v>
      </c>
      <c r="AZ35" s="169"/>
      <c r="BA35" s="169"/>
      <c r="BC35" s="168">
        <f t="shared" ca="1" si="24"/>
        <v>29</v>
      </c>
      <c r="BD35" s="209">
        <f t="shared" ca="1" si="6"/>
        <v>4</v>
      </c>
      <c r="BF35" s="173" t="str">
        <f t="shared" ca="1" si="7"/>
        <v>American Electric Power Company, Inc.</v>
      </c>
      <c r="BG35" s="173" t="str">
        <f t="shared" ca="1" si="7"/>
        <v>BBB</v>
      </c>
      <c r="BH35" s="173">
        <f t="shared" ca="1" si="7"/>
        <v>18</v>
      </c>
      <c r="BI35" s="173" t="str">
        <f t="shared" ca="1" si="7"/>
        <v>AEP</v>
      </c>
    </row>
    <row r="36" spans="1:61" ht="13.8" x14ac:dyDescent="0.25">
      <c r="A36" s="223" t="s">
        <v>238</v>
      </c>
      <c r="B36" s="224" t="s">
        <v>141</v>
      </c>
      <c r="C36" s="224">
        <v>18</v>
      </c>
      <c r="D36" s="224" t="s">
        <v>239</v>
      </c>
      <c r="E36" s="225" t="str">
        <f t="shared" ca="1" si="8"/>
        <v>R</v>
      </c>
      <c r="F36" s="348"/>
      <c r="G36" s="349">
        <f t="shared" ca="1" si="1"/>
        <v>11</v>
      </c>
      <c r="H36" s="350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33</v>
      </c>
      <c r="AK36" s="169" t="str">
        <f t="shared" ca="1" si="20"/>
        <v>BBB</v>
      </c>
      <c r="AL36" s="169">
        <f t="shared" ca="1" si="20"/>
        <v>18</v>
      </c>
      <c r="AM36" s="169" t="str">
        <f t="shared" ca="1" si="4"/>
        <v/>
      </c>
      <c r="AQ36" s="207" t="s">
        <v>273</v>
      </c>
      <c r="AR36" s="207" t="s">
        <v>142</v>
      </c>
      <c r="AS36" s="207">
        <v>17</v>
      </c>
      <c r="AT36" s="207" t="s">
        <v>274</v>
      </c>
      <c r="AV36" s="168">
        <f t="shared" si="21"/>
        <v>46</v>
      </c>
      <c r="AW36" s="168">
        <f>COUNTIF( AV$7:AV36, AV36 )</f>
        <v>3</v>
      </c>
      <c r="AX36" s="208">
        <f t="shared" si="22"/>
        <v>46.3</v>
      </c>
      <c r="AY36" s="168">
        <f t="shared" si="23"/>
        <v>48</v>
      </c>
      <c r="AZ36" s="169"/>
      <c r="BA36" s="169"/>
      <c r="BC36" s="168">
        <f t="shared" ca="1" si="24"/>
        <v>30</v>
      </c>
      <c r="BD36" s="209">
        <f t="shared" ca="1" si="6"/>
        <v>5</v>
      </c>
      <c r="BF36" s="173" t="str">
        <f t="shared" ca="1" si="7"/>
        <v>Avista Corporation</v>
      </c>
      <c r="BG36" s="173" t="str">
        <f t="shared" ca="1" si="7"/>
        <v>BBB</v>
      </c>
      <c r="BH36" s="173">
        <f t="shared" ca="1" si="7"/>
        <v>18</v>
      </c>
      <c r="BI36" s="173" t="str">
        <f t="shared" ca="1" si="7"/>
        <v>AVA</v>
      </c>
    </row>
    <row r="37" spans="1:61" ht="13.8" x14ac:dyDescent="0.25">
      <c r="A37" s="223" t="s">
        <v>245</v>
      </c>
      <c r="B37" s="224" t="s">
        <v>141</v>
      </c>
      <c r="C37" s="224">
        <v>18</v>
      </c>
      <c r="D37" s="224" t="s">
        <v>246</v>
      </c>
      <c r="E37" s="225" t="str">
        <f t="shared" ca="1" si="8"/>
        <v>R</v>
      </c>
      <c r="F37" s="348"/>
      <c r="G37" s="349">
        <f t="shared" ca="1" si="1"/>
        <v>12</v>
      </c>
      <c r="H37" s="350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34</v>
      </c>
      <c r="AK37" s="169" t="str">
        <f t="shared" ca="1" si="20"/>
        <v>BBB</v>
      </c>
      <c r="AL37" s="169">
        <f t="shared" ca="1" si="20"/>
        <v>18</v>
      </c>
      <c r="AM37" s="169" t="str">
        <f t="shared" ca="1" si="4"/>
        <v/>
      </c>
      <c r="AQ37" s="207" t="s">
        <v>394</v>
      </c>
      <c r="AR37" s="207" t="s">
        <v>139</v>
      </c>
      <c r="AS37" s="207">
        <v>20</v>
      </c>
      <c r="AT37" s="207" t="s">
        <v>236</v>
      </c>
      <c r="AV37" s="168">
        <f t="shared" si="21"/>
        <v>2</v>
      </c>
      <c r="AW37" s="168">
        <f>COUNTIF( AV$7:AV37, AV37 )</f>
        <v>7</v>
      </c>
      <c r="AX37" s="208">
        <f t="shared" si="22"/>
        <v>2.7</v>
      </c>
      <c r="AY37" s="168">
        <f t="shared" si="23"/>
        <v>8</v>
      </c>
      <c r="AZ37" s="169"/>
      <c r="BA37" s="169"/>
      <c r="BC37" s="168">
        <f t="shared" ca="1" si="24"/>
        <v>31</v>
      </c>
      <c r="BD37" s="209">
        <f t="shared" ca="1" si="6"/>
        <v>7</v>
      </c>
      <c r="BF37" s="173" t="str">
        <f t="shared" ca="1" si="7"/>
        <v>Black Hills Corporation</v>
      </c>
      <c r="BG37" s="173" t="str">
        <f t="shared" ca="1" si="7"/>
        <v>BBB</v>
      </c>
      <c r="BH37" s="173">
        <f t="shared" ca="1" si="7"/>
        <v>18</v>
      </c>
      <c r="BI37" s="173" t="str">
        <f t="shared" ca="1" si="7"/>
        <v>BKH</v>
      </c>
    </row>
    <row r="38" spans="1:61" ht="13.8" x14ac:dyDescent="0.25">
      <c r="A38" s="223" t="s">
        <v>256</v>
      </c>
      <c r="B38" s="224" t="s">
        <v>141</v>
      </c>
      <c r="C38" s="224">
        <v>18</v>
      </c>
      <c r="D38" s="224" t="s">
        <v>257</v>
      </c>
      <c r="E38" s="225" t="str">
        <f t="shared" ca="1" si="8"/>
        <v>R</v>
      </c>
      <c r="F38" s="348"/>
      <c r="G38" s="349">
        <f t="shared" ca="1" si="1"/>
        <v>15</v>
      </c>
      <c r="H38" s="350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35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297</v>
      </c>
      <c r="AR38" s="207" t="s">
        <v>141</v>
      </c>
      <c r="AS38" s="207">
        <v>18</v>
      </c>
      <c r="AT38" s="207" t="s">
        <v>298</v>
      </c>
      <c r="AV38" s="168">
        <f t="shared" si="21"/>
        <v>29</v>
      </c>
      <c r="AW38" s="168">
        <f>COUNTIF( AV$7:AV38, AV38 )</f>
        <v>11</v>
      </c>
      <c r="AX38" s="208">
        <f t="shared" si="22"/>
        <v>30.1</v>
      </c>
      <c r="AY38" s="168">
        <f t="shared" si="23"/>
        <v>39</v>
      </c>
      <c r="AZ38" s="169"/>
      <c r="BA38" s="169"/>
      <c r="BC38" s="168">
        <f t="shared" ca="1" si="24"/>
        <v>32</v>
      </c>
      <c r="BD38" s="209">
        <f t="shared" ca="1" si="6"/>
        <v>10</v>
      </c>
      <c r="BF38" s="173" t="str">
        <f t="shared" ca="1" si="7"/>
        <v>CMS Energy Corporation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CMS</v>
      </c>
    </row>
    <row r="39" spans="1:61" ht="13.8" x14ac:dyDescent="0.25">
      <c r="A39" s="223" t="s">
        <v>328</v>
      </c>
      <c r="B39" s="224" t="s">
        <v>141</v>
      </c>
      <c r="C39" s="224">
        <v>18</v>
      </c>
      <c r="D39" s="224" t="s">
        <v>331</v>
      </c>
      <c r="E39" s="225" t="str">
        <f t="shared" ca="1" si="8"/>
        <v>R</v>
      </c>
      <c r="F39" s="348"/>
      <c r="G39" s="349">
        <f t="shared" ca="1" si="1"/>
        <v>21</v>
      </c>
      <c r="H39" s="350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36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277</v>
      </c>
      <c r="AR39" s="207" t="s">
        <v>139</v>
      </c>
      <c r="AS39" s="207">
        <v>20</v>
      </c>
      <c r="AT39" s="207" t="s">
        <v>278</v>
      </c>
      <c r="AV39" s="168">
        <f t="shared" si="21"/>
        <v>2</v>
      </c>
      <c r="AW39" s="168">
        <f>COUNTIF( AV$7:AV39, AV39 )</f>
        <v>8</v>
      </c>
      <c r="AX39" s="208">
        <f t="shared" si="22"/>
        <v>2.8</v>
      </c>
      <c r="AY39" s="168">
        <f t="shared" si="23"/>
        <v>9</v>
      </c>
      <c r="AZ39" s="169"/>
      <c r="BA39" s="169"/>
      <c r="BC39" s="168">
        <f t="shared" ca="1" si="24"/>
        <v>33</v>
      </c>
      <c r="BD39" s="209">
        <f t="shared" ca="1" si="6"/>
        <v>17</v>
      </c>
      <c r="BF39" s="173" t="str">
        <f t="shared" ref="BF39:BI63" ca="1" si="25">OFFSET( AQ$6, $BD39, 0 )</f>
        <v>El Paso Electric Company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EE</v>
      </c>
    </row>
    <row r="40" spans="1:61" ht="13.8" x14ac:dyDescent="0.25">
      <c r="A40" s="223" t="s">
        <v>367</v>
      </c>
      <c r="B40" s="224" t="s">
        <v>141</v>
      </c>
      <c r="C40" s="224">
        <v>18</v>
      </c>
      <c r="D40" s="224" t="s">
        <v>368</v>
      </c>
      <c r="E40" s="225" t="str">
        <f t="shared" ca="1" si="8"/>
        <v>R</v>
      </c>
      <c r="F40" s="348"/>
      <c r="G40" s="349">
        <f t="shared" ca="1" si="1"/>
        <v>22</v>
      </c>
      <c r="H40" s="350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37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299</v>
      </c>
      <c r="AR40" s="207" t="s">
        <v>141</v>
      </c>
      <c r="AS40" s="207">
        <v>18</v>
      </c>
      <c r="AT40" s="207" t="s">
        <v>300</v>
      </c>
      <c r="AV40" s="168">
        <f t="shared" si="21"/>
        <v>29</v>
      </c>
      <c r="AW40" s="168">
        <f>COUNTIF( AV$7:AV40, AV40 )</f>
        <v>12</v>
      </c>
      <c r="AX40" s="208">
        <f t="shared" si="22"/>
        <v>30.2</v>
      </c>
      <c r="AY40" s="168">
        <f t="shared" si="23"/>
        <v>40</v>
      </c>
      <c r="AZ40" s="169"/>
      <c r="BA40" s="169"/>
      <c r="BC40" s="168">
        <f t="shared" ca="1" si="24"/>
        <v>34</v>
      </c>
      <c r="BD40" s="209">
        <f t="shared" ca="1" si="6"/>
        <v>18</v>
      </c>
      <c r="BF40" s="173" t="str">
        <f t="shared" ca="1" si="25"/>
        <v>Empire District Electric Company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EDE</v>
      </c>
    </row>
    <row r="41" spans="1:61" ht="13.8" x14ac:dyDescent="0.25">
      <c r="A41" s="223" t="s">
        <v>267</v>
      </c>
      <c r="B41" s="224" t="s">
        <v>141</v>
      </c>
      <c r="C41" s="224">
        <v>18</v>
      </c>
      <c r="D41" s="224" t="s">
        <v>268</v>
      </c>
      <c r="E41" s="225" t="str">
        <f t="shared" ca="1" si="8"/>
        <v>R</v>
      </c>
      <c r="F41" s="348"/>
      <c r="G41" s="349">
        <f t="shared" ca="1" si="1"/>
        <v>23</v>
      </c>
      <c r="H41" s="350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38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382</v>
      </c>
      <c r="AR41" s="207" t="s">
        <v>140</v>
      </c>
      <c r="AS41" s="207">
        <v>19</v>
      </c>
      <c r="AT41" s="207" t="s">
        <v>383</v>
      </c>
      <c r="AV41" s="168">
        <f t="shared" si="21"/>
        <v>14</v>
      </c>
      <c r="AW41" s="168">
        <f>COUNTIF( AV$7:AV41, AV41 )</f>
        <v>10</v>
      </c>
      <c r="AX41" s="208">
        <f t="shared" si="22"/>
        <v>15</v>
      </c>
      <c r="AY41" s="168">
        <f t="shared" si="23"/>
        <v>23</v>
      </c>
      <c r="AZ41" s="169"/>
      <c r="BA41" s="169"/>
      <c r="BC41" s="168">
        <f t="shared" ca="1" si="24"/>
        <v>35</v>
      </c>
      <c r="BD41" s="209">
        <f t="shared" ca="1" si="6"/>
        <v>19</v>
      </c>
      <c r="BF41" s="173" t="str">
        <f t="shared" ca="1" si="25"/>
        <v>Entergy Corporation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ETR</v>
      </c>
    </row>
    <row r="42" spans="1:61" ht="13.8" x14ac:dyDescent="0.25">
      <c r="A42" s="223" t="s">
        <v>269</v>
      </c>
      <c r="B42" s="224" t="s">
        <v>141</v>
      </c>
      <c r="C42" s="224">
        <v>18</v>
      </c>
      <c r="D42" s="224" t="s">
        <v>270</v>
      </c>
      <c r="E42" s="225" t="str">
        <f t="shared" ca="1" si="8"/>
        <v>MR</v>
      </c>
      <c r="F42" s="348"/>
      <c r="G42" s="349">
        <f t="shared" ca="1" si="1"/>
        <v>24</v>
      </c>
      <c r="H42" s="350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39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301</v>
      </c>
      <c r="AR42" s="207" t="s">
        <v>141</v>
      </c>
      <c r="AS42" s="207">
        <v>18</v>
      </c>
      <c r="AT42" s="207" t="s">
        <v>302</v>
      </c>
      <c r="AV42" s="168">
        <f t="shared" si="21"/>
        <v>29</v>
      </c>
      <c r="AW42" s="168">
        <f>COUNTIF( AV$7:AV42, AV42 )</f>
        <v>13</v>
      </c>
      <c r="AX42" s="208">
        <f t="shared" si="22"/>
        <v>30.3</v>
      </c>
      <c r="AY42" s="168">
        <f t="shared" si="23"/>
        <v>41</v>
      </c>
      <c r="AZ42" s="169"/>
      <c r="BA42" s="169"/>
      <c r="BC42" s="168">
        <f t="shared" ca="1" si="24"/>
        <v>36</v>
      </c>
      <c r="BD42" s="209">
        <f t="shared" ca="1" si="6"/>
        <v>20</v>
      </c>
      <c r="BF42" s="173" t="str">
        <f t="shared" ca="1" si="25"/>
        <v>Exelon Corporation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EXC</v>
      </c>
    </row>
    <row r="43" spans="1:61" ht="13.8" x14ac:dyDescent="0.25">
      <c r="A43" s="223" t="s">
        <v>387</v>
      </c>
      <c r="B43" s="224" t="s">
        <v>141</v>
      </c>
      <c r="C43" s="224">
        <v>18</v>
      </c>
      <c r="D43" s="224" t="s">
        <v>388</v>
      </c>
      <c r="E43" s="225" t="str">
        <f t="shared" ca="1" si="8"/>
        <v>R</v>
      </c>
      <c r="F43" s="348"/>
      <c r="G43" s="349">
        <f t="shared" ca="1" si="1"/>
        <v>57</v>
      </c>
      <c r="H43" s="350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41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281</v>
      </c>
      <c r="AR43" s="207" t="s">
        <v>139</v>
      </c>
      <c r="AS43" s="207">
        <v>20</v>
      </c>
      <c r="AT43" s="207" t="s">
        <v>282</v>
      </c>
      <c r="AV43" s="168">
        <f t="shared" si="21"/>
        <v>2</v>
      </c>
      <c r="AW43" s="168">
        <f>COUNTIF( AV$7:AV43, AV43 )</f>
        <v>9</v>
      </c>
      <c r="AX43" s="208">
        <f t="shared" si="22"/>
        <v>2.9</v>
      </c>
      <c r="AY43" s="168">
        <f t="shared" si="23"/>
        <v>10</v>
      </c>
      <c r="AZ43" s="169"/>
      <c r="BA43" s="169"/>
      <c r="BC43" s="168">
        <f t="shared" ca="1" si="24"/>
        <v>37</v>
      </c>
      <c r="BD43" s="209">
        <f t="shared" ca="1" si="6"/>
        <v>24</v>
      </c>
      <c r="BF43" s="173" t="str">
        <f t="shared" ca="1" si="25"/>
        <v>Iberdrola USA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**EAST</v>
      </c>
    </row>
    <row r="44" spans="1:61" ht="13.8" x14ac:dyDescent="0.25">
      <c r="A44" s="223" t="s">
        <v>283</v>
      </c>
      <c r="B44" s="224" t="s">
        <v>141</v>
      </c>
      <c r="C44" s="224">
        <v>18</v>
      </c>
      <c r="D44" s="224" t="s">
        <v>284</v>
      </c>
      <c r="E44" s="225" t="str">
        <f t="shared" ca="1" si="8"/>
        <v>R</v>
      </c>
      <c r="F44" s="348"/>
      <c r="G44" s="349">
        <f t="shared" ca="1" si="1"/>
        <v>28</v>
      </c>
      <c r="H44" s="350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42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303</v>
      </c>
      <c r="AR44" s="207" t="s">
        <v>141</v>
      </c>
      <c r="AS44" s="207">
        <v>18</v>
      </c>
      <c r="AT44" s="207" t="s">
        <v>304</v>
      </c>
      <c r="AV44" s="168">
        <f t="shared" si="21"/>
        <v>29</v>
      </c>
      <c r="AW44" s="168">
        <f>COUNTIF( AV$7:AV44, AV44 )</f>
        <v>14</v>
      </c>
      <c r="AX44" s="208">
        <f t="shared" si="22"/>
        <v>30.4</v>
      </c>
      <c r="AY44" s="168">
        <f t="shared" si="23"/>
        <v>42</v>
      </c>
      <c r="AZ44" s="169"/>
      <c r="BA44" s="169"/>
      <c r="BC44" s="168">
        <f t="shared" ca="1" si="24"/>
        <v>38</v>
      </c>
      <c r="BD44" s="209">
        <f t="shared" ca="1" si="6"/>
        <v>25</v>
      </c>
      <c r="BF44" s="173" t="str">
        <f t="shared" ca="1" si="25"/>
        <v>IDACORP, Inc.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IDA</v>
      </c>
    </row>
    <row r="45" spans="1:61" ht="13.8" x14ac:dyDescent="0.25">
      <c r="A45" s="223" t="s">
        <v>297</v>
      </c>
      <c r="B45" s="224" t="s">
        <v>141</v>
      </c>
      <c r="C45" s="224">
        <v>18</v>
      </c>
      <c r="D45" s="224" t="s">
        <v>298</v>
      </c>
      <c r="E45" s="225" t="str">
        <f t="shared" ca="1" si="8"/>
        <v>R</v>
      </c>
      <c r="F45" s="348"/>
      <c r="G45" s="349">
        <f t="shared" ca="1" si="1"/>
        <v>35</v>
      </c>
      <c r="H45" s="350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43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285</v>
      </c>
      <c r="AR45" s="207" t="s">
        <v>141</v>
      </c>
      <c r="AS45" s="207">
        <v>18</v>
      </c>
      <c r="AT45" s="207" t="s">
        <v>286</v>
      </c>
      <c r="AV45" s="168">
        <f t="shared" si="21"/>
        <v>29</v>
      </c>
      <c r="AW45" s="168">
        <f>COUNTIF( AV$7:AV45, AV45 )</f>
        <v>15</v>
      </c>
      <c r="AX45" s="208">
        <f t="shared" si="22"/>
        <v>30.5</v>
      </c>
      <c r="AY45" s="168">
        <f t="shared" si="23"/>
        <v>43</v>
      </c>
      <c r="AZ45" s="169"/>
      <c r="BA45" s="169"/>
      <c r="BC45" s="168">
        <f t="shared" ca="1" si="24"/>
        <v>39</v>
      </c>
      <c r="BD45" s="209">
        <f t="shared" ca="1" si="6"/>
        <v>32</v>
      </c>
      <c r="BF45" s="173" t="str">
        <f t="shared" ca="1" si="25"/>
        <v>NorthWestern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NWE</v>
      </c>
    </row>
    <row r="46" spans="1:61" ht="13.8" x14ac:dyDescent="0.25">
      <c r="A46" s="223" t="s">
        <v>299</v>
      </c>
      <c r="B46" s="224" t="s">
        <v>141</v>
      </c>
      <c r="C46" s="224">
        <v>18</v>
      </c>
      <c r="D46" s="224" t="s">
        <v>300</v>
      </c>
      <c r="E46" s="225" t="str">
        <f t="shared" ca="1" si="8"/>
        <v>R</v>
      </c>
      <c r="F46" s="348"/>
      <c r="G46" s="349">
        <f t="shared" ca="1" si="1"/>
        <v>37</v>
      </c>
      <c r="H46" s="350"/>
      <c r="I46" s="191"/>
      <c r="K46" s="191"/>
      <c r="N46" s="351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44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243</v>
      </c>
      <c r="AR46" s="207" t="s">
        <v>141</v>
      </c>
      <c r="AS46" s="207">
        <v>18</v>
      </c>
      <c r="AT46" s="207" t="s">
        <v>244</v>
      </c>
      <c r="AV46" s="168">
        <f t="shared" si="21"/>
        <v>29</v>
      </c>
      <c r="AW46" s="168">
        <f>COUNTIF( AV$7:AV46, AV46 )</f>
        <v>16</v>
      </c>
      <c r="AX46" s="208">
        <f t="shared" si="22"/>
        <v>30.6</v>
      </c>
      <c r="AY46" s="168">
        <f t="shared" si="23"/>
        <v>44</v>
      </c>
      <c r="AZ46" s="169"/>
      <c r="BA46" s="169"/>
      <c r="BC46" s="168">
        <f t="shared" ca="1" si="24"/>
        <v>40</v>
      </c>
      <c r="BD46" s="209">
        <f t="shared" ca="1" si="6"/>
        <v>34</v>
      </c>
      <c r="BF46" s="173" t="str">
        <f t="shared" ca="1" si="25"/>
        <v>Otter Tail Corporation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OTTR</v>
      </c>
    </row>
    <row r="47" spans="1:61" ht="13.8" x14ac:dyDescent="0.25">
      <c r="A47" s="223" t="s">
        <v>301</v>
      </c>
      <c r="B47" s="224" t="s">
        <v>141</v>
      </c>
      <c r="C47" s="224">
        <v>18</v>
      </c>
      <c r="D47" s="224" t="s">
        <v>302</v>
      </c>
      <c r="E47" s="225" t="str">
        <f t="shared" ca="1" si="8"/>
        <v>R</v>
      </c>
      <c r="F47" s="348"/>
      <c r="G47" s="349">
        <f t="shared" ca="1" si="1"/>
        <v>39</v>
      </c>
      <c r="H47" s="350"/>
      <c r="I47" s="350"/>
      <c r="J47" s="187" t="s">
        <v>373</v>
      </c>
      <c r="K47" s="191"/>
      <c r="M47" s="351"/>
      <c r="N47" s="351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45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289</v>
      </c>
      <c r="AR47" s="207" t="s">
        <v>140</v>
      </c>
      <c r="AS47" s="207">
        <v>19</v>
      </c>
      <c r="AT47" s="207" t="s">
        <v>290</v>
      </c>
      <c r="AV47" s="168">
        <f t="shared" si="21"/>
        <v>14</v>
      </c>
      <c r="AW47" s="168">
        <f>COUNTIF( AV$7:AV47, AV47 )</f>
        <v>11</v>
      </c>
      <c r="AX47" s="208">
        <f t="shared" si="22"/>
        <v>15.1</v>
      </c>
      <c r="AY47" s="168">
        <f t="shared" si="23"/>
        <v>24</v>
      </c>
      <c r="AZ47" s="169"/>
      <c r="BA47" s="169"/>
      <c r="BC47" s="168">
        <f t="shared" ca="1" si="24"/>
        <v>41</v>
      </c>
      <c r="BD47" s="209">
        <f t="shared" ca="1" si="6"/>
        <v>36</v>
      </c>
      <c r="BF47" s="173" t="str">
        <f t="shared" ca="1" si="25"/>
        <v>PG&amp;E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PCG</v>
      </c>
    </row>
    <row r="48" spans="1:61" ht="13.8" x14ac:dyDescent="0.25">
      <c r="A48" s="223" t="s">
        <v>303</v>
      </c>
      <c r="B48" s="224" t="s">
        <v>141</v>
      </c>
      <c r="C48" s="224">
        <v>18</v>
      </c>
      <c r="D48" s="224" t="s">
        <v>304</v>
      </c>
      <c r="E48" s="225" t="str">
        <f t="shared" ca="1" si="8"/>
        <v>R</v>
      </c>
      <c r="F48" s="348"/>
      <c r="G48" s="349">
        <f t="shared" ca="1" si="1"/>
        <v>41</v>
      </c>
      <c r="H48" s="350"/>
      <c r="I48" s="350"/>
      <c r="K48" s="191"/>
      <c r="M48" s="351"/>
      <c r="N48" s="351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46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305</v>
      </c>
      <c r="AR48" s="207" t="s">
        <v>142</v>
      </c>
      <c r="AS48" s="207">
        <v>17</v>
      </c>
      <c r="AT48" s="207" t="s">
        <v>306</v>
      </c>
      <c r="AV48" s="168">
        <f t="shared" si="21"/>
        <v>46</v>
      </c>
      <c r="AW48" s="168">
        <f>COUNTIF( AV$7:AV48, AV48 )</f>
        <v>4</v>
      </c>
      <c r="AX48" s="208">
        <f t="shared" si="22"/>
        <v>46.4</v>
      </c>
      <c r="AY48" s="168">
        <f t="shared" si="23"/>
        <v>49</v>
      </c>
      <c r="AZ48" s="169"/>
      <c r="BA48" s="169"/>
      <c r="BC48" s="168">
        <f t="shared" ca="1" si="24"/>
        <v>42</v>
      </c>
      <c r="BD48" s="209">
        <f t="shared" ca="1" si="6"/>
        <v>38</v>
      </c>
      <c r="BF48" s="173" t="str">
        <f t="shared" ca="1" si="25"/>
        <v>PNM Resources, Inc.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PNM</v>
      </c>
    </row>
    <row r="49" spans="1:61" ht="13.8" x14ac:dyDescent="0.25">
      <c r="A49" s="223" t="s">
        <v>285</v>
      </c>
      <c r="B49" s="224" t="s">
        <v>141</v>
      </c>
      <c r="C49" s="224">
        <v>18</v>
      </c>
      <c r="D49" s="224" t="s">
        <v>286</v>
      </c>
      <c r="E49" s="225" t="str">
        <f t="shared" ca="1" si="8"/>
        <v>R</v>
      </c>
      <c r="F49" s="348"/>
      <c r="G49" s="349">
        <f t="shared" ca="1" si="1"/>
        <v>42</v>
      </c>
      <c r="H49" s="350"/>
      <c r="I49" s="350"/>
      <c r="J49" s="191"/>
      <c r="K49" s="191"/>
      <c r="M49" s="351"/>
      <c r="N49" s="351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47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4"/>
        <v/>
      </c>
      <c r="AQ49" s="207" t="s">
        <v>347</v>
      </c>
      <c r="AR49" s="207" t="s">
        <v>140</v>
      </c>
      <c r="AS49" s="207">
        <v>19</v>
      </c>
      <c r="AT49" s="207" t="s">
        <v>348</v>
      </c>
      <c r="AV49" s="168">
        <f t="shared" si="21"/>
        <v>14</v>
      </c>
      <c r="AW49" s="168">
        <f>COUNTIF( AV$7:AV49, AV49 )</f>
        <v>12</v>
      </c>
      <c r="AX49" s="208">
        <f t="shared" si="22"/>
        <v>15.2</v>
      </c>
      <c r="AY49" s="168">
        <f t="shared" si="23"/>
        <v>25</v>
      </c>
      <c r="AZ49" s="169"/>
      <c r="BA49" s="169"/>
      <c r="BC49" s="168">
        <f t="shared" ca="1" si="24"/>
        <v>43</v>
      </c>
      <c r="BD49" s="209">
        <f t="shared" ca="1" si="6"/>
        <v>39</v>
      </c>
      <c r="BF49" s="173" t="str">
        <f t="shared" ca="1" si="25"/>
        <v>Portland General Electric Company</v>
      </c>
      <c r="BG49" s="173" t="str">
        <f t="shared" ca="1" si="25"/>
        <v>BBB</v>
      </c>
      <c r="BH49" s="173">
        <f t="shared" ca="1" si="25"/>
        <v>18</v>
      </c>
      <c r="BI49" s="173" t="str">
        <f t="shared" ca="1" si="25"/>
        <v>POR</v>
      </c>
    </row>
    <row r="50" spans="1:61" ht="13.8" x14ac:dyDescent="0.25">
      <c r="A50" s="223" t="s">
        <v>243</v>
      </c>
      <c r="B50" s="224" t="s">
        <v>141</v>
      </c>
      <c r="C50" s="224">
        <v>18</v>
      </c>
      <c r="D50" s="224" t="s">
        <v>244</v>
      </c>
      <c r="E50" s="225" t="str">
        <f t="shared" ca="1" si="8"/>
        <v>MR</v>
      </c>
      <c r="F50" s="348"/>
      <c r="G50" s="349">
        <f t="shared" ca="1" si="1"/>
        <v>43</v>
      </c>
      <c r="H50" s="350"/>
      <c r="I50" s="350"/>
      <c r="J50" s="191"/>
      <c r="K50" s="191"/>
      <c r="M50" s="351"/>
      <c r="N50" s="351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48</v>
      </c>
      <c r="AK50" s="169" t="str">
        <f t="shared" ca="1" si="20"/>
        <v>BBB</v>
      </c>
      <c r="AL50" s="169">
        <f t="shared" ca="1" si="20"/>
        <v>18</v>
      </c>
      <c r="AM50" s="169" t="str">
        <f t="shared" ca="1" si="4"/>
        <v/>
      </c>
      <c r="AQ50" s="207" t="s">
        <v>291</v>
      </c>
      <c r="AR50" s="207" t="s">
        <v>140</v>
      </c>
      <c r="AS50" s="207">
        <v>19</v>
      </c>
      <c r="AT50" s="207" t="s">
        <v>292</v>
      </c>
      <c r="AV50" s="168">
        <f t="shared" si="21"/>
        <v>14</v>
      </c>
      <c r="AW50" s="168">
        <f>COUNTIF( AV$7:AV50, AV50 )</f>
        <v>13</v>
      </c>
      <c r="AX50" s="208">
        <f t="shared" si="22"/>
        <v>15.3</v>
      </c>
      <c r="AY50" s="168">
        <f t="shared" si="23"/>
        <v>26</v>
      </c>
      <c r="AZ50" s="169"/>
      <c r="BA50" s="169"/>
      <c r="BC50" s="168">
        <f t="shared" ca="1" si="24"/>
        <v>44</v>
      </c>
      <c r="BD50" s="209">
        <f t="shared" ca="1" si="6"/>
        <v>40</v>
      </c>
      <c r="BF50" s="173" t="str">
        <f t="shared" ca="1" si="25"/>
        <v>PPL Corporation</v>
      </c>
      <c r="BG50" s="173" t="str">
        <f t="shared" ca="1" si="25"/>
        <v>BBB</v>
      </c>
      <c r="BH50" s="173">
        <f t="shared" ca="1" si="25"/>
        <v>18</v>
      </c>
      <c r="BI50" s="173" t="str">
        <f t="shared" ca="1" si="25"/>
        <v>PPL</v>
      </c>
    </row>
    <row r="51" spans="1:61" ht="13.8" x14ac:dyDescent="0.25">
      <c r="A51" s="223" t="s">
        <v>389</v>
      </c>
      <c r="B51" s="224" t="s">
        <v>141</v>
      </c>
      <c r="C51" s="224">
        <v>18</v>
      </c>
      <c r="D51" s="224" t="s">
        <v>390</v>
      </c>
      <c r="E51" s="225" t="str">
        <f t="shared" ca="1" si="8"/>
        <v>R</v>
      </c>
      <c r="F51" s="348"/>
      <c r="G51" s="349">
        <f t="shared" ca="1" si="1"/>
        <v>49</v>
      </c>
      <c r="H51" s="350"/>
      <c r="I51" s="350"/>
      <c r="J51" s="191"/>
      <c r="K51" s="191"/>
      <c r="M51" s="351"/>
      <c r="N51" s="351"/>
      <c r="AF51" s="169">
        <f t="shared" si="2"/>
        <v>0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49</v>
      </c>
      <c r="AK51" s="169" t="str">
        <f t="shared" ca="1" si="20"/>
        <v>BBB</v>
      </c>
      <c r="AL51" s="169">
        <f t="shared" ca="1" si="20"/>
        <v>18</v>
      </c>
      <c r="AM51" s="169" t="str">
        <f t="shared" ca="1" si="4"/>
        <v/>
      </c>
      <c r="AQ51" s="207" t="s">
        <v>293</v>
      </c>
      <c r="AR51" s="207" t="s">
        <v>166</v>
      </c>
      <c r="AS51" s="207">
        <v>21</v>
      </c>
      <c r="AT51" s="207" t="s">
        <v>294</v>
      </c>
      <c r="AV51" s="168">
        <f t="shared" si="21"/>
        <v>1</v>
      </c>
      <c r="AW51" s="168">
        <f>COUNTIF( AV$7:AV51, AV51 )</f>
        <v>1</v>
      </c>
      <c r="AX51" s="208">
        <f t="shared" si="22"/>
        <v>1.1000000000000001</v>
      </c>
      <c r="AY51" s="168">
        <f t="shared" si="23"/>
        <v>1</v>
      </c>
      <c r="AZ51" s="169"/>
      <c r="BA51" s="169"/>
      <c r="BC51" s="168">
        <f t="shared" ca="1" si="24"/>
        <v>45</v>
      </c>
      <c r="BD51" s="209">
        <f t="shared" ca="1" si="6"/>
        <v>47</v>
      </c>
      <c r="BF51" s="173" t="str">
        <f t="shared" ca="1" si="25"/>
        <v>UIL Holdings Corporation</v>
      </c>
      <c r="BG51" s="173" t="str">
        <f t="shared" ca="1" si="25"/>
        <v>BBB</v>
      </c>
      <c r="BH51" s="173">
        <f t="shared" ca="1" si="25"/>
        <v>18</v>
      </c>
      <c r="BI51" s="173" t="str">
        <f t="shared" ca="1" si="25"/>
        <v>UIL</v>
      </c>
    </row>
    <row r="52" spans="1:61" ht="13.8" x14ac:dyDescent="0.25">
      <c r="A52" s="223" t="s">
        <v>275</v>
      </c>
      <c r="B52" s="224" t="s">
        <v>142</v>
      </c>
      <c r="C52" s="224">
        <v>17</v>
      </c>
      <c r="D52" s="224" t="s">
        <v>276</v>
      </c>
      <c r="E52" s="225" t="str">
        <f t="shared" ca="1" si="8"/>
        <v>MR</v>
      </c>
      <c r="F52" s="348"/>
      <c r="G52" s="349">
        <f t="shared" ca="1" si="1"/>
        <v>25</v>
      </c>
      <c r="H52" s="350"/>
      <c r="I52" s="350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52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369</v>
      </c>
      <c r="AR52" s="207" t="s">
        <v>140</v>
      </c>
      <c r="AS52" s="207">
        <v>19</v>
      </c>
      <c r="AT52" s="207" t="s">
        <v>375</v>
      </c>
      <c r="AV52" s="168">
        <f t="shared" si="21"/>
        <v>14</v>
      </c>
      <c r="AW52" s="168">
        <f>COUNTIF( AV$7:AV52, AV52 )</f>
        <v>14</v>
      </c>
      <c r="AX52" s="208">
        <f t="shared" si="22"/>
        <v>15.4</v>
      </c>
      <c r="AY52" s="168">
        <f t="shared" si="23"/>
        <v>27</v>
      </c>
      <c r="AZ52" s="169"/>
      <c r="BA52" s="169"/>
      <c r="BC52" s="168">
        <f t="shared" ca="1" si="24"/>
        <v>46</v>
      </c>
      <c r="BD52" s="209">
        <f t="shared" ca="1" si="6"/>
        <v>21</v>
      </c>
      <c r="BF52" s="173" t="str">
        <f t="shared" ca="1" si="25"/>
        <v>FirstEnergy Corp.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FE</v>
      </c>
    </row>
    <row r="53" spans="1:61" ht="13.8" x14ac:dyDescent="0.25">
      <c r="A53" s="223" t="s">
        <v>279</v>
      </c>
      <c r="B53" s="224" t="s">
        <v>142</v>
      </c>
      <c r="C53" s="224">
        <v>17</v>
      </c>
      <c r="D53" s="224" t="s">
        <v>280</v>
      </c>
      <c r="E53" s="225" t="str">
        <f t="shared" ca="1" si="8"/>
        <v>D</v>
      </c>
      <c r="F53" s="348"/>
      <c r="G53" s="349">
        <f t="shared" ca="1" si="1"/>
        <v>27</v>
      </c>
      <c r="H53" s="350"/>
      <c r="I53" s="350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389</v>
      </c>
      <c r="AR53" s="207" t="s">
        <v>141</v>
      </c>
      <c r="AS53" s="207">
        <v>18</v>
      </c>
      <c r="AT53" s="207" t="s">
        <v>390</v>
      </c>
      <c r="AV53" s="168">
        <f t="shared" si="21"/>
        <v>29</v>
      </c>
      <c r="AW53" s="168">
        <f>COUNTIF( AV$7:AV53, AV53 )</f>
        <v>17</v>
      </c>
      <c r="AX53" s="208">
        <f t="shared" si="22"/>
        <v>30.7</v>
      </c>
      <c r="AY53" s="168">
        <f t="shared" si="23"/>
        <v>45</v>
      </c>
      <c r="AZ53" s="169"/>
      <c r="BA53" s="169"/>
      <c r="BC53" s="168">
        <f t="shared" ca="1" si="24"/>
        <v>47</v>
      </c>
      <c r="BD53" s="209">
        <f t="shared" ca="1" si="6"/>
        <v>23</v>
      </c>
      <c r="BF53" s="173" t="str">
        <f t="shared" ca="1" si="25"/>
        <v>Hawaiian Electric Industries,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HE</v>
      </c>
    </row>
    <row r="54" spans="1:61" ht="13.8" x14ac:dyDescent="0.25">
      <c r="A54" s="223" t="s">
        <v>273</v>
      </c>
      <c r="B54" s="224" t="s">
        <v>142</v>
      </c>
      <c r="C54" s="224">
        <v>17</v>
      </c>
      <c r="D54" s="224" t="s">
        <v>274</v>
      </c>
      <c r="E54" s="225" t="str">
        <f t="shared" ca="1" si="8"/>
        <v>MR</v>
      </c>
      <c r="F54" s="348"/>
      <c r="G54" s="349">
        <f t="shared" ca="1" si="1"/>
        <v>33</v>
      </c>
      <c r="H54" s="350"/>
      <c r="I54" s="350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8"/>
        <v/>
      </c>
      <c r="AJ54" s="169">
        <f t="shared" ca="1" si="19"/>
        <v>54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4"/>
        <v/>
      </c>
      <c r="AQ54" s="207" t="s">
        <v>345</v>
      </c>
      <c r="AR54" s="207" t="s">
        <v>139</v>
      </c>
      <c r="AS54" s="207">
        <v>20</v>
      </c>
      <c r="AT54" s="207" t="s">
        <v>346</v>
      </c>
      <c r="AV54" s="168">
        <f t="shared" si="21"/>
        <v>2</v>
      </c>
      <c r="AW54" s="168">
        <f>COUNTIF( AV$7:AV54, AV54 )</f>
        <v>10</v>
      </c>
      <c r="AX54" s="208">
        <f t="shared" si="22"/>
        <v>3</v>
      </c>
      <c r="AY54" s="168">
        <f t="shared" si="23"/>
        <v>11</v>
      </c>
      <c r="AZ54" s="169"/>
      <c r="BA54" s="169"/>
      <c r="BC54" s="168">
        <f t="shared" ca="1" si="24"/>
        <v>48</v>
      </c>
      <c r="BD54" s="209">
        <f t="shared" ca="1" si="6"/>
        <v>30</v>
      </c>
      <c r="BF54" s="173" t="str">
        <f t="shared" ca="1" si="25"/>
        <v>NiSource Inc.</v>
      </c>
      <c r="BG54" s="173" t="str">
        <f t="shared" ca="1" si="25"/>
        <v>BBB-</v>
      </c>
      <c r="BH54" s="173">
        <f t="shared" ca="1" si="25"/>
        <v>17</v>
      </c>
      <c r="BI54" s="173" t="str">
        <f t="shared" ca="1" si="25"/>
        <v>NI</v>
      </c>
    </row>
    <row r="55" spans="1:61" ht="13.8" x14ac:dyDescent="0.25">
      <c r="A55" s="223" t="s">
        <v>305</v>
      </c>
      <c r="B55" s="224" t="s">
        <v>142</v>
      </c>
      <c r="C55" s="224">
        <v>17</v>
      </c>
      <c r="D55" s="224" t="s">
        <v>306</v>
      </c>
      <c r="E55" s="225" t="str">
        <f t="shared" ca="1" si="8"/>
        <v>R</v>
      </c>
      <c r="F55" s="348"/>
      <c r="G55" s="349">
        <f t="shared" ca="1" si="1"/>
        <v>62</v>
      </c>
      <c r="H55" s="350"/>
      <c r="I55" s="350"/>
      <c r="J55" s="191"/>
      <c r="K55" s="191"/>
      <c r="AF55" s="169">
        <f t="shared" si="2"/>
        <v>1</v>
      </c>
      <c r="AG55" s="169" t="str">
        <f t="shared" ca="1" si="3"/>
        <v/>
      </c>
      <c r="AH55" s="169" t="str">
        <f t="shared" ca="1" si="18"/>
        <v/>
      </c>
      <c r="AJ55" s="169">
        <f t="shared" ca="1" si="19"/>
        <v>55</v>
      </c>
      <c r="AK55" s="169" t="str">
        <f t="shared" ca="1" si="20"/>
        <v>BBB-</v>
      </c>
      <c r="AL55" s="169">
        <f t="shared" ca="1" si="20"/>
        <v>17</v>
      </c>
      <c r="AM55" s="169" t="str">
        <f t="shared" ca="1" si="4"/>
        <v/>
      </c>
      <c r="AQ55" s="207" t="s">
        <v>354</v>
      </c>
      <c r="AR55" s="207" t="s">
        <v>140</v>
      </c>
      <c r="AS55" s="207">
        <v>19</v>
      </c>
      <c r="AT55" s="207" t="s">
        <v>355</v>
      </c>
      <c r="AV55" s="168">
        <f t="shared" si="21"/>
        <v>14</v>
      </c>
      <c r="AW55" s="168">
        <f>COUNTIF( AV$7:AV55, AV55 )</f>
        <v>15</v>
      </c>
      <c r="AX55" s="208">
        <f t="shared" si="22"/>
        <v>15.5</v>
      </c>
      <c r="AY55" s="168">
        <f t="shared" si="23"/>
        <v>28</v>
      </c>
      <c r="AZ55" s="169"/>
      <c r="BA55" s="169"/>
      <c r="BC55" s="168">
        <f t="shared" ca="1" si="24"/>
        <v>49</v>
      </c>
      <c r="BD55" s="209">
        <f t="shared" ca="1" si="6"/>
        <v>42</v>
      </c>
      <c r="BF55" s="173" t="str">
        <f t="shared" ca="1" si="25"/>
        <v>Puget Energy, Inc.</v>
      </c>
      <c r="BG55" s="173" t="str">
        <f t="shared" ca="1" si="25"/>
        <v>BBB-</v>
      </c>
      <c r="BH55" s="173">
        <f t="shared" ca="1" si="25"/>
        <v>17</v>
      </c>
      <c r="BI55" s="173" t="str">
        <f t="shared" ca="1" si="25"/>
        <v>**PSD</v>
      </c>
    </row>
    <row r="56" spans="1:61" ht="13.8" x14ac:dyDescent="0.25">
      <c r="A56" s="223" t="s">
        <v>287</v>
      </c>
      <c r="B56" s="224" t="s">
        <v>173</v>
      </c>
      <c r="C56" s="224">
        <v>16</v>
      </c>
      <c r="D56" s="224" t="s">
        <v>288</v>
      </c>
      <c r="E56" s="225" t="str">
        <f t="shared" ca="1" si="8"/>
        <v>R</v>
      </c>
      <c r="F56" s="348"/>
      <c r="G56" s="349">
        <f t="shared" ca="1" si="1"/>
        <v>60</v>
      </c>
      <c r="H56" s="350"/>
      <c r="I56" s="350"/>
      <c r="J56" s="191"/>
      <c r="K56" s="191"/>
      <c r="AF56" s="169">
        <f t="shared" si="2"/>
        <v>0</v>
      </c>
      <c r="AG56" s="169" t="str">
        <f t="shared" ca="1" si="3"/>
        <v/>
      </c>
      <c r="AH56" s="169" t="str">
        <f t="shared" ca="1" si="18"/>
        <v/>
      </c>
      <c r="AJ56" s="169">
        <f t="shared" ca="1" si="19"/>
        <v>56</v>
      </c>
      <c r="AK56" s="169" t="str">
        <f t="shared" ca="1" si="20"/>
        <v>BB+</v>
      </c>
      <c r="AL56" s="169">
        <f t="shared" ca="1" si="20"/>
        <v>16</v>
      </c>
      <c r="AM56" s="169" t="str">
        <f t="shared" ca="1" si="4"/>
        <v/>
      </c>
      <c r="AQ56" s="207" t="s">
        <v>247</v>
      </c>
      <c r="AR56" s="207" t="s">
        <v>139</v>
      </c>
      <c r="AS56" s="207">
        <v>20</v>
      </c>
      <c r="AT56" s="207" t="s">
        <v>248</v>
      </c>
      <c r="AV56" s="168">
        <f t="shared" si="21"/>
        <v>2</v>
      </c>
      <c r="AW56" s="168">
        <f>COUNTIF( AV$7:AV56, AV56 )</f>
        <v>11</v>
      </c>
      <c r="AX56" s="208">
        <f t="shared" si="22"/>
        <v>3.1</v>
      </c>
      <c r="AY56" s="168">
        <f t="shared" si="23"/>
        <v>12</v>
      </c>
      <c r="AZ56" s="169"/>
      <c r="BA56" s="169"/>
      <c r="BC56" s="168">
        <f t="shared" ca="1" si="24"/>
        <v>50</v>
      </c>
      <c r="BD56" s="209">
        <f t="shared" ca="1" si="6"/>
        <v>27</v>
      </c>
      <c r="BF56" s="173" t="str">
        <f t="shared" ca="1" si="25"/>
        <v>IPALCO Enterprises, Inc.</v>
      </c>
      <c r="BG56" s="173" t="str">
        <f t="shared" ca="1" si="25"/>
        <v>BB+</v>
      </c>
      <c r="BH56" s="173">
        <f t="shared" ca="1" si="25"/>
        <v>16</v>
      </c>
      <c r="BI56" s="173" t="str">
        <f t="shared" ca="1" si="25"/>
        <v>**IPALCO</v>
      </c>
    </row>
    <row r="57" spans="1:61" ht="13.8" x14ac:dyDescent="0.25">
      <c r="A57" s="223" t="s">
        <v>259</v>
      </c>
      <c r="B57" s="224" t="s">
        <v>175</v>
      </c>
      <c r="C57" s="224">
        <v>15</v>
      </c>
      <c r="D57" s="224" t="s">
        <v>260</v>
      </c>
      <c r="E57" s="225" t="str">
        <f t="shared" ca="1" si="8"/>
        <v>R</v>
      </c>
      <c r="F57" s="348"/>
      <c r="G57" s="349">
        <f t="shared" ca="1" si="1"/>
        <v>58</v>
      </c>
      <c r="H57" s="350"/>
      <c r="I57" s="350"/>
      <c r="J57" s="191"/>
      <c r="K57" s="191"/>
      <c r="AF57" s="169">
        <f t="shared" si="2"/>
        <v>1</v>
      </c>
      <c r="AG57" s="169" t="str">
        <f t="shared" ca="1" si="3"/>
        <v/>
      </c>
      <c r="AH57" s="169" t="str">
        <f t="shared" ca="1" si="18"/>
        <v/>
      </c>
      <c r="AJ57" s="169">
        <f t="shared" ca="1" si="19"/>
        <v>57</v>
      </c>
      <c r="AK57" s="169" t="str">
        <f t="shared" ca="1" si="20"/>
        <v>BB</v>
      </c>
      <c r="AL57" s="169">
        <f t="shared" ca="1" si="20"/>
        <v>15</v>
      </c>
      <c r="AM57" s="169" t="str">
        <f t="shared" ca="1" si="4"/>
        <v/>
      </c>
      <c r="AQ57" s="207" t="s">
        <v>251</v>
      </c>
      <c r="AR57" s="207" t="s">
        <v>139</v>
      </c>
      <c r="AS57" s="207">
        <v>20</v>
      </c>
      <c r="AT57" s="207" t="s">
        <v>252</v>
      </c>
      <c r="AV57" s="168">
        <f t="shared" si="21"/>
        <v>2</v>
      </c>
      <c r="AW57" s="168">
        <f>COUNTIF( AV$7:AV57, AV57 )</f>
        <v>12</v>
      </c>
      <c r="AX57" s="208">
        <f t="shared" si="22"/>
        <v>3.2</v>
      </c>
      <c r="AY57" s="168">
        <f t="shared" si="23"/>
        <v>13</v>
      </c>
      <c r="AZ57" s="169"/>
      <c r="BA57" s="169"/>
      <c r="BC57" s="168">
        <f t="shared" ca="1" si="24"/>
        <v>51</v>
      </c>
      <c r="BD57" s="209">
        <f t="shared" ca="1" si="6"/>
        <v>13</v>
      </c>
      <c r="BF57" s="173" t="str">
        <f t="shared" ca="1" si="25"/>
        <v>DPL Inc.</v>
      </c>
      <c r="BG57" s="173" t="str">
        <f t="shared" ca="1" si="25"/>
        <v>BB</v>
      </c>
      <c r="BH57" s="173">
        <f t="shared" ca="1" si="25"/>
        <v>15</v>
      </c>
      <c r="BI57" s="173" t="str">
        <f t="shared" ca="1" si="25"/>
        <v>**DPL</v>
      </c>
    </row>
    <row r="58" spans="1:61" ht="13.8" x14ac:dyDescent="0.25">
      <c r="A58" s="223"/>
      <c r="B58" s="224"/>
      <c r="C58" s="224"/>
      <c r="D58" s="224"/>
      <c r="E58" s="225" t="str">
        <f t="shared" ca="1" si="8"/>
        <v/>
      </c>
      <c r="F58" s="348"/>
      <c r="G58" s="349" t="str">
        <f t="shared" ca="1" si="1"/>
        <v/>
      </c>
      <c r="H58" s="350"/>
      <c r="I58" s="350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1</v>
      </c>
      <c r="AX58" s="208">
        <f t="shared" si="22"/>
        <v>99.1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8" x14ac:dyDescent="0.25">
      <c r="A59" s="223"/>
      <c r="B59" s="224"/>
      <c r="C59" s="224"/>
      <c r="D59" s="224"/>
      <c r="E59" s="225" t="str">
        <f t="shared" ca="1" si="8"/>
        <v/>
      </c>
      <c r="F59" s="348"/>
      <c r="G59" s="349" t="str">
        <f t="shared" ca="1" si="1"/>
        <v/>
      </c>
      <c r="H59" s="350"/>
      <c r="I59" s="350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2</v>
      </c>
      <c r="AX59" s="208">
        <f t="shared" si="22"/>
        <v>99.2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" thickBot="1" x14ac:dyDescent="0.3">
      <c r="A60" s="192"/>
      <c r="B60" s="193"/>
      <c r="C60" s="193"/>
      <c r="D60" s="193"/>
      <c r="E60" s="194" t="str">
        <f t="shared" ca="1" si="8"/>
        <v/>
      </c>
      <c r="F60" s="350"/>
      <c r="G60" s="353" t="str">
        <f t="shared" ca="1" si="1"/>
        <v/>
      </c>
      <c r="H60" s="350"/>
      <c r="I60" s="350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3</v>
      </c>
      <c r="AX60" s="208">
        <f t="shared" si="22"/>
        <v>99.3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8" x14ac:dyDescent="0.25">
      <c r="A61" s="226" t="s">
        <v>384</v>
      </c>
      <c r="B61" s="227" t="s">
        <v>162</v>
      </c>
      <c r="C61" s="227">
        <v>23</v>
      </c>
      <c r="D61" s="227" t="s">
        <v>309</v>
      </c>
      <c r="E61" s="228" t="str">
        <f t="shared" ca="1" si="8"/>
        <v>MR</v>
      </c>
      <c r="F61" s="354"/>
      <c r="G61" s="355">
        <f t="shared" ca="1" si="1"/>
        <v>31</v>
      </c>
      <c r="H61" s="350"/>
      <c r="I61" s="350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62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4</v>
      </c>
      <c r="AX61" s="208">
        <f t="shared" si="22"/>
        <v>99.4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8" x14ac:dyDescent="0.25">
      <c r="A62" s="223" t="s">
        <v>399</v>
      </c>
      <c r="B62" s="224" t="s">
        <v>141</v>
      </c>
      <c r="C62" s="224">
        <v>18</v>
      </c>
      <c r="D62" s="224" t="s">
        <v>400</v>
      </c>
      <c r="E62" s="225" t="str">
        <f t="shared" ca="1" si="8"/>
        <v>R</v>
      </c>
      <c r="F62" s="348"/>
      <c r="G62" s="349">
        <f t="shared" ca="1" si="1"/>
        <v>51</v>
      </c>
      <c r="H62" s="350"/>
      <c r="I62" s="350"/>
      <c r="AF62" s="169">
        <f t="shared" si="2"/>
        <v>0</v>
      </c>
      <c r="AG62" s="169" t="str">
        <f t="shared" ca="1" si="3"/>
        <v/>
      </c>
      <c r="AH62" s="169" t="str">
        <f t="shared" ca="1" si="18"/>
        <v/>
      </c>
      <c r="AJ62" s="169">
        <f t="shared" ca="1" si="19"/>
        <v>63</v>
      </c>
      <c r="AK62" s="169" t="str">
        <f t="shared" ca="1" si="20"/>
        <v>BBB</v>
      </c>
      <c r="AL62" s="169">
        <f t="shared" ca="1" si="20"/>
        <v>18</v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5</v>
      </c>
      <c r="AX62" s="208">
        <f t="shared" si="22"/>
        <v>99.5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 t="s">
        <v>401</v>
      </c>
      <c r="B63" s="224"/>
      <c r="C63" s="224"/>
      <c r="D63" s="224" t="s">
        <v>376</v>
      </c>
      <c r="E63" s="225" t="str">
        <f t="shared" ca="1" si="8"/>
        <v>R</v>
      </c>
      <c r="F63" s="348"/>
      <c r="G63" s="349">
        <f t="shared" ca="1" si="1"/>
        <v>50</v>
      </c>
      <c r="H63" s="350"/>
      <c r="I63" s="350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>
        <f t="shared" ca="1" si="19"/>
        <v>64</v>
      </c>
      <c r="AK63" s="169">
        <f t="shared" ca="1" si="20"/>
        <v>0</v>
      </c>
      <c r="AL63" s="169">
        <f t="shared" ca="1" si="20"/>
        <v>0</v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6</v>
      </c>
      <c r="AX63" s="208">
        <f t="shared" si="22"/>
        <v>99.6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 t="s">
        <v>371</v>
      </c>
      <c r="B64" s="224"/>
      <c r="C64" s="224"/>
      <c r="D64" s="224" t="s">
        <v>359</v>
      </c>
      <c r="E64" s="225" t="str">
        <f t="shared" ca="1" si="8"/>
        <v>D</v>
      </c>
      <c r="F64" s="348"/>
      <c r="G64" s="349">
        <f t="shared" ca="1" si="1"/>
        <v>59</v>
      </c>
      <c r="H64" s="350"/>
      <c r="I64" s="350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>
        <f t="shared" ca="1" si="19"/>
        <v>58</v>
      </c>
      <c r="AK64" s="169" t="str">
        <f t="shared" ca="1" si="20"/>
        <v>CCC-</v>
      </c>
      <c r="AL64" s="169">
        <f t="shared" ca="1" si="20"/>
        <v>8</v>
      </c>
      <c r="AM64" s="169" t="str">
        <f t="shared" ca="1" si="4"/>
        <v>Change</v>
      </c>
      <c r="AQ64" s="207" t="s">
        <v>384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58" ht="13.8" x14ac:dyDescent="0.25">
      <c r="A65" s="223"/>
      <c r="B65" s="229"/>
      <c r="C65" s="224"/>
      <c r="D65" s="224"/>
      <c r="E65" s="225"/>
      <c r="F65" s="348"/>
      <c r="G65" s="349"/>
      <c r="H65" s="350"/>
      <c r="I65" s="350"/>
      <c r="N65" s="168" t="s">
        <v>310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 t="s">
        <v>402</v>
      </c>
      <c r="AR65" s="207" t="s">
        <v>141</v>
      </c>
      <c r="AS65" s="207">
        <v>18</v>
      </c>
      <c r="AT65" s="207" t="s">
        <v>400</v>
      </c>
      <c r="AU65" s="207"/>
      <c r="AZ65" s="169"/>
      <c r="BA65" s="169"/>
      <c r="BF65" s="169"/>
    </row>
    <row r="66" spans="1:58" ht="13.8" x14ac:dyDescent="0.25">
      <c r="A66" s="195"/>
      <c r="B66" s="196"/>
      <c r="C66" s="185"/>
      <c r="D66" s="185"/>
      <c r="E66" s="182"/>
      <c r="F66" s="350"/>
      <c r="H66" s="350"/>
      <c r="I66" s="350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Q66" s="207" t="s">
        <v>401</v>
      </c>
      <c r="AR66" s="207"/>
      <c r="AS66" s="207"/>
      <c r="AT66" s="207" t="s">
        <v>376</v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50"/>
      <c r="H67" s="350"/>
      <c r="I67" s="350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Q67" s="207" t="s">
        <v>371</v>
      </c>
      <c r="AR67" s="207"/>
      <c r="AS67" s="207"/>
      <c r="AT67" s="207" t="s">
        <v>359</v>
      </c>
      <c r="AX67" s="208"/>
      <c r="AZ67" s="169"/>
      <c r="BA67" s="169"/>
      <c r="BD67" s="209"/>
      <c r="BF67" s="169"/>
    </row>
    <row r="68" spans="1:58" ht="13.8" x14ac:dyDescent="0.25">
      <c r="A68" s="200" t="s">
        <v>311</v>
      </c>
      <c r="B68" s="189" t="str">
        <f ca="1">OFFSET( Scale!$H$5, ROUND( C68, 0 ) - 1, 1 )</f>
        <v>BBB+</v>
      </c>
      <c r="C68" s="201">
        <f>AVERAGE(C7:C65)</f>
        <v>18.716981132075471</v>
      </c>
      <c r="D68" s="201"/>
      <c r="E68" s="201"/>
      <c r="F68" s="350"/>
      <c r="H68" s="350"/>
      <c r="I68" s="350"/>
      <c r="J68" s="351"/>
      <c r="K68" s="351"/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50"/>
      <c r="H69" s="350"/>
      <c r="I69" s="350"/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1"/>
      <c r="K70" s="351"/>
    </row>
    <row r="71" spans="1:58" x14ac:dyDescent="0.25">
      <c r="A71" s="203" t="s">
        <v>312</v>
      </c>
      <c r="F71" s="173"/>
      <c r="H71" s="173"/>
      <c r="I71" s="173"/>
    </row>
    <row r="72" spans="1:58" x14ac:dyDescent="0.25">
      <c r="A72" s="203" t="s">
        <v>313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314</v>
      </c>
      <c r="B73" s="173"/>
      <c r="D73" s="173"/>
      <c r="E73" s="173"/>
      <c r="F73" s="204"/>
      <c r="H73" s="204"/>
      <c r="I73" s="204"/>
    </row>
    <row r="74" spans="1:58" x14ac:dyDescent="0.25">
      <c r="A74" s="205" t="s">
        <v>403</v>
      </c>
      <c r="D74" s="204"/>
      <c r="F74" s="206"/>
      <c r="H74" s="206"/>
      <c r="I74" s="206"/>
    </row>
    <row r="75" spans="1:58" x14ac:dyDescent="0.25">
      <c r="A75" s="203" t="s">
        <v>315</v>
      </c>
      <c r="D75" s="204"/>
      <c r="F75" s="206"/>
      <c r="H75" s="206"/>
      <c r="I75" s="206"/>
      <c r="AQ75" s="207"/>
      <c r="AR75" s="207"/>
      <c r="AS75" s="207"/>
    </row>
    <row r="76" spans="1:58" x14ac:dyDescent="0.25">
      <c r="A76" s="203" t="s">
        <v>316</v>
      </c>
      <c r="D76" s="204"/>
      <c r="F76" s="206"/>
      <c r="H76" s="206"/>
      <c r="I76" s="206"/>
      <c r="AQ76" s="207"/>
      <c r="AR76" s="207"/>
      <c r="AS76" s="207"/>
    </row>
    <row r="77" spans="1:58" x14ac:dyDescent="0.25">
      <c r="A77" s="203"/>
      <c r="AQ77" s="207"/>
      <c r="AR77" s="207"/>
      <c r="AS77" s="207"/>
    </row>
    <row r="78" spans="1:58" x14ac:dyDescent="0.25">
      <c r="C78" s="190">
        <f>SUMPRODUCT( L8:L13, Y8:Y13 ) / L14</f>
        <v>18.69811320754717</v>
      </c>
      <c r="E78" s="191"/>
      <c r="G78" s="353"/>
      <c r="J78" s="173"/>
      <c r="K78" s="173"/>
      <c r="AQ78" s="207"/>
      <c r="AR78" s="207"/>
      <c r="AS78" s="207"/>
    </row>
    <row r="79" spans="1:58" s="173" customFormat="1" ht="13.8" x14ac:dyDescent="0.25">
      <c r="A79" s="195"/>
      <c r="B79" s="185"/>
      <c r="C79" s="185"/>
      <c r="D79" s="185"/>
      <c r="E79" s="182"/>
      <c r="F79" s="168"/>
      <c r="G79" s="169"/>
      <c r="H79" s="168"/>
      <c r="I79" s="168"/>
      <c r="Q79" s="168"/>
      <c r="T79" s="169"/>
      <c r="U79" s="169"/>
      <c r="V79" s="169"/>
      <c r="AF79" s="169"/>
      <c r="AG79" s="169"/>
      <c r="AH79" s="169"/>
      <c r="AJ79" s="169"/>
      <c r="AK79" s="169"/>
      <c r="AL79" s="169"/>
      <c r="AM79" s="169"/>
      <c r="AN79" s="169"/>
      <c r="AQ79" s="207"/>
      <c r="AR79" s="207"/>
      <c r="AS79" s="207"/>
    </row>
  </sheetData>
  <sortState ref="AQ7:AT61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E7:E59 A60:E61 E61:E65">
    <cfRule type="expression" dxfId="476" priority="28" stopIfTrue="1">
      <formula>IF( $AH7 = 1, TRUE, FALSE )</formula>
    </cfRule>
    <cfRule type="expression" dxfId="475" priority="29" stopIfTrue="1">
      <formula>IF( $AG7 = 1, TRUE, FALSE )</formula>
    </cfRule>
    <cfRule type="expression" dxfId="474" priority="30" stopIfTrue="1">
      <formula>IF( $AF7 = 1, TRUE, FALSE )</formula>
    </cfRule>
  </conditionalFormatting>
  <conditionalFormatting sqref="A67:E67">
    <cfRule type="expression" dxfId="473" priority="31" stopIfTrue="1">
      <formula>IF( $AH67 = 1, TRUE, FALSE )</formula>
    </cfRule>
    <cfRule type="expression" dxfId="472" priority="32" stopIfTrue="1">
      <formula>IF( $AG67 = 1, TRUE, FALSE )</formula>
    </cfRule>
    <cfRule type="expression" dxfId="471" priority="33" stopIfTrue="1">
      <formula>IF( $AF67 = 1, TRUE, FALSE )</formula>
    </cfRule>
  </conditionalFormatting>
  <conditionalFormatting sqref="A66:E66">
    <cfRule type="expression" dxfId="470" priority="25" stopIfTrue="1">
      <formula>IF( $AH66 = 1, TRUE, FALSE )</formula>
    </cfRule>
    <cfRule type="expression" dxfId="469" priority="26" stopIfTrue="1">
      <formula>IF( $AG66 = 1, TRUE, FALSE )</formula>
    </cfRule>
    <cfRule type="expression" dxfId="468" priority="27" stopIfTrue="1">
      <formula>IF( $AF66 = 1, TRUE, FALSE )</formula>
    </cfRule>
  </conditionalFormatting>
  <conditionalFormatting sqref="A8:D58 B7:D7">
    <cfRule type="expression" dxfId="467" priority="22" stopIfTrue="1">
      <formula>IF( $AH7 = 1, TRUE, FALSE )</formula>
    </cfRule>
    <cfRule type="expression" dxfId="466" priority="23" stopIfTrue="1">
      <formula>IF( $AG7 = 1, TRUE, FALSE )</formula>
    </cfRule>
    <cfRule type="expression" dxfId="465" priority="24" stopIfTrue="1">
      <formula>IF( $AF7 = 1, TRUE, FALSE )</formula>
    </cfRule>
  </conditionalFormatting>
  <conditionalFormatting sqref="A59:D59">
    <cfRule type="expression" dxfId="464" priority="19" stopIfTrue="1">
      <formula>IF( $AH59 = 1, TRUE, FALSE )</formula>
    </cfRule>
    <cfRule type="expression" dxfId="463" priority="20" stopIfTrue="1">
      <formula>IF( $AG59 = 1, TRUE, FALSE )</formula>
    </cfRule>
    <cfRule type="expression" dxfId="462" priority="21" stopIfTrue="1">
      <formula>IF( $AF59 = 1, TRUE, FALSE )</formula>
    </cfRule>
  </conditionalFormatting>
  <conditionalFormatting sqref="A61:D65">
    <cfRule type="expression" dxfId="461" priority="16" stopIfTrue="1">
      <formula>IF( $AH61 = 1, TRUE, FALSE )</formula>
    </cfRule>
    <cfRule type="expression" dxfId="460" priority="17" stopIfTrue="1">
      <formula>IF( $AG61 = 1, TRUE, FALSE )</formula>
    </cfRule>
    <cfRule type="expression" dxfId="459" priority="18" stopIfTrue="1">
      <formula>IF( $AF61 = 1, TRUE, FALSE )</formula>
    </cfRule>
  </conditionalFormatting>
  <conditionalFormatting sqref="U8:U12">
    <cfRule type="cellIs" dxfId="458" priority="15" operator="equal">
      <formula>0</formula>
    </cfRule>
  </conditionalFormatting>
  <conditionalFormatting sqref="O8:O12 Q8:Q12">
    <cfRule type="cellIs" dxfId="457" priority="14" operator="equal">
      <formula>0</formula>
    </cfRule>
  </conditionalFormatting>
  <conditionalFormatting sqref="V8:V12">
    <cfRule type="cellIs" dxfId="456" priority="13" operator="equal">
      <formula>0</formula>
    </cfRule>
  </conditionalFormatting>
  <conditionalFormatting sqref="S8:S12">
    <cfRule type="cellIs" dxfId="455" priority="11" operator="equal">
      <formula>0</formula>
    </cfRule>
  </conditionalFormatting>
  <conditionalFormatting sqref="R8:R12">
    <cfRule type="cellIs" dxfId="454" priority="12" operator="equal">
      <formula>0</formula>
    </cfRule>
  </conditionalFormatting>
  <conditionalFormatting sqref="P8:P12">
    <cfRule type="cellIs" dxfId="453" priority="10" operator="equal">
      <formula>0</formula>
    </cfRule>
  </conditionalFormatting>
  <conditionalFormatting sqref="M8:M12">
    <cfRule type="cellIs" dxfId="452" priority="9" operator="equal">
      <formula>0</formula>
    </cfRule>
  </conditionalFormatting>
  <conditionalFormatting sqref="T8:T12">
    <cfRule type="cellIs" dxfId="451" priority="8" operator="equal">
      <formula>0</formula>
    </cfRule>
  </conditionalFormatting>
  <conditionalFormatting sqref="N8:N12">
    <cfRule type="cellIs" dxfId="450" priority="7" operator="equal">
      <formula>0</formula>
    </cfRule>
  </conditionalFormatting>
  <conditionalFormatting sqref="K8:K12">
    <cfRule type="cellIs" dxfId="449" priority="6" operator="equal">
      <formula>0</formula>
    </cfRule>
  </conditionalFormatting>
  <conditionalFormatting sqref="I8:I12">
    <cfRule type="cellIs" dxfId="448" priority="5" operator="equal">
      <formula>0</formula>
    </cfRule>
  </conditionalFormatting>
  <conditionalFormatting sqref="W8:W12">
    <cfRule type="cellIs" dxfId="447" priority="4" operator="equal">
      <formula>0</formula>
    </cfRule>
  </conditionalFormatting>
  <conditionalFormatting sqref="A7">
    <cfRule type="expression" dxfId="446" priority="1" stopIfTrue="1">
      <formula>IF( $AH7 = 1, TRUE, FALSE )</formula>
    </cfRule>
    <cfRule type="expression" dxfId="445" priority="2" stopIfTrue="1">
      <formula>IF( $AG7 = 1, TRUE, FALSE )</formula>
    </cfRule>
    <cfRule type="expression" dxfId="444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9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customWidth="1"/>
    <col min="23" max="23" width="2" style="168" customWidth="1"/>
    <col min="24" max="24" width="4.109375" style="168" customWidth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7.88671875" style="169" hidden="1" customWidth="1" outlineLevel="1" collapsed="1"/>
    <col min="37" max="38" width="9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style="168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-- 2014 Q1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 x14ac:dyDescent="0.25">
      <c r="A2" s="167"/>
      <c r="E2" s="171" t="str">
        <f>G2</f>
        <v>Reg_Percent_2012</v>
      </c>
      <c r="G2" s="172" t="s">
        <v>405</v>
      </c>
      <c r="AJ2" s="173" t="str">
        <f>AJ4 &amp; AJ3</f>
        <v>'Credit_2013Q4'!a:a</v>
      </c>
      <c r="AK2" s="173" t="str">
        <f>AK4 &amp; AK3</f>
        <v>'Credit_2013Q4'!b1</v>
      </c>
      <c r="AL2" s="173" t="str">
        <f>AL4 &amp; AL3</f>
        <v>'Credit_2013Q4'!c1</v>
      </c>
      <c r="AQ2" s="169"/>
    </row>
    <row r="3" spans="1:61" ht="18" hidden="1" outlineLevel="1" x14ac:dyDescent="0.25">
      <c r="A3" s="167"/>
      <c r="E3" s="174" t="str">
        <f>"'" &amp; E2 &amp; "'!"</f>
        <v>'Reg_Percent_2012'!</v>
      </c>
      <c r="G3" s="168" t="str">
        <f>"'" &amp; G2 &amp; "'!"</f>
        <v>'Reg_Percent_2012'!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406</v>
      </c>
      <c r="AK3" s="149" t="s">
        <v>206</v>
      </c>
      <c r="AL3" s="149" t="s">
        <v>207</v>
      </c>
      <c r="AQ3" s="169"/>
    </row>
    <row r="4" spans="1:61" ht="18" hidden="1" outlineLevel="1" x14ac:dyDescent="0.25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>$AQ$5</f>
        <v>'Credit_2013Q4'!</v>
      </c>
      <c r="AK4" s="169" t="str">
        <f t="shared" ref="AK4:AL4" si="0">$AQ$5</f>
        <v>'Credit_2013Q4'!</v>
      </c>
      <c r="AL4" s="169" t="str">
        <f t="shared" si="0"/>
        <v>'Credit_2013Q4'!</v>
      </c>
      <c r="AQ4" s="169"/>
    </row>
    <row r="5" spans="1:61" ht="13.8" collapsed="1" x14ac:dyDescent="0.25">
      <c r="E5" s="176" t="s">
        <v>209</v>
      </c>
      <c r="G5" s="170" t="s">
        <v>199</v>
      </c>
      <c r="I5" s="230"/>
      <c r="J5" s="389" t="s">
        <v>210</v>
      </c>
      <c r="K5" s="230"/>
      <c r="L5" s="391" t="str">
        <f>"All Companies" &amp; CHAR( 10 ) &amp; "("&amp; L14 &amp; ")"</f>
        <v>All Companies
(54)</v>
      </c>
      <c r="M5" s="391"/>
      <c r="N5" s="230"/>
      <c r="O5" s="389" t="str">
        <f ca="1">"Regulated" &amp; CHAR( 10 ) &amp; "(" &amp; O14 &amp; ")"</f>
        <v>Regulated
(35)</v>
      </c>
      <c r="P5" s="393"/>
      <c r="Q5" s="230"/>
      <c r="R5" s="389" t="str">
        <f ca="1">"Mostly Regulated" &amp; CHAR( 10 ) &amp; "(" &amp; R14 &amp; ")"</f>
        <v>Mostly Regulated
(17)</v>
      </c>
      <c r="S5" s="393"/>
      <c r="T5" s="230"/>
      <c r="U5" s="389" t="str">
        <f ca="1">"Diversified" &amp; CHAR( 10 ) &amp; "(" &amp; U14 &amp; ")"</f>
        <v>Diversified
(2)</v>
      </c>
      <c r="V5" s="393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407</v>
      </c>
    </row>
    <row r="6" spans="1:61" ht="28.5" customHeight="1" x14ac:dyDescent="0.25">
      <c r="A6" s="219" t="s">
        <v>212</v>
      </c>
      <c r="B6" s="220" t="s">
        <v>56</v>
      </c>
      <c r="C6" s="249" t="s">
        <v>214</v>
      </c>
      <c r="D6" s="221"/>
      <c r="E6" s="222">
        <v>41274</v>
      </c>
      <c r="I6" s="231"/>
      <c r="J6" s="390"/>
      <c r="K6" s="231"/>
      <c r="L6" s="392"/>
      <c r="M6" s="392"/>
      <c r="N6" s="231"/>
      <c r="O6" s="390"/>
      <c r="P6" s="390"/>
      <c r="Q6" s="231"/>
      <c r="R6" s="390" t="s">
        <v>136</v>
      </c>
      <c r="S6" s="390"/>
      <c r="T6" s="231"/>
      <c r="U6" s="390"/>
      <c r="V6" s="390"/>
      <c r="W6" s="231"/>
      <c r="AE6" s="178"/>
      <c r="AJ6" s="179"/>
    </row>
    <row r="7" spans="1:61" ht="13.8" x14ac:dyDescent="0.25">
      <c r="A7" s="223" t="s">
        <v>293</v>
      </c>
      <c r="B7" s="224" t="s">
        <v>166</v>
      </c>
      <c r="C7" s="224">
        <v>21</v>
      </c>
      <c r="D7" s="224" t="s">
        <v>294</v>
      </c>
      <c r="E7" s="225" t="str">
        <f t="shared" ref="E7:E58" ca="1" si="1">OFFSET( INDIRECT( E$3 &amp; E$4 ), $G7 - 1, 0 )</f>
        <v>R</v>
      </c>
      <c r="F7" s="348"/>
      <c r="G7" s="349">
        <f t="shared" ref="G7:G64" ca="1" si="2">IF( LEN( $D7 ) = 0, "", MATCH( $D7, INDIRECT( G$3 &amp; G$4 ), 0 ) )</f>
        <v>48</v>
      </c>
      <c r="H7" s="350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3">IF( LEN( C7 ) = 0, 0, IF( C7 = C6, AF6, IF( AF6 = 1, 0, 1 ) ) )</f>
        <v>1</v>
      </c>
      <c r="AG7" s="169" t="str">
        <f t="shared" ref="AG7:AG64" ca="1" si="4">IF( LEN( $C7 ) = 0, "", IF( $C7 &gt; $AL7, 1, "" ) )</f>
        <v/>
      </c>
      <c r="AH7" s="169" t="str">
        <f ca="1">IF( LEN( $C7 ) = 0, "", IF( $C7 &lt; $AL7, 1, "" ) )</f>
        <v/>
      </c>
      <c r="AJ7" s="169">
        <f t="shared" ref="AJ7:AJ67" ca="1" si="5">MATCH( $A7,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6">IF( B7 = AK7, "", "Change" )</f>
        <v/>
      </c>
      <c r="AQ7" s="207" t="s">
        <v>217</v>
      </c>
      <c r="AR7" s="207" t="s">
        <v>140</v>
      </c>
      <c r="AS7" s="207">
        <v>19</v>
      </c>
      <c r="AT7" s="207" t="s">
        <v>218</v>
      </c>
      <c r="AV7" s="168">
        <f>IF( LEN( AS7 ) = 0, 99, RANK( AS7, $AS$7:$AS$63 ) )</f>
        <v>14</v>
      </c>
      <c r="AW7" s="168">
        <f>COUNTIF( AV7:AV$7, AV7 )</f>
        <v>1</v>
      </c>
      <c r="AX7" s="208">
        <f>AV7 + AW7 / 10</f>
        <v>14.1</v>
      </c>
      <c r="AY7" s="168">
        <f>RANK( AX7, $AX$7:$AX$63, 1 )</f>
        <v>14</v>
      </c>
      <c r="AZ7" s="169"/>
      <c r="BA7" s="169"/>
      <c r="BC7" s="168">
        <f t="shared" ref="BC7" ca="1" si="7">OFFSET( BC7, -1, 0 ) + 1</f>
        <v>1</v>
      </c>
      <c r="BD7" s="209">
        <f t="shared" ref="BD7:BD62" ca="1" si="8">MATCH( BC7, $AY$7:$AY$63, 0 )</f>
        <v>46</v>
      </c>
      <c r="BF7" s="173" t="str">
        <f t="shared" ref="BF7:BI38" ca="1" si="9">OFFSET( AQ$6, $BD7, 0 )</f>
        <v>Southern Company</v>
      </c>
      <c r="BG7" s="173" t="str">
        <f t="shared" ca="1" si="9"/>
        <v>A</v>
      </c>
      <c r="BH7" s="173">
        <f t="shared" ca="1" si="9"/>
        <v>21</v>
      </c>
      <c r="BI7" s="173" t="str">
        <f t="shared" ca="1" si="9"/>
        <v>SO</v>
      </c>
    </row>
    <row r="8" spans="1:61" ht="13.8" x14ac:dyDescent="0.25">
      <c r="A8" s="223" t="s">
        <v>219</v>
      </c>
      <c r="B8" s="224" t="s">
        <v>139</v>
      </c>
      <c r="C8" s="224">
        <v>20</v>
      </c>
      <c r="D8" s="224" t="s">
        <v>220</v>
      </c>
      <c r="E8" s="225" t="str">
        <f t="shared" ca="1" si="1"/>
        <v>R</v>
      </c>
      <c r="F8" s="348"/>
      <c r="G8" s="349">
        <f t="shared" ca="1" si="2"/>
        <v>8</v>
      </c>
      <c r="H8" s="350"/>
      <c r="I8" s="233"/>
      <c r="J8" s="213" t="s">
        <v>137</v>
      </c>
      <c r="K8" s="233"/>
      <c r="L8" s="213">
        <f t="shared" ref="L8:L13" si="10">COUNTIF($C$7:$C$67,$X8)</f>
        <v>2</v>
      </c>
      <c r="M8" s="214">
        <f t="shared" ref="M8:M13" si="11">IF( L8 = 0, "", L8/L$14 )</f>
        <v>3.7037037037037035E-2</v>
      </c>
      <c r="N8" s="233"/>
      <c r="O8" s="213">
        <f t="shared" ref="O8:O13" ca="1" si="12">COUNTIFS( $E$7:$E$66, O$3, $C$7:$C$66, $X8 )</f>
        <v>1</v>
      </c>
      <c r="P8" s="214">
        <f t="shared" ref="P8:P13" ca="1" si="13">IF( O8 = 0, "", O8/O$14 )</f>
        <v>2.8571428571428571E-2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5.8823529411764705E-2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8">SUM(O8, R8, U8)</f>
        <v>2</v>
      </c>
      <c r="AC8" s="351"/>
      <c r="AE8" s="184"/>
      <c r="AF8" s="169">
        <f t="shared" si="3"/>
        <v>0</v>
      </c>
      <c r="AG8" s="169" t="str">
        <f t="shared" ca="1" si="4"/>
        <v/>
      </c>
      <c r="AH8" s="169" t="str">
        <f t="shared" ref="AH8:AH67" ca="1" si="19">IF( LEN( $C8 ) = 0, "", IF( $C8 &lt; $AL8, 1, "" ) )</f>
        <v/>
      </c>
      <c r="AJ8" s="169">
        <f t="shared" ca="1" si="5"/>
        <v>8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6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ref="AV8:AV63" si="21">IF( LEN( AS8 ) = 0, 99, RANK( AS8, $AS$7:$AS$63 ) )</f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ref="AY8:AY63" si="23">RANK( AX8, $AX$7:$AX$63, 1 )</f>
        <v>2</v>
      </c>
      <c r="AZ8" s="169"/>
      <c r="BA8" s="169"/>
      <c r="BC8" s="168">
        <f ca="1">OFFSET( BC8, -1, 0 ) + 1</f>
        <v>2</v>
      </c>
      <c r="BD8" s="209">
        <f t="shared" ca="1" si="8"/>
        <v>2</v>
      </c>
      <c r="BF8" s="173" t="str">
        <f t="shared" ca="1" si="9"/>
        <v>Alliant Energy Corporation</v>
      </c>
      <c r="BG8" s="173" t="str">
        <f t="shared" ca="1" si="9"/>
        <v>A-</v>
      </c>
      <c r="BH8" s="173">
        <f t="shared" ca="1" si="9"/>
        <v>20</v>
      </c>
      <c r="BI8" s="173" t="str">
        <f t="shared" ca="1" si="9"/>
        <v>LNT</v>
      </c>
    </row>
    <row r="9" spans="1:61" ht="13.8" x14ac:dyDescent="0.25">
      <c r="A9" s="223" t="s">
        <v>249</v>
      </c>
      <c r="B9" s="224" t="s">
        <v>139</v>
      </c>
      <c r="C9" s="224">
        <v>20</v>
      </c>
      <c r="D9" s="224" t="s">
        <v>250</v>
      </c>
      <c r="E9" s="225" t="str">
        <f t="shared" ca="1" si="1"/>
        <v>MR</v>
      </c>
      <c r="F9" s="348"/>
      <c r="G9" s="349">
        <f t="shared" ca="1" si="2"/>
        <v>13</v>
      </c>
      <c r="H9" s="350"/>
      <c r="I9" s="234"/>
      <c r="J9" s="215" t="s">
        <v>139</v>
      </c>
      <c r="K9" s="234"/>
      <c r="L9" s="215">
        <f t="shared" si="10"/>
        <v>12</v>
      </c>
      <c r="M9" s="216">
        <f t="shared" si="11"/>
        <v>0.22222222222222221</v>
      </c>
      <c r="N9" s="234"/>
      <c r="O9" s="215">
        <f t="shared" ca="1" si="12"/>
        <v>7</v>
      </c>
      <c r="P9" s="216">
        <f t="shared" ca="1" si="13"/>
        <v>0.2</v>
      </c>
      <c r="Q9" s="234"/>
      <c r="R9" s="215">
        <f t="shared" ca="1" si="14"/>
        <v>5</v>
      </c>
      <c r="S9" s="216">
        <f t="shared" ca="1" si="15"/>
        <v>0.29411764705882354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8"/>
        <v>12</v>
      </c>
      <c r="AC9" s="351"/>
      <c r="AE9" s="184"/>
      <c r="AF9" s="169">
        <f t="shared" si="3"/>
        <v>0</v>
      </c>
      <c r="AG9" s="169" t="str">
        <f t="shared" ca="1" si="4"/>
        <v/>
      </c>
      <c r="AH9" s="169" t="str">
        <f t="shared" ca="1" si="19"/>
        <v/>
      </c>
      <c r="AJ9" s="169">
        <f t="shared" ca="1" si="5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6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si="21"/>
        <v>14</v>
      </c>
      <c r="AW9" s="168">
        <f>COUNTIF( AV$7:AV9, AV9 )</f>
        <v>2</v>
      </c>
      <c r="AX9" s="208">
        <f t="shared" si="22"/>
        <v>14.2</v>
      </c>
      <c r="AY9" s="168">
        <f t="shared" si="23"/>
        <v>15</v>
      </c>
      <c r="AZ9" s="169"/>
      <c r="BA9" s="169"/>
      <c r="BC9" s="168">
        <f t="shared" ref="BC9:BC63" ca="1" si="24">OFFSET( BC9, -1, 0 ) + 1</f>
        <v>3</v>
      </c>
      <c r="BD9" s="209">
        <f t="shared" ca="1" si="8"/>
        <v>7</v>
      </c>
      <c r="BF9" s="173" t="str">
        <f t="shared" ca="1" si="9"/>
        <v>CenterPoint Energy, Inc.</v>
      </c>
      <c r="BG9" s="173" t="str">
        <f t="shared" ca="1" si="9"/>
        <v>A-</v>
      </c>
      <c r="BH9" s="173">
        <f t="shared" ca="1" si="9"/>
        <v>20</v>
      </c>
      <c r="BI9" s="173" t="str">
        <f t="shared" ca="1" si="9"/>
        <v>CNP</v>
      </c>
    </row>
    <row r="10" spans="1:61" ht="13.8" x14ac:dyDescent="0.25">
      <c r="A10" s="223" t="s">
        <v>227</v>
      </c>
      <c r="B10" s="224" t="s">
        <v>139</v>
      </c>
      <c r="C10" s="224">
        <v>20</v>
      </c>
      <c r="D10" s="224" t="s">
        <v>228</v>
      </c>
      <c r="E10" s="225" t="str">
        <f t="shared" ca="1" si="1"/>
        <v>R</v>
      </c>
      <c r="F10" s="348"/>
      <c r="G10" s="349">
        <f t="shared" ca="1" si="2"/>
        <v>16</v>
      </c>
      <c r="H10" s="350"/>
      <c r="I10" s="234"/>
      <c r="J10" s="215" t="s">
        <v>140</v>
      </c>
      <c r="K10" s="234"/>
      <c r="L10" s="215">
        <f t="shared" si="10"/>
        <v>12</v>
      </c>
      <c r="M10" s="216">
        <f t="shared" si="11"/>
        <v>0.22222222222222221</v>
      </c>
      <c r="N10" s="234"/>
      <c r="O10" s="215">
        <f t="shared" ca="1" si="12"/>
        <v>6</v>
      </c>
      <c r="P10" s="216">
        <f t="shared" ca="1" si="13"/>
        <v>0.17142857142857143</v>
      </c>
      <c r="Q10" s="234"/>
      <c r="R10" s="215">
        <f t="shared" ca="1" si="14"/>
        <v>5</v>
      </c>
      <c r="S10" s="216">
        <f t="shared" ca="1" si="15"/>
        <v>0.29411764705882354</v>
      </c>
      <c r="T10" s="234"/>
      <c r="U10" s="215">
        <f t="shared" ca="1" si="16"/>
        <v>1</v>
      </c>
      <c r="V10" s="216">
        <f t="shared" ca="1" si="17"/>
        <v>0.5</v>
      </c>
      <c r="W10" s="234"/>
      <c r="X10" s="186" t="s">
        <v>229</v>
      </c>
      <c r="Y10" s="186">
        <v>19</v>
      </c>
      <c r="Z10" s="186">
        <v>1</v>
      </c>
      <c r="AA10" s="185">
        <f t="shared" ca="1" si="18"/>
        <v>12</v>
      </c>
      <c r="AE10" s="184"/>
      <c r="AF10" s="169">
        <f t="shared" si="3"/>
        <v>0</v>
      </c>
      <c r="AG10" s="169" t="str">
        <f t="shared" ca="1" si="4"/>
        <v/>
      </c>
      <c r="AH10" s="169" t="str">
        <f t="shared" ca="1" si="19"/>
        <v/>
      </c>
      <c r="AJ10" s="169">
        <f t="shared" ca="1" si="5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6"/>
        <v/>
      </c>
      <c r="AQ10" s="207" t="s">
        <v>222</v>
      </c>
      <c r="AR10" s="207" t="s">
        <v>141</v>
      </c>
      <c r="AS10" s="207">
        <v>18</v>
      </c>
      <c r="AT10" s="207" t="s">
        <v>223</v>
      </c>
      <c r="AV10" s="168">
        <f t="shared" si="21"/>
        <v>26</v>
      </c>
      <c r="AW10" s="168">
        <f>COUNTIF( AV$7:AV10, AV10 )</f>
        <v>1</v>
      </c>
      <c r="AX10" s="208">
        <f t="shared" si="22"/>
        <v>26.1</v>
      </c>
      <c r="AY10" s="168">
        <f t="shared" si="23"/>
        <v>26</v>
      </c>
      <c r="AZ10" s="169"/>
      <c r="BA10" s="169"/>
      <c r="BC10" s="168">
        <f t="shared" ca="1" si="24"/>
        <v>4</v>
      </c>
      <c r="BD10" s="209">
        <f t="shared" ca="1" si="8"/>
        <v>10</v>
      </c>
      <c r="BF10" s="173" t="str">
        <f t="shared" ca="1" si="9"/>
        <v>Consolidated Edison, Inc.</v>
      </c>
      <c r="BG10" s="173" t="str">
        <f t="shared" ca="1" si="9"/>
        <v>A-</v>
      </c>
      <c r="BH10" s="173">
        <f t="shared" ca="1" si="9"/>
        <v>20</v>
      </c>
      <c r="BI10" s="173" t="str">
        <f t="shared" ca="1" si="9"/>
        <v>ED</v>
      </c>
    </row>
    <row r="11" spans="1:61" ht="13.8" x14ac:dyDescent="0.25">
      <c r="A11" s="223" t="s">
        <v>361</v>
      </c>
      <c r="B11" s="224" t="s">
        <v>139</v>
      </c>
      <c r="C11" s="224">
        <v>20</v>
      </c>
      <c r="D11" s="224" t="s">
        <v>194</v>
      </c>
      <c r="E11" s="225" t="str">
        <f t="shared" ca="1" si="1"/>
        <v>MR</v>
      </c>
      <c r="F11" s="348"/>
      <c r="G11" s="349">
        <f t="shared" ca="1" si="2"/>
        <v>17</v>
      </c>
      <c r="H11" s="350"/>
      <c r="I11" s="234"/>
      <c r="J11" s="215" t="s">
        <v>141</v>
      </c>
      <c r="K11" s="234"/>
      <c r="L11" s="215">
        <f t="shared" si="10"/>
        <v>20</v>
      </c>
      <c r="M11" s="216">
        <f t="shared" si="11"/>
        <v>0.37037037037037035</v>
      </c>
      <c r="N11" s="234"/>
      <c r="O11" s="215">
        <f t="shared" ca="1" si="12"/>
        <v>17</v>
      </c>
      <c r="P11" s="216">
        <f t="shared" ca="1" si="13"/>
        <v>0.48571428571428571</v>
      </c>
      <c r="Q11" s="234"/>
      <c r="R11" s="215">
        <f t="shared" ca="1" si="14"/>
        <v>3</v>
      </c>
      <c r="S11" s="216">
        <f t="shared" ca="1" si="15"/>
        <v>0.17647058823529413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8"/>
        <v>20</v>
      </c>
      <c r="AE11" s="184"/>
      <c r="AF11" s="169">
        <f t="shared" si="3"/>
        <v>0</v>
      </c>
      <c r="AG11" s="169" t="str">
        <f t="shared" ca="1" si="4"/>
        <v/>
      </c>
      <c r="AH11" s="169" t="str">
        <f t="shared" ca="1" si="19"/>
        <v/>
      </c>
      <c r="AJ11" s="169">
        <f t="shared" ca="1" si="5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6"/>
        <v/>
      </c>
      <c r="AQ11" s="207" t="s">
        <v>238</v>
      </c>
      <c r="AR11" s="207" t="s">
        <v>141</v>
      </c>
      <c r="AS11" s="207">
        <v>18</v>
      </c>
      <c r="AT11" s="207" t="s">
        <v>239</v>
      </c>
      <c r="AV11" s="168">
        <f t="shared" si="21"/>
        <v>26</v>
      </c>
      <c r="AW11" s="168">
        <f>COUNTIF( AV$7:AV11, AV11 )</f>
        <v>2</v>
      </c>
      <c r="AX11" s="208">
        <f t="shared" si="22"/>
        <v>26.2</v>
      </c>
      <c r="AY11" s="168">
        <f t="shared" si="23"/>
        <v>27</v>
      </c>
      <c r="AZ11" s="169"/>
      <c r="BA11" s="169"/>
      <c r="BC11" s="168">
        <f t="shared" ca="1" si="24"/>
        <v>5</v>
      </c>
      <c r="BD11" s="209">
        <f t="shared" ca="1" si="8"/>
        <v>11</v>
      </c>
      <c r="BF11" s="173" t="str">
        <f t="shared" ca="1" si="9"/>
        <v>Dominion Resources, Inc.</v>
      </c>
      <c r="BG11" s="173" t="str">
        <f t="shared" ca="1" si="9"/>
        <v>A-</v>
      </c>
      <c r="BH11" s="173">
        <f t="shared" ca="1" si="9"/>
        <v>20</v>
      </c>
      <c r="BI11" s="173" t="str">
        <f t="shared" ca="1" si="9"/>
        <v>D</v>
      </c>
    </row>
    <row r="12" spans="1:61" ht="13.8" x14ac:dyDescent="0.25">
      <c r="A12" s="223" t="s">
        <v>395</v>
      </c>
      <c r="B12" s="224" t="s">
        <v>139</v>
      </c>
      <c r="C12" s="224">
        <v>20</v>
      </c>
      <c r="D12" s="224" t="s">
        <v>396</v>
      </c>
      <c r="E12" s="225" t="str">
        <f t="shared" ca="1" si="1"/>
        <v>R</v>
      </c>
      <c r="F12" s="348"/>
      <c r="G12" s="349">
        <f t="shared" ca="1" si="2"/>
        <v>29</v>
      </c>
      <c r="H12" s="350"/>
      <c r="I12" s="234"/>
      <c r="J12" s="215" t="s">
        <v>142</v>
      </c>
      <c r="K12" s="234"/>
      <c r="L12" s="215">
        <f t="shared" si="10"/>
        <v>5</v>
      </c>
      <c r="M12" s="216">
        <f t="shared" si="11"/>
        <v>9.2592592592592587E-2</v>
      </c>
      <c r="N12" s="234"/>
      <c r="O12" s="215">
        <f t="shared" ca="1" si="12"/>
        <v>2</v>
      </c>
      <c r="P12" s="216">
        <f t="shared" ca="1" si="13"/>
        <v>5.7142857142857141E-2</v>
      </c>
      <c r="Q12" s="234"/>
      <c r="R12" s="215">
        <f t="shared" ca="1" si="14"/>
        <v>3</v>
      </c>
      <c r="S12" s="216">
        <f t="shared" ca="1" si="15"/>
        <v>0.17647058823529413</v>
      </c>
      <c r="T12" s="234"/>
      <c r="U12" s="215">
        <f t="shared" ca="1" si="16"/>
        <v>0</v>
      </c>
      <c r="V12" s="216" t="str">
        <f t="shared" ca="1" si="17"/>
        <v/>
      </c>
      <c r="W12" s="234"/>
      <c r="X12" s="186" t="s">
        <v>237</v>
      </c>
      <c r="Y12" s="186">
        <v>17</v>
      </c>
      <c r="Z12" s="186">
        <v>1</v>
      </c>
      <c r="AA12" s="185">
        <f t="shared" ca="1" si="18"/>
        <v>5</v>
      </c>
      <c r="AE12" s="184"/>
      <c r="AF12" s="169">
        <f t="shared" si="3"/>
        <v>0</v>
      </c>
      <c r="AG12" s="169" t="str">
        <f t="shared" ca="1" si="4"/>
        <v/>
      </c>
      <c r="AH12" s="169" t="str">
        <f t="shared" ca="1" si="19"/>
        <v/>
      </c>
      <c r="AJ12" s="169">
        <f t="shared" ca="1" si="5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6"/>
        <v/>
      </c>
      <c r="AQ12" s="207" t="s">
        <v>245</v>
      </c>
      <c r="AR12" s="207" t="s">
        <v>141</v>
      </c>
      <c r="AS12" s="207">
        <v>18</v>
      </c>
      <c r="AT12" s="207" t="s">
        <v>246</v>
      </c>
      <c r="AV12" s="168">
        <f t="shared" si="21"/>
        <v>26</v>
      </c>
      <c r="AW12" s="168">
        <f>COUNTIF( AV$7:AV12, AV12 )</f>
        <v>3</v>
      </c>
      <c r="AX12" s="208">
        <f t="shared" si="22"/>
        <v>26.3</v>
      </c>
      <c r="AY12" s="168">
        <f t="shared" si="23"/>
        <v>28</v>
      </c>
      <c r="AZ12" s="169"/>
      <c r="BA12" s="169"/>
      <c r="BC12" s="168">
        <f t="shared" ca="1" si="24"/>
        <v>6</v>
      </c>
      <c r="BD12" s="209">
        <f t="shared" ca="1" si="8"/>
        <v>26</v>
      </c>
      <c r="BF12" s="173" t="str">
        <f t="shared" ca="1" si="9"/>
        <v>Integrys Energy Group, Inc.</v>
      </c>
      <c r="BG12" s="173" t="str">
        <f t="shared" ca="1" si="9"/>
        <v>A-</v>
      </c>
      <c r="BH12" s="173">
        <f t="shared" ca="1" si="9"/>
        <v>20</v>
      </c>
      <c r="BI12" s="173" t="str">
        <f t="shared" ca="1" si="9"/>
        <v>TEG</v>
      </c>
    </row>
    <row r="13" spans="1:61" ht="13.8" x14ac:dyDescent="0.25">
      <c r="A13" s="223" t="s">
        <v>240</v>
      </c>
      <c r="B13" s="224" t="s">
        <v>139</v>
      </c>
      <c r="C13" s="224">
        <v>20</v>
      </c>
      <c r="D13" s="224" t="s">
        <v>241</v>
      </c>
      <c r="E13" s="225" t="str">
        <f t="shared" ca="1" si="1"/>
        <v>MR</v>
      </c>
      <c r="F13" s="348"/>
      <c r="G13" s="349">
        <f t="shared" ca="1" si="2"/>
        <v>32</v>
      </c>
      <c r="H13" s="350"/>
      <c r="I13" s="235"/>
      <c r="J13" s="217" t="s">
        <v>143</v>
      </c>
      <c r="K13" s="235"/>
      <c r="L13" s="217">
        <f t="shared" si="10"/>
        <v>3</v>
      </c>
      <c r="M13" s="218">
        <f t="shared" si="11"/>
        <v>5.5555555555555552E-2</v>
      </c>
      <c r="N13" s="235"/>
      <c r="O13" s="217">
        <f t="shared" ca="1" si="12"/>
        <v>2</v>
      </c>
      <c r="P13" s="218">
        <f t="shared" ca="1" si="13"/>
        <v>5.7142857142857141E-2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1</v>
      </c>
      <c r="V13" s="218">
        <f t="shared" ca="1" si="17"/>
        <v>0.5</v>
      </c>
      <c r="W13" s="235"/>
      <c r="X13" s="186" t="s">
        <v>242</v>
      </c>
      <c r="Y13" s="186">
        <v>16</v>
      </c>
      <c r="Z13" s="186">
        <v>1</v>
      </c>
      <c r="AA13" s="188">
        <f t="shared" ca="1" si="18"/>
        <v>3</v>
      </c>
      <c r="AE13" s="184"/>
      <c r="AF13" s="169">
        <f t="shared" si="3"/>
        <v>0</v>
      </c>
      <c r="AG13" s="169" t="str">
        <f t="shared" ca="1" si="4"/>
        <v/>
      </c>
      <c r="AH13" s="169" t="str">
        <f t="shared" ca="1" si="19"/>
        <v/>
      </c>
      <c r="AJ13" s="169">
        <f t="shared" ca="1" si="5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6"/>
        <v/>
      </c>
      <c r="AQ13" s="207" t="s">
        <v>249</v>
      </c>
      <c r="AR13" s="207" t="s">
        <v>139</v>
      </c>
      <c r="AS13" s="207">
        <v>20</v>
      </c>
      <c r="AT13" s="207" t="s">
        <v>250</v>
      </c>
      <c r="AV13" s="168">
        <f t="shared" si="21"/>
        <v>2</v>
      </c>
      <c r="AW13" s="168">
        <f>COUNTIF( AV$7:AV13, AV13 )</f>
        <v>2</v>
      </c>
      <c r="AX13" s="208">
        <f t="shared" si="22"/>
        <v>2.2000000000000002</v>
      </c>
      <c r="AY13" s="168">
        <f t="shared" si="23"/>
        <v>3</v>
      </c>
      <c r="AZ13" s="169"/>
      <c r="BA13" s="169"/>
      <c r="BC13" s="168">
        <f t="shared" ca="1" si="24"/>
        <v>7</v>
      </c>
      <c r="BD13" s="209">
        <f t="shared" ca="1" si="8"/>
        <v>30</v>
      </c>
      <c r="BF13" s="173" t="str">
        <f t="shared" ca="1" si="9"/>
        <v>NextEra Energy, Inc.</v>
      </c>
      <c r="BG13" s="173" t="str">
        <f t="shared" ca="1" si="9"/>
        <v>A-</v>
      </c>
      <c r="BH13" s="173">
        <f t="shared" ca="1" si="9"/>
        <v>20</v>
      </c>
      <c r="BI13" s="173" t="str">
        <f t="shared" ca="1" si="9"/>
        <v>NEE</v>
      </c>
    </row>
    <row r="14" spans="1:61" ht="13.8" x14ac:dyDescent="0.25">
      <c r="A14" s="223" t="s">
        <v>394</v>
      </c>
      <c r="B14" s="224" t="s">
        <v>139</v>
      </c>
      <c r="C14" s="224">
        <v>20</v>
      </c>
      <c r="D14" s="224" t="s">
        <v>236</v>
      </c>
      <c r="E14" s="225" t="str">
        <f t="shared" ca="1" si="1"/>
        <v>R</v>
      </c>
      <c r="F14" s="348"/>
      <c r="G14" s="349">
        <f t="shared" ca="1" si="2"/>
        <v>34</v>
      </c>
      <c r="H14" s="350"/>
      <c r="I14" s="236"/>
      <c r="J14" s="211" t="s">
        <v>144</v>
      </c>
      <c r="K14" s="236"/>
      <c r="L14" s="211">
        <f>SUM(L8:L13)</f>
        <v>54</v>
      </c>
      <c r="M14" s="212">
        <f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17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18.574074074074073</v>
      </c>
      <c r="Z14" s="190"/>
      <c r="AA14" s="189">
        <f ca="1">SUM(AA8:AA13)</f>
        <v>54</v>
      </c>
      <c r="AE14" s="184"/>
      <c r="AF14" s="169">
        <f t="shared" si="3"/>
        <v>0</v>
      </c>
      <c r="AG14" s="169" t="str">
        <f t="shared" ca="1" si="4"/>
        <v/>
      </c>
      <c r="AH14" s="169" t="str">
        <f t="shared" ca="1" si="19"/>
        <v/>
      </c>
      <c r="AJ14" s="169">
        <f t="shared" ca="1" si="5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6"/>
        <v/>
      </c>
      <c r="AQ14" s="207" t="s">
        <v>254</v>
      </c>
      <c r="AR14" s="207" t="s">
        <v>140</v>
      </c>
      <c r="AS14" s="207">
        <v>19</v>
      </c>
      <c r="AT14" s="207" t="s">
        <v>378</v>
      </c>
      <c r="AV14" s="168">
        <f>IF( LEN( AS14 ) = 0, 99, RANK( AS14, $AS$7:$AS$63 ) )</f>
        <v>14</v>
      </c>
      <c r="AW14" s="168">
        <f>COUNTIF( AV$7:AV14, AV14 )</f>
        <v>3</v>
      </c>
      <c r="AX14" s="208">
        <f t="shared" si="22"/>
        <v>14.3</v>
      </c>
      <c r="AY14" s="168">
        <f t="shared" si="23"/>
        <v>16</v>
      </c>
      <c r="AZ14" s="169"/>
      <c r="BA14" s="169"/>
      <c r="BC14" s="168">
        <f t="shared" ca="1" si="24"/>
        <v>8</v>
      </c>
      <c r="BD14" s="209">
        <f t="shared" ca="1" si="8"/>
        <v>32</v>
      </c>
      <c r="BF14" s="173" t="str">
        <f t="shared" ca="1" si="9"/>
        <v>Eversource</v>
      </c>
      <c r="BG14" s="173" t="str">
        <f t="shared" ca="1" si="9"/>
        <v>A-</v>
      </c>
      <c r="BH14" s="173">
        <f t="shared" ca="1" si="9"/>
        <v>20</v>
      </c>
      <c r="BI14" s="173" t="str">
        <f t="shared" ca="1" si="9"/>
        <v>ES</v>
      </c>
    </row>
    <row r="15" spans="1:61" ht="13.8" x14ac:dyDescent="0.25">
      <c r="A15" s="223" t="s">
        <v>277</v>
      </c>
      <c r="B15" s="224" t="s">
        <v>139</v>
      </c>
      <c r="C15" s="224">
        <v>20</v>
      </c>
      <c r="D15" s="224" t="s">
        <v>278</v>
      </c>
      <c r="E15" s="225" t="str">
        <f t="shared" ca="1" si="1"/>
        <v>MR</v>
      </c>
      <c r="F15" s="348"/>
      <c r="G15" s="349">
        <f t="shared" ca="1" si="2"/>
        <v>37</v>
      </c>
      <c r="H15" s="350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3"/>
        <v>0</v>
      </c>
      <c r="AG15" s="169" t="str">
        <f t="shared" ca="1" si="4"/>
        <v/>
      </c>
      <c r="AH15" s="169" t="str">
        <f t="shared" ca="1" si="19"/>
        <v/>
      </c>
      <c r="AJ15" s="169">
        <f t="shared" ca="1" si="5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6"/>
        <v/>
      </c>
      <c r="AQ15" s="207" t="s">
        <v>256</v>
      </c>
      <c r="AR15" s="207" t="s">
        <v>141</v>
      </c>
      <c r="AS15" s="207">
        <v>18</v>
      </c>
      <c r="AT15" s="207" t="s">
        <v>257</v>
      </c>
      <c r="AV15" s="168">
        <f t="shared" si="21"/>
        <v>26</v>
      </c>
      <c r="AW15" s="168">
        <f>COUNTIF( AV$7:AV15, AV15 )</f>
        <v>4</v>
      </c>
      <c r="AX15" s="208">
        <f t="shared" si="22"/>
        <v>26.4</v>
      </c>
      <c r="AY15" s="168">
        <f t="shared" si="23"/>
        <v>29</v>
      </c>
      <c r="AZ15" s="169"/>
      <c r="BA15" s="169"/>
      <c r="BC15" s="168">
        <f t="shared" ca="1" si="24"/>
        <v>9</v>
      </c>
      <c r="BD15" s="209">
        <f t="shared" ca="1" si="8"/>
        <v>34</v>
      </c>
      <c r="BF15" s="173" t="str">
        <f t="shared" ca="1" si="9"/>
        <v>OGE Energy Corp.</v>
      </c>
      <c r="BG15" s="173" t="str">
        <f t="shared" ca="1" si="9"/>
        <v>A-</v>
      </c>
      <c r="BH15" s="173">
        <f t="shared" ca="1" si="9"/>
        <v>20</v>
      </c>
      <c r="BI15" s="173" t="str">
        <f t="shared" ca="1" si="9"/>
        <v>OGE</v>
      </c>
    </row>
    <row r="16" spans="1:61" ht="13.8" x14ac:dyDescent="0.25">
      <c r="A16" s="223" t="s">
        <v>281</v>
      </c>
      <c r="B16" s="224" t="s">
        <v>139</v>
      </c>
      <c r="C16" s="224">
        <v>20</v>
      </c>
      <c r="D16" s="224" t="s">
        <v>282</v>
      </c>
      <c r="E16" s="225" t="str">
        <f t="shared" ca="1" si="1"/>
        <v>R</v>
      </c>
      <c r="F16" s="348"/>
      <c r="G16" s="349">
        <f t="shared" ca="1" si="2"/>
        <v>41</v>
      </c>
      <c r="H16" s="350"/>
      <c r="I16" s="232"/>
      <c r="J16" s="210" t="s">
        <v>253</v>
      </c>
      <c r="K16" s="232"/>
      <c r="L16" s="386">
        <f t="array" ref="L16">SUM( IF( LEN( $C$7:$C$65 ) = 0, 0, $C$7:$C$65 ) ) / SUM( IF( LEN( $C$7:$C$65 ) = 0, 0, 1  ) )</f>
        <v>18.444444444444443</v>
      </c>
      <c r="M16" s="387"/>
      <c r="N16" s="232"/>
      <c r="O16" s="386">
        <f t="array" aca="1" ref="O16" ca="1">SUM( IF( LEN( $C$7:$C$65 ) = 0, 0, IF( $E$7:$E$65 = O3, $C$7:$C$65, 0 ) ) ) / SUM( IF( LEN( $C$7:$C$65 ) = 0, 0, IF( $E$7:$E$65 = O3, 1, 0 ) ) )</f>
        <v>18.457142857142856</v>
      </c>
      <c r="P16" s="387"/>
      <c r="Q16" s="232"/>
      <c r="R16" s="386">
        <f t="array" aca="1" ref="R16" ca="1">SUM( IF( LEN( $C$7:$C$65 ) = 0, 0, IF( $E$7:$E$65 = R3, $C$7:$C$65, 0 ) ) ) / SUM( IF( LEN( $C$7:$C$65 ) = 0, 0, IF( $E$7:$E$65 = R3, 1, 0 ) ) )</f>
        <v>19</v>
      </c>
      <c r="S16" s="387"/>
      <c r="T16" s="232"/>
      <c r="U16" s="386">
        <f t="array" aca="1" ref="U16" ca="1">SUM( IF( LEN( $C$7:$C$65 ) = 0, 0, IF( $E$7:$E$65 = U3, $C$7:$C$65, 0 ) ) ) / SUM( IF( LEN( $C$7:$C$65 ) = 0, 0, IF( $E$7:$E$65 = U3, 1, 0 ) ) )</f>
        <v>13.5</v>
      </c>
      <c r="V16" s="388"/>
      <c r="W16" s="232"/>
      <c r="AE16" s="184"/>
      <c r="AF16" s="169">
        <f t="shared" si="3"/>
        <v>0</v>
      </c>
      <c r="AG16" s="169" t="str">
        <f t="shared" ca="1" si="4"/>
        <v/>
      </c>
      <c r="AH16" s="169" t="str">
        <f t="shared" ca="1" si="19"/>
        <v/>
      </c>
      <c r="AJ16" s="169">
        <f t="shared" ca="1" si="5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6"/>
        <v/>
      </c>
      <c r="AQ16" s="207" t="s">
        <v>227</v>
      </c>
      <c r="AR16" s="207" t="s">
        <v>139</v>
      </c>
      <c r="AS16" s="207">
        <v>20</v>
      </c>
      <c r="AT16" s="207" t="s">
        <v>228</v>
      </c>
      <c r="AV16" s="168">
        <f t="shared" si="21"/>
        <v>2</v>
      </c>
      <c r="AW16" s="168">
        <f>COUNTIF( AV$7:AV16, AV16 )</f>
        <v>3</v>
      </c>
      <c r="AX16" s="208">
        <f t="shared" si="22"/>
        <v>2.2999999999999998</v>
      </c>
      <c r="AY16" s="168">
        <f t="shared" si="23"/>
        <v>4</v>
      </c>
      <c r="AZ16" s="169"/>
      <c r="BA16" s="169"/>
      <c r="BC16" s="168">
        <f t="shared" ca="1" si="24"/>
        <v>10</v>
      </c>
      <c r="BD16" s="209">
        <f t="shared" ca="1" si="8"/>
        <v>38</v>
      </c>
      <c r="BF16" s="173" t="str">
        <f t="shared" ca="1" si="9"/>
        <v>Pinnacle West Capital Corporation</v>
      </c>
      <c r="BG16" s="173" t="str">
        <f t="shared" ca="1" si="9"/>
        <v>A-</v>
      </c>
      <c r="BH16" s="173">
        <f t="shared" ca="1" si="9"/>
        <v>20</v>
      </c>
      <c r="BI16" s="173" t="str">
        <f t="shared" ca="1" si="9"/>
        <v>PNW</v>
      </c>
    </row>
    <row r="17" spans="1:61" ht="13.8" x14ac:dyDescent="0.25">
      <c r="A17" s="223" t="s">
        <v>345</v>
      </c>
      <c r="B17" s="224" t="s">
        <v>139</v>
      </c>
      <c r="C17" s="224">
        <v>20</v>
      </c>
      <c r="D17" s="224" t="s">
        <v>346</v>
      </c>
      <c r="E17" s="225" t="str">
        <f t="shared" ca="1" si="1"/>
        <v>MR</v>
      </c>
      <c r="F17" s="348"/>
      <c r="G17" s="349">
        <f t="shared" ca="1" si="2"/>
        <v>53</v>
      </c>
      <c r="H17" s="350"/>
      <c r="I17" s="237"/>
      <c r="K17" s="237"/>
      <c r="N17" s="237"/>
      <c r="O17" s="173"/>
      <c r="Q17" s="237"/>
      <c r="T17" s="237"/>
      <c r="W17" s="237"/>
      <c r="AE17" s="178"/>
      <c r="AF17" s="169">
        <f t="shared" si="3"/>
        <v>0</v>
      </c>
      <c r="AG17" s="169" t="str">
        <f t="shared" ca="1" si="4"/>
        <v/>
      </c>
      <c r="AH17" s="169" t="str">
        <f t="shared" ca="1" si="19"/>
        <v/>
      </c>
      <c r="AJ17" s="169">
        <f t="shared" ca="1" si="5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6"/>
        <v/>
      </c>
      <c r="AQ17" s="207" t="s">
        <v>361</v>
      </c>
      <c r="AR17" s="207" t="s">
        <v>139</v>
      </c>
      <c r="AS17" s="207">
        <v>20</v>
      </c>
      <c r="AT17" s="207" t="s">
        <v>194</v>
      </c>
      <c r="AV17" s="168">
        <f t="shared" si="21"/>
        <v>2</v>
      </c>
      <c r="AW17" s="168">
        <f>COUNTIF( AV$7:AV17, AV17 )</f>
        <v>4</v>
      </c>
      <c r="AX17" s="208">
        <f t="shared" si="22"/>
        <v>2.4</v>
      </c>
      <c r="AY17" s="168">
        <f t="shared" si="23"/>
        <v>5</v>
      </c>
      <c r="AZ17" s="169"/>
      <c r="BA17" s="169"/>
      <c r="BC17" s="168">
        <f t="shared" ca="1" si="24"/>
        <v>11</v>
      </c>
      <c r="BD17" s="209">
        <f t="shared" ca="1" si="8"/>
        <v>49</v>
      </c>
      <c r="BF17" s="173" t="str">
        <f t="shared" ca="1" si="9"/>
        <v>Vectren Corporation</v>
      </c>
      <c r="BG17" s="173" t="str">
        <f t="shared" ca="1" si="9"/>
        <v>A-</v>
      </c>
      <c r="BH17" s="173">
        <f t="shared" ca="1" si="9"/>
        <v>20</v>
      </c>
      <c r="BI17" s="173" t="str">
        <f t="shared" ca="1" si="9"/>
        <v>VVC</v>
      </c>
    </row>
    <row r="18" spans="1:61" ht="13.8" x14ac:dyDescent="0.25">
      <c r="A18" s="223" t="s">
        <v>247</v>
      </c>
      <c r="B18" s="224" t="s">
        <v>139</v>
      </c>
      <c r="C18" s="224">
        <v>20</v>
      </c>
      <c r="D18" s="224" t="s">
        <v>248</v>
      </c>
      <c r="E18" s="225" t="str">
        <f t="shared" ca="1" si="1"/>
        <v>R</v>
      </c>
      <c r="F18" s="348"/>
      <c r="G18" s="349">
        <f t="shared" ca="1" si="2"/>
        <v>55</v>
      </c>
      <c r="H18" s="350"/>
      <c r="I18" s="237"/>
      <c r="K18" s="237"/>
      <c r="N18" s="237"/>
      <c r="O18" s="173"/>
      <c r="Q18" s="237"/>
      <c r="T18" s="237"/>
      <c r="W18" s="237"/>
      <c r="AE18" s="184"/>
      <c r="AF18" s="169">
        <f t="shared" si="3"/>
        <v>0</v>
      </c>
      <c r="AG18" s="169" t="str">
        <f t="shared" ca="1" si="4"/>
        <v/>
      </c>
      <c r="AH18" s="169" t="str">
        <f t="shared" ca="1" si="19"/>
        <v/>
      </c>
      <c r="AJ18" s="169">
        <f t="shared" ca="1" si="5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6"/>
        <v/>
      </c>
      <c r="AQ18" s="207" t="s">
        <v>259</v>
      </c>
      <c r="AR18" s="207" t="s">
        <v>175</v>
      </c>
      <c r="AS18" s="207">
        <v>15</v>
      </c>
      <c r="AT18" s="207" t="s">
        <v>260</v>
      </c>
      <c r="AV18" s="168">
        <f t="shared" si="21"/>
        <v>51</v>
      </c>
      <c r="AW18" s="168">
        <f>COUNTIF( AV$7:AV18, AV18 )</f>
        <v>1</v>
      </c>
      <c r="AX18" s="208">
        <f t="shared" si="22"/>
        <v>51.1</v>
      </c>
      <c r="AY18" s="168">
        <f t="shared" si="23"/>
        <v>51</v>
      </c>
      <c r="AZ18" s="169"/>
      <c r="BA18" s="169"/>
      <c r="BC18" s="168">
        <f t="shared" ca="1" si="24"/>
        <v>12</v>
      </c>
      <c r="BD18" s="209">
        <f t="shared" ca="1" si="8"/>
        <v>51</v>
      </c>
      <c r="BF18" s="173" t="str">
        <f t="shared" ca="1" si="9"/>
        <v>Wisconsin Energy Corporation</v>
      </c>
      <c r="BG18" s="173" t="str">
        <f t="shared" ca="1" si="9"/>
        <v>A-</v>
      </c>
      <c r="BH18" s="173">
        <f t="shared" ca="1" si="9"/>
        <v>20</v>
      </c>
      <c r="BI18" s="173" t="str">
        <f t="shared" ca="1" si="9"/>
        <v>WEC</v>
      </c>
    </row>
    <row r="19" spans="1:61" ht="13.8" x14ac:dyDescent="0.25">
      <c r="A19" s="223" t="s">
        <v>251</v>
      </c>
      <c r="B19" s="224" t="s">
        <v>139</v>
      </c>
      <c r="C19" s="224">
        <v>20</v>
      </c>
      <c r="D19" s="224" t="s">
        <v>252</v>
      </c>
      <c r="E19" s="225" t="str">
        <f t="shared" ca="1" si="1"/>
        <v>R</v>
      </c>
      <c r="F19" s="348"/>
      <c r="G19" s="349">
        <f t="shared" ca="1" si="2"/>
        <v>56</v>
      </c>
      <c r="H19" s="350"/>
      <c r="I19" s="237"/>
      <c r="K19" s="237"/>
      <c r="N19" s="237"/>
      <c r="O19" s="173"/>
      <c r="Q19" s="237"/>
      <c r="T19" s="237"/>
      <c r="W19" s="237"/>
      <c r="AE19" s="184"/>
      <c r="AF19" s="169">
        <f t="shared" si="3"/>
        <v>0</v>
      </c>
      <c r="AG19" s="169" t="str">
        <f t="shared" ca="1" si="4"/>
        <v/>
      </c>
      <c r="AH19" s="169" t="str">
        <f t="shared" ca="1" si="19"/>
        <v/>
      </c>
      <c r="AJ19" s="169">
        <f t="shared" ca="1" si="5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6"/>
        <v/>
      </c>
      <c r="AQ19" s="207" t="s">
        <v>261</v>
      </c>
      <c r="AR19" s="207" t="s">
        <v>140</v>
      </c>
      <c r="AS19" s="207">
        <v>19</v>
      </c>
      <c r="AT19" s="207" t="s">
        <v>262</v>
      </c>
      <c r="AV19" s="168">
        <f t="shared" si="21"/>
        <v>14</v>
      </c>
      <c r="AW19" s="168">
        <f>COUNTIF( AV$7:AV19, AV19 )</f>
        <v>4</v>
      </c>
      <c r="AX19" s="208">
        <f t="shared" si="22"/>
        <v>14.4</v>
      </c>
      <c r="AY19" s="168">
        <f t="shared" si="23"/>
        <v>17</v>
      </c>
      <c r="AZ19" s="169"/>
      <c r="BA19" s="169"/>
      <c r="BC19" s="168">
        <f t="shared" ca="1" si="24"/>
        <v>13</v>
      </c>
      <c r="BD19" s="209">
        <f t="shared" ca="1" si="8"/>
        <v>52</v>
      </c>
      <c r="BF19" s="173" t="str">
        <f t="shared" ca="1" si="9"/>
        <v>Xcel Energy Inc.</v>
      </c>
      <c r="BG19" s="173" t="str">
        <f t="shared" ca="1" si="9"/>
        <v>A-</v>
      </c>
      <c r="BH19" s="173">
        <f t="shared" ca="1" si="9"/>
        <v>20</v>
      </c>
      <c r="BI19" s="173" t="str">
        <f t="shared" ca="1" si="9"/>
        <v>XEL</v>
      </c>
    </row>
    <row r="20" spans="1:61" ht="13.8" x14ac:dyDescent="0.25">
      <c r="A20" s="223" t="s">
        <v>217</v>
      </c>
      <c r="B20" s="224" t="s">
        <v>140</v>
      </c>
      <c r="C20" s="224">
        <v>19</v>
      </c>
      <c r="D20" s="224" t="s">
        <v>218</v>
      </c>
      <c r="E20" s="225" t="str">
        <f t="shared" ca="1" si="1"/>
        <v>R</v>
      </c>
      <c r="F20" s="348"/>
      <c r="G20" s="349">
        <f t="shared" ca="1" si="2"/>
        <v>7</v>
      </c>
      <c r="H20" s="350"/>
      <c r="I20" s="352"/>
      <c r="K20" s="352"/>
      <c r="N20" s="352"/>
      <c r="O20" s="173"/>
      <c r="Q20" s="352"/>
      <c r="T20" s="352"/>
      <c r="W20" s="352"/>
      <c r="AE20" s="184"/>
      <c r="AF20" s="169">
        <f t="shared" si="3"/>
        <v>1</v>
      </c>
      <c r="AG20" s="169" t="str">
        <f t="shared" ca="1" si="4"/>
        <v/>
      </c>
      <c r="AH20" s="169" t="str">
        <f t="shared" ca="1" si="19"/>
        <v/>
      </c>
      <c r="AJ20" s="169">
        <f t="shared" ca="1" si="5"/>
        <v>20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6"/>
        <v/>
      </c>
      <c r="AQ20" s="207" t="s">
        <v>263</v>
      </c>
      <c r="AR20" s="207" t="s">
        <v>140</v>
      </c>
      <c r="AS20" s="207">
        <v>19</v>
      </c>
      <c r="AT20" s="207" t="s">
        <v>264</v>
      </c>
      <c r="AV20" s="168">
        <f t="shared" si="21"/>
        <v>14</v>
      </c>
      <c r="AW20" s="168">
        <f>COUNTIF( AV$7:AV20, AV20 )</f>
        <v>5</v>
      </c>
      <c r="AX20" s="208">
        <f t="shared" si="22"/>
        <v>14.5</v>
      </c>
      <c r="AY20" s="168">
        <f t="shared" si="23"/>
        <v>18</v>
      </c>
      <c r="AZ20" s="169"/>
      <c r="BA20" s="169"/>
      <c r="BC20" s="168">
        <f t="shared" ca="1" si="24"/>
        <v>14</v>
      </c>
      <c r="BD20" s="209">
        <f t="shared" ca="1" si="8"/>
        <v>1</v>
      </c>
      <c r="BF20" s="173" t="str">
        <f t="shared" ca="1" si="9"/>
        <v>ALLETE, Inc.</v>
      </c>
      <c r="BG20" s="173" t="str">
        <f t="shared" ca="1" si="9"/>
        <v>BBB+</v>
      </c>
      <c r="BH20" s="173">
        <f t="shared" ca="1" si="9"/>
        <v>19</v>
      </c>
      <c r="BI20" s="173" t="str">
        <f t="shared" ca="1" si="9"/>
        <v>ALE</v>
      </c>
    </row>
    <row r="21" spans="1:61" ht="13.8" x14ac:dyDescent="0.25">
      <c r="A21" s="223" t="s">
        <v>225</v>
      </c>
      <c r="B21" s="224" t="s">
        <v>140</v>
      </c>
      <c r="C21" s="224">
        <v>19</v>
      </c>
      <c r="D21" s="224" t="s">
        <v>226</v>
      </c>
      <c r="E21" s="225" t="str">
        <f t="shared" ca="1" si="1"/>
        <v>R</v>
      </c>
      <c r="F21" s="348"/>
      <c r="G21" s="349">
        <f t="shared" ca="1" si="2"/>
        <v>9</v>
      </c>
      <c r="H21" s="350"/>
      <c r="I21" s="237"/>
      <c r="K21" s="237"/>
      <c r="N21" s="237"/>
      <c r="Q21" s="237"/>
      <c r="T21" s="237"/>
      <c r="W21" s="237"/>
      <c r="AE21" s="184"/>
      <c r="AF21" s="169">
        <f t="shared" si="3"/>
        <v>1</v>
      </c>
      <c r="AG21" s="169" t="str">
        <f t="shared" ca="1" si="4"/>
        <v/>
      </c>
      <c r="AH21" s="169" t="str">
        <f t="shared" ca="1" si="19"/>
        <v/>
      </c>
      <c r="AJ21" s="169">
        <f t="shared" ca="1" si="5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6"/>
        <v/>
      </c>
      <c r="AQ21" s="207" t="s">
        <v>265</v>
      </c>
      <c r="AR21" s="207" t="s">
        <v>142</v>
      </c>
      <c r="AS21" s="207">
        <v>17</v>
      </c>
      <c r="AT21" s="207" t="s">
        <v>266</v>
      </c>
      <c r="AV21" s="168">
        <f t="shared" si="21"/>
        <v>45</v>
      </c>
      <c r="AW21" s="168">
        <f>COUNTIF( AV$7:AV21, AV21 )</f>
        <v>1</v>
      </c>
      <c r="AX21" s="208">
        <f t="shared" si="22"/>
        <v>45.1</v>
      </c>
      <c r="AY21" s="168">
        <f t="shared" si="23"/>
        <v>45</v>
      </c>
      <c r="AZ21" s="169"/>
      <c r="BA21" s="169"/>
      <c r="BC21" s="168">
        <f t="shared" ca="1" si="24"/>
        <v>15</v>
      </c>
      <c r="BD21" s="209">
        <f t="shared" ca="1" si="8"/>
        <v>3</v>
      </c>
      <c r="BF21" s="173" t="str">
        <f t="shared" ca="1" si="9"/>
        <v>Ameren Corporation</v>
      </c>
      <c r="BG21" s="173" t="str">
        <f t="shared" ca="1" si="9"/>
        <v>BBB+</v>
      </c>
      <c r="BH21" s="173">
        <f t="shared" ca="1" si="9"/>
        <v>19</v>
      </c>
      <c r="BI21" s="173" t="str">
        <f t="shared" ca="1" si="9"/>
        <v>AEE</v>
      </c>
    </row>
    <row r="22" spans="1:61" ht="13.8" x14ac:dyDescent="0.25">
      <c r="A22" s="223" t="s">
        <v>254</v>
      </c>
      <c r="B22" s="224" t="s">
        <v>140</v>
      </c>
      <c r="C22" s="224">
        <v>19</v>
      </c>
      <c r="D22" s="224" t="s">
        <v>378</v>
      </c>
      <c r="E22" s="225" t="str">
        <f t="shared" ca="1" si="1"/>
        <v>R</v>
      </c>
      <c r="F22" s="348"/>
      <c r="G22" s="349">
        <f t="shared" ca="1" si="2"/>
        <v>14</v>
      </c>
      <c r="H22" s="350"/>
      <c r="I22" s="237"/>
      <c r="K22" s="237"/>
      <c r="N22" s="237"/>
      <c r="Q22" s="237"/>
      <c r="T22" s="237"/>
      <c r="W22" s="237"/>
      <c r="AE22" s="184"/>
      <c r="AF22" s="169">
        <f t="shared" si="3"/>
        <v>1</v>
      </c>
      <c r="AG22" s="169" t="str">
        <f t="shared" ca="1" si="4"/>
        <v/>
      </c>
      <c r="AH22" s="169" t="str">
        <f t="shared" ca="1" si="19"/>
        <v/>
      </c>
      <c r="AJ22" s="169">
        <f t="shared" ca="1" si="5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6"/>
        <v/>
      </c>
      <c r="AQ22" s="207" t="s">
        <v>328</v>
      </c>
      <c r="AR22" s="207" t="s">
        <v>141</v>
      </c>
      <c r="AS22" s="207">
        <v>18</v>
      </c>
      <c r="AT22" s="207" t="s">
        <v>331</v>
      </c>
      <c r="AV22" s="168">
        <f t="shared" si="21"/>
        <v>26</v>
      </c>
      <c r="AW22" s="168">
        <f>COUNTIF( AV$7:AV22, AV22 )</f>
        <v>5</v>
      </c>
      <c r="AX22" s="208">
        <f t="shared" si="22"/>
        <v>26.5</v>
      </c>
      <c r="AY22" s="168">
        <f t="shared" si="23"/>
        <v>30</v>
      </c>
      <c r="AZ22" s="169"/>
      <c r="BA22" s="169"/>
      <c r="BC22" s="168">
        <f t="shared" ca="1" si="24"/>
        <v>16</v>
      </c>
      <c r="BD22" s="209">
        <f t="shared" ca="1" si="8"/>
        <v>8</v>
      </c>
      <c r="BF22" s="173" t="str">
        <f t="shared" ca="1" si="9"/>
        <v>Cleco Corporation</v>
      </c>
      <c r="BG22" s="173" t="str">
        <f t="shared" ca="1" si="9"/>
        <v>BBB+</v>
      </c>
      <c r="BH22" s="173">
        <f t="shared" ca="1" si="9"/>
        <v>19</v>
      </c>
      <c r="BI22" s="173" t="str">
        <f t="shared" ca="1" si="9"/>
        <v>CNL</v>
      </c>
    </row>
    <row r="23" spans="1:61" ht="13.8" x14ac:dyDescent="0.25">
      <c r="A23" s="223" t="s">
        <v>261</v>
      </c>
      <c r="B23" s="224" t="s">
        <v>140</v>
      </c>
      <c r="C23" s="224">
        <v>19</v>
      </c>
      <c r="D23" s="224" t="s">
        <v>262</v>
      </c>
      <c r="E23" s="225" t="str">
        <f t="shared" ca="1" si="1"/>
        <v>R</v>
      </c>
      <c r="F23" s="348"/>
      <c r="G23" s="349">
        <f t="shared" ca="1" si="2"/>
        <v>18</v>
      </c>
      <c r="H23" s="350"/>
      <c r="I23" s="237"/>
      <c r="K23" s="237"/>
      <c r="N23" s="237"/>
      <c r="Q23" s="237"/>
      <c r="T23" s="237"/>
      <c r="W23" s="237"/>
      <c r="AE23" s="184"/>
      <c r="AF23" s="169">
        <f t="shared" si="3"/>
        <v>1</v>
      </c>
      <c r="AG23" s="169" t="str">
        <f t="shared" ca="1" si="4"/>
        <v/>
      </c>
      <c r="AH23" s="169" t="str">
        <f t="shared" ca="1" si="19"/>
        <v/>
      </c>
      <c r="AJ23" s="169">
        <f t="shared" ca="1" si="5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6"/>
        <v/>
      </c>
      <c r="AQ23" s="207" t="s">
        <v>367</v>
      </c>
      <c r="AR23" s="207" t="s">
        <v>141</v>
      </c>
      <c r="AS23" s="207">
        <v>18</v>
      </c>
      <c r="AT23" s="207" t="s">
        <v>368</v>
      </c>
      <c r="AV23" s="168">
        <f t="shared" si="21"/>
        <v>26</v>
      </c>
      <c r="AW23" s="168">
        <f>COUNTIF( AV$7:AV23, AV23 )</f>
        <v>6</v>
      </c>
      <c r="AX23" s="208">
        <f t="shared" si="22"/>
        <v>26.6</v>
      </c>
      <c r="AY23" s="168">
        <f t="shared" si="23"/>
        <v>31</v>
      </c>
      <c r="AZ23" s="169"/>
      <c r="BA23" s="169"/>
      <c r="BC23" s="168">
        <f t="shared" ca="1" si="24"/>
        <v>17</v>
      </c>
      <c r="BD23" s="209">
        <f t="shared" ca="1" si="8"/>
        <v>13</v>
      </c>
      <c r="BF23" s="173" t="str">
        <f t="shared" ca="1" si="9"/>
        <v>DTE Energy Company</v>
      </c>
      <c r="BG23" s="173" t="str">
        <f t="shared" ca="1" si="9"/>
        <v>BBB+</v>
      </c>
      <c r="BH23" s="173">
        <f t="shared" ca="1" si="9"/>
        <v>19</v>
      </c>
      <c r="BI23" s="173" t="str">
        <f t="shared" ca="1" si="9"/>
        <v>DTE</v>
      </c>
    </row>
    <row r="24" spans="1:61" ht="13.8" x14ac:dyDescent="0.25">
      <c r="A24" s="223" t="s">
        <v>263</v>
      </c>
      <c r="B24" s="224" t="s">
        <v>140</v>
      </c>
      <c r="C24" s="224">
        <v>19</v>
      </c>
      <c r="D24" s="224" t="s">
        <v>264</v>
      </c>
      <c r="E24" s="225" t="str">
        <f t="shared" ca="1" si="1"/>
        <v>R</v>
      </c>
      <c r="F24" s="348"/>
      <c r="G24" s="349">
        <f t="shared" ca="1" si="2"/>
        <v>19</v>
      </c>
      <c r="H24" s="350"/>
      <c r="I24" s="237"/>
      <c r="J24" s="191"/>
      <c r="K24" s="237"/>
      <c r="N24" s="237"/>
      <c r="Q24" s="237"/>
      <c r="T24" s="237"/>
      <c r="W24" s="237"/>
      <c r="AE24" s="184"/>
      <c r="AF24" s="169">
        <f t="shared" si="3"/>
        <v>1</v>
      </c>
      <c r="AG24" s="169" t="str">
        <f t="shared" ca="1" si="4"/>
        <v/>
      </c>
      <c r="AH24" s="169" t="str">
        <f t="shared" ca="1" si="19"/>
        <v/>
      </c>
      <c r="AJ24" s="169">
        <f t="shared" ca="1" si="5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6"/>
        <v/>
      </c>
      <c r="AQ24" s="207" t="s">
        <v>371</v>
      </c>
      <c r="AR24" s="207" t="s">
        <v>189</v>
      </c>
      <c r="AS24" s="207">
        <v>8</v>
      </c>
      <c r="AT24" s="207" t="s">
        <v>359</v>
      </c>
      <c r="AV24" s="168">
        <f t="shared" si="21"/>
        <v>52</v>
      </c>
      <c r="AW24" s="168">
        <f>COUNTIF( AV$7:AV24, AV24 )</f>
        <v>1</v>
      </c>
      <c r="AX24" s="208">
        <f t="shared" si="22"/>
        <v>52.1</v>
      </c>
      <c r="AY24" s="168">
        <f t="shared" si="23"/>
        <v>52</v>
      </c>
      <c r="AZ24" s="169"/>
      <c r="BA24" s="169"/>
      <c r="BC24" s="168">
        <f t="shared" ca="1" si="24"/>
        <v>18</v>
      </c>
      <c r="BD24" s="209">
        <f t="shared" ca="1" si="8"/>
        <v>14</v>
      </c>
      <c r="BF24" s="173" t="str">
        <f t="shared" ca="1" si="9"/>
        <v>Duke Energy Corporation</v>
      </c>
      <c r="BG24" s="173" t="str">
        <f t="shared" ca="1" si="9"/>
        <v>BBB+</v>
      </c>
      <c r="BH24" s="173">
        <f t="shared" ca="1" si="9"/>
        <v>19</v>
      </c>
      <c r="BI24" s="173" t="str">
        <f t="shared" ca="1" si="9"/>
        <v>DUK</v>
      </c>
    </row>
    <row r="25" spans="1:61" ht="13.8" x14ac:dyDescent="0.25">
      <c r="A25" s="223" t="s">
        <v>271</v>
      </c>
      <c r="B25" s="224" t="s">
        <v>140</v>
      </c>
      <c r="C25" s="224">
        <v>19</v>
      </c>
      <c r="D25" s="224" t="s">
        <v>272</v>
      </c>
      <c r="E25" s="225" t="str">
        <f t="shared" ca="1" si="1"/>
        <v>D</v>
      </c>
      <c r="F25" s="348"/>
      <c r="G25" s="349">
        <f t="shared" ca="1" si="2"/>
        <v>30</v>
      </c>
      <c r="H25" s="350"/>
      <c r="I25" s="237"/>
      <c r="J25" s="191"/>
      <c r="K25" s="237"/>
      <c r="N25" s="237"/>
      <c r="Q25" s="237"/>
      <c r="T25" s="237"/>
      <c r="W25" s="237"/>
      <c r="AE25" s="184"/>
      <c r="AF25" s="169">
        <f t="shared" si="3"/>
        <v>1</v>
      </c>
      <c r="AG25" s="169" t="str">
        <f t="shared" ca="1" si="4"/>
        <v/>
      </c>
      <c r="AH25" s="169" t="str">
        <f t="shared" ca="1" si="19"/>
        <v/>
      </c>
      <c r="AJ25" s="169">
        <f t="shared" ca="1" si="5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6"/>
        <v/>
      </c>
      <c r="AQ25" s="207" t="s">
        <v>267</v>
      </c>
      <c r="AR25" s="207" t="s">
        <v>141</v>
      </c>
      <c r="AS25" s="207">
        <v>18</v>
      </c>
      <c r="AT25" s="207" t="s">
        <v>268</v>
      </c>
      <c r="AV25" s="168">
        <f t="shared" si="21"/>
        <v>26</v>
      </c>
      <c r="AW25" s="168">
        <f>COUNTIF( AV$7:AV25, AV25 )</f>
        <v>7</v>
      </c>
      <c r="AX25" s="208">
        <f t="shared" si="22"/>
        <v>26.7</v>
      </c>
      <c r="AY25" s="168">
        <f t="shared" si="23"/>
        <v>32</v>
      </c>
      <c r="AZ25" s="169"/>
      <c r="BA25" s="169"/>
      <c r="BC25" s="168">
        <f t="shared" ca="1" si="24"/>
        <v>19</v>
      </c>
      <c r="BD25" s="209">
        <f t="shared" ca="1" si="8"/>
        <v>28</v>
      </c>
      <c r="BF25" s="173" t="str">
        <f t="shared" ca="1" si="9"/>
        <v>MDU Resources Group, Inc.</v>
      </c>
      <c r="BG25" s="173" t="str">
        <f t="shared" ca="1" si="9"/>
        <v>BBB+</v>
      </c>
      <c r="BH25" s="173">
        <f t="shared" ca="1" si="9"/>
        <v>19</v>
      </c>
      <c r="BI25" s="173" t="str">
        <f t="shared" ca="1" si="9"/>
        <v>MDU</v>
      </c>
    </row>
    <row r="26" spans="1:61" ht="13.8" x14ac:dyDescent="0.25">
      <c r="A26" s="223" t="s">
        <v>408</v>
      </c>
      <c r="B26" s="224" t="s">
        <v>140</v>
      </c>
      <c r="C26" s="224">
        <v>19</v>
      </c>
      <c r="D26" s="224" t="s">
        <v>216</v>
      </c>
      <c r="E26" s="225" t="str">
        <f t="shared" ca="1" si="1"/>
        <v>MR</v>
      </c>
      <c r="F26" s="348"/>
      <c r="G26" s="349">
        <f t="shared" ca="1" si="2"/>
        <v>62</v>
      </c>
      <c r="H26" s="350"/>
      <c r="I26" s="237"/>
      <c r="J26" s="191"/>
      <c r="K26" s="237"/>
      <c r="N26" s="237"/>
      <c r="Q26" s="237"/>
      <c r="T26" s="237"/>
      <c r="W26" s="237"/>
      <c r="AE26" s="184"/>
      <c r="AF26" s="169">
        <f t="shared" si="3"/>
        <v>1</v>
      </c>
      <c r="AG26" s="169" t="str">
        <f t="shared" ca="1" si="4"/>
        <v/>
      </c>
      <c r="AH26" s="169" t="str">
        <f t="shared" ca="1" si="19"/>
        <v/>
      </c>
      <c r="AJ26" s="169">
        <f t="shared" ca="1" si="5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6"/>
        <v/>
      </c>
      <c r="AQ26" s="207" t="s">
        <v>269</v>
      </c>
      <c r="AR26" s="207" t="s">
        <v>141</v>
      </c>
      <c r="AS26" s="207">
        <v>18</v>
      </c>
      <c r="AT26" s="207" t="s">
        <v>270</v>
      </c>
      <c r="AV26" s="168">
        <f t="shared" si="21"/>
        <v>26</v>
      </c>
      <c r="AW26" s="168">
        <f>COUNTIF( AV$7:AV26, AV26 )</f>
        <v>8</v>
      </c>
      <c r="AX26" s="208">
        <f t="shared" si="22"/>
        <v>26.8</v>
      </c>
      <c r="AY26" s="168">
        <f t="shared" si="23"/>
        <v>33</v>
      </c>
      <c r="AZ26" s="169"/>
      <c r="BA26" s="169"/>
      <c r="BC26" s="168">
        <f t="shared" ca="1" si="24"/>
        <v>20</v>
      </c>
      <c r="BD26" s="209">
        <f t="shared" ca="1" si="8"/>
        <v>29</v>
      </c>
      <c r="BF26" s="173" t="str">
        <f t="shared" ca="1" si="9"/>
        <v>MidAmerican Energy Holdings Company</v>
      </c>
      <c r="BG26" s="173" t="str">
        <f t="shared" ca="1" si="9"/>
        <v>BBB+</v>
      </c>
      <c r="BH26" s="173">
        <f t="shared" ca="1" si="9"/>
        <v>19</v>
      </c>
      <c r="BI26" s="173" t="str">
        <f t="shared" ca="1" si="9"/>
        <v>**BRK</v>
      </c>
    </row>
    <row r="27" spans="1:61" ht="13.8" x14ac:dyDescent="0.25">
      <c r="A27" s="223" t="s">
        <v>382</v>
      </c>
      <c r="B27" s="224" t="s">
        <v>140</v>
      </c>
      <c r="C27" s="224">
        <v>19</v>
      </c>
      <c r="D27" s="224" t="s">
        <v>383</v>
      </c>
      <c r="E27" s="225" t="str">
        <f t="shared" ca="1" si="1"/>
        <v>MR</v>
      </c>
      <c r="F27" s="348"/>
      <c r="G27" s="349">
        <f t="shared" ca="1" si="2"/>
        <v>39</v>
      </c>
      <c r="H27" s="350"/>
      <c r="I27" s="237"/>
      <c r="J27" s="191"/>
      <c r="K27" s="237"/>
      <c r="N27" s="237"/>
      <c r="Q27" s="237"/>
      <c r="T27" s="237"/>
      <c r="W27" s="237"/>
      <c r="AE27" s="184"/>
      <c r="AF27" s="169">
        <f t="shared" si="3"/>
        <v>1</v>
      </c>
      <c r="AG27" s="169" t="str">
        <f t="shared" ca="1" si="4"/>
        <v/>
      </c>
      <c r="AH27" s="169" t="str">
        <f t="shared" ca="1" si="19"/>
        <v/>
      </c>
      <c r="AJ27" s="169">
        <f t="shared" ca="1" si="5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6"/>
        <v/>
      </c>
      <c r="AQ27" s="207" t="s">
        <v>275</v>
      </c>
      <c r="AR27" s="207" t="s">
        <v>142</v>
      </c>
      <c r="AS27" s="207">
        <v>17</v>
      </c>
      <c r="AT27" s="207" t="s">
        <v>276</v>
      </c>
      <c r="AV27" s="168">
        <f t="shared" si="21"/>
        <v>45</v>
      </c>
      <c r="AW27" s="168">
        <f>COUNTIF( AV$7:AV27, AV27 )</f>
        <v>2</v>
      </c>
      <c r="AX27" s="208">
        <f t="shared" si="22"/>
        <v>45.2</v>
      </c>
      <c r="AY27" s="168">
        <f t="shared" si="23"/>
        <v>46</v>
      </c>
      <c r="AZ27" s="169"/>
      <c r="BA27" s="169"/>
      <c r="BC27" s="168">
        <f t="shared" ca="1" si="24"/>
        <v>21</v>
      </c>
      <c r="BD27" s="209">
        <f t="shared" ca="1" si="8"/>
        <v>36</v>
      </c>
      <c r="BF27" s="173" t="str">
        <f t="shared" ca="1" si="9"/>
        <v>Pepco Holdings, Inc.</v>
      </c>
      <c r="BG27" s="173" t="str">
        <f t="shared" ca="1" si="9"/>
        <v>BBB+</v>
      </c>
      <c r="BH27" s="173">
        <f t="shared" ca="1" si="9"/>
        <v>19</v>
      </c>
      <c r="BI27" s="173" t="str">
        <f t="shared" ca="1" si="9"/>
        <v>POM</v>
      </c>
    </row>
    <row r="28" spans="1:61" ht="13.8" x14ac:dyDescent="0.25">
      <c r="A28" s="223" t="s">
        <v>289</v>
      </c>
      <c r="B28" s="224" t="s">
        <v>140</v>
      </c>
      <c r="C28" s="224">
        <v>19</v>
      </c>
      <c r="D28" s="224" t="s">
        <v>290</v>
      </c>
      <c r="E28" s="225" t="str">
        <f t="shared" ca="1" si="1"/>
        <v>MR</v>
      </c>
      <c r="F28" s="348"/>
      <c r="G28" s="349">
        <f t="shared" ca="1" si="2"/>
        <v>45</v>
      </c>
      <c r="H28" s="350"/>
      <c r="I28" s="237"/>
      <c r="J28" s="191"/>
      <c r="K28" s="237"/>
      <c r="N28" s="237"/>
      <c r="Q28" s="237"/>
      <c r="T28" s="237"/>
      <c r="W28" s="237"/>
      <c r="AE28" s="178"/>
      <c r="AF28" s="169">
        <f t="shared" si="3"/>
        <v>1</v>
      </c>
      <c r="AG28" s="169" t="str">
        <f t="shared" ca="1" si="4"/>
        <v/>
      </c>
      <c r="AH28" s="169" t="str">
        <f t="shared" ca="1" si="19"/>
        <v/>
      </c>
      <c r="AJ28" s="169">
        <f t="shared" ca="1" si="5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6"/>
        <v/>
      </c>
      <c r="AQ28" s="207" t="s">
        <v>352</v>
      </c>
      <c r="AR28" s="207" t="s">
        <v>141</v>
      </c>
      <c r="AS28" s="207">
        <v>18</v>
      </c>
      <c r="AT28" s="207" t="s">
        <v>353</v>
      </c>
      <c r="AV28" s="168">
        <f t="shared" si="21"/>
        <v>26</v>
      </c>
      <c r="AW28" s="168">
        <f>COUNTIF( AV$7:AV28, AV28 )</f>
        <v>9</v>
      </c>
      <c r="AX28" s="208">
        <f t="shared" si="22"/>
        <v>26.9</v>
      </c>
      <c r="AY28" s="168">
        <f t="shared" si="23"/>
        <v>34</v>
      </c>
      <c r="AZ28" s="169"/>
      <c r="BA28" s="169"/>
      <c r="BC28" s="168">
        <f t="shared" ca="1" si="24"/>
        <v>22</v>
      </c>
      <c r="BD28" s="209">
        <f t="shared" ca="1" si="8"/>
        <v>42</v>
      </c>
      <c r="BF28" s="173" t="str">
        <f t="shared" ca="1" si="9"/>
        <v>Public Service Enterprise Group Incorporated</v>
      </c>
      <c r="BG28" s="173" t="str">
        <f t="shared" ca="1" si="9"/>
        <v>BBB+</v>
      </c>
      <c r="BH28" s="173">
        <f t="shared" ca="1" si="9"/>
        <v>19</v>
      </c>
      <c r="BI28" s="173" t="str">
        <f t="shared" ca="1" si="9"/>
        <v>PEG</v>
      </c>
    </row>
    <row r="29" spans="1:61" ht="13.8" x14ac:dyDescent="0.25">
      <c r="A29" s="223" t="s">
        <v>347</v>
      </c>
      <c r="B29" s="224" t="s">
        <v>140</v>
      </c>
      <c r="C29" s="224">
        <v>19</v>
      </c>
      <c r="D29" s="224" t="s">
        <v>348</v>
      </c>
      <c r="E29" s="225" t="str">
        <f t="shared" ca="1" si="1"/>
        <v>MR</v>
      </c>
      <c r="F29" s="348"/>
      <c r="G29" s="349">
        <f t="shared" ca="1" si="2"/>
        <v>46</v>
      </c>
      <c r="H29" s="350"/>
      <c r="I29" s="237"/>
      <c r="J29" s="191"/>
      <c r="K29" s="237"/>
      <c r="N29" s="237"/>
      <c r="Q29" s="237"/>
      <c r="T29" s="237"/>
      <c r="W29" s="237"/>
      <c r="AF29" s="169">
        <f t="shared" si="3"/>
        <v>1</v>
      </c>
      <c r="AG29" s="169" t="str">
        <f t="shared" ca="1" si="4"/>
        <v/>
      </c>
      <c r="AH29" s="169" t="str">
        <f t="shared" ca="1" si="19"/>
        <v/>
      </c>
      <c r="AJ29" s="169">
        <f t="shared" ca="1" si="5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6"/>
        <v/>
      </c>
      <c r="AQ29" s="207" t="s">
        <v>279</v>
      </c>
      <c r="AR29" s="207" t="s">
        <v>142</v>
      </c>
      <c r="AS29" s="207">
        <v>17</v>
      </c>
      <c r="AT29" s="207" t="s">
        <v>280</v>
      </c>
      <c r="AV29" s="168">
        <f t="shared" si="21"/>
        <v>45</v>
      </c>
      <c r="AW29" s="168">
        <f>COUNTIF( AV$7:AV29, AV29 )</f>
        <v>3</v>
      </c>
      <c r="AX29" s="208">
        <f t="shared" si="22"/>
        <v>45.3</v>
      </c>
      <c r="AY29" s="168">
        <f t="shared" si="23"/>
        <v>47</v>
      </c>
      <c r="AZ29" s="169"/>
      <c r="BA29" s="169"/>
      <c r="BC29" s="168">
        <f t="shared" ca="1" si="24"/>
        <v>23</v>
      </c>
      <c r="BD29" s="209">
        <f t="shared" ca="1" si="8"/>
        <v>44</v>
      </c>
      <c r="BF29" s="173" t="str">
        <f t="shared" ca="1" si="9"/>
        <v>SCANA Corporation</v>
      </c>
      <c r="BG29" s="173" t="str">
        <f t="shared" ca="1" si="9"/>
        <v>BBB+</v>
      </c>
      <c r="BH29" s="173">
        <f t="shared" ca="1" si="9"/>
        <v>19</v>
      </c>
      <c r="BI29" s="173" t="str">
        <f t="shared" ca="1" si="9"/>
        <v>SCG</v>
      </c>
    </row>
    <row r="30" spans="1:61" ht="13.8" x14ac:dyDescent="0.25">
      <c r="A30" s="223" t="s">
        <v>291</v>
      </c>
      <c r="B30" s="224" t="s">
        <v>140</v>
      </c>
      <c r="C30" s="224">
        <v>19</v>
      </c>
      <c r="D30" s="224" t="s">
        <v>292</v>
      </c>
      <c r="E30" s="225" t="str">
        <f t="shared" ca="1" si="1"/>
        <v>MR</v>
      </c>
      <c r="F30" s="348"/>
      <c r="G30" s="349">
        <f t="shared" ca="1" si="2"/>
        <v>47</v>
      </c>
      <c r="H30" s="350"/>
      <c r="I30" s="237"/>
      <c r="J30" s="191"/>
      <c r="K30" s="237"/>
      <c r="N30" s="237"/>
      <c r="Q30" s="237"/>
      <c r="T30" s="237"/>
      <c r="W30" s="237"/>
      <c r="AF30" s="169">
        <f t="shared" si="3"/>
        <v>1</v>
      </c>
      <c r="AG30" s="169" t="str">
        <f t="shared" ca="1" si="4"/>
        <v/>
      </c>
      <c r="AH30" s="169" t="str">
        <f t="shared" ca="1" si="19"/>
        <v/>
      </c>
      <c r="AJ30" s="169">
        <f t="shared" ca="1" si="5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6"/>
        <v/>
      </c>
      <c r="AQ30" s="207" t="s">
        <v>387</v>
      </c>
      <c r="AR30" s="207" t="s">
        <v>141</v>
      </c>
      <c r="AS30" s="207">
        <v>18</v>
      </c>
      <c r="AT30" s="207" t="s">
        <v>388</v>
      </c>
      <c r="AV30" s="168">
        <f t="shared" si="21"/>
        <v>26</v>
      </c>
      <c r="AW30" s="168">
        <f>COUNTIF( AV$7:AV30, AV30 )</f>
        <v>10</v>
      </c>
      <c r="AX30" s="208">
        <f t="shared" si="22"/>
        <v>27</v>
      </c>
      <c r="AY30" s="168">
        <f t="shared" si="23"/>
        <v>35</v>
      </c>
      <c r="AZ30" s="169"/>
      <c r="BA30" s="169"/>
      <c r="BC30" s="168">
        <f t="shared" ca="1" si="24"/>
        <v>24</v>
      </c>
      <c r="BD30" s="209">
        <f t="shared" ca="1" si="8"/>
        <v>45</v>
      </c>
      <c r="BF30" s="173" t="str">
        <f t="shared" ca="1" si="9"/>
        <v>Sempra Energy</v>
      </c>
      <c r="BG30" s="173" t="str">
        <f t="shared" ca="1" si="9"/>
        <v>BBB+</v>
      </c>
      <c r="BH30" s="173">
        <f t="shared" ca="1" si="9"/>
        <v>19</v>
      </c>
      <c r="BI30" s="173" t="str">
        <f t="shared" ca="1" si="9"/>
        <v>SRE</v>
      </c>
    </row>
    <row r="31" spans="1:61" ht="13.8" x14ac:dyDescent="0.25">
      <c r="A31" s="223" t="s">
        <v>369</v>
      </c>
      <c r="B31" s="224" t="s">
        <v>140</v>
      </c>
      <c r="C31" s="224">
        <v>19</v>
      </c>
      <c r="D31" s="224" t="s">
        <v>375</v>
      </c>
      <c r="E31" s="225" t="str">
        <f t="shared" ca="1" si="1"/>
        <v>R</v>
      </c>
      <c r="F31" s="348"/>
      <c r="G31" s="349">
        <f t="shared" ca="1" si="2"/>
        <v>49</v>
      </c>
      <c r="H31" s="350"/>
      <c r="I31" s="237"/>
      <c r="J31" s="191"/>
      <c r="K31" s="237"/>
      <c r="N31" s="237"/>
      <c r="O31" s="351"/>
      <c r="Q31" s="237"/>
      <c r="T31" s="237"/>
      <c r="W31" s="237"/>
      <c r="AF31" s="169">
        <f t="shared" si="3"/>
        <v>1</v>
      </c>
      <c r="AG31" s="169" t="str">
        <f t="shared" ca="1" si="4"/>
        <v/>
      </c>
      <c r="AH31" s="169" t="str">
        <f t="shared" ca="1" si="19"/>
        <v/>
      </c>
      <c r="AJ31" s="169">
        <f t="shared" ca="1" si="5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6"/>
        <v/>
      </c>
      <c r="AQ31" s="207" t="s">
        <v>283</v>
      </c>
      <c r="AR31" s="207" t="s">
        <v>141</v>
      </c>
      <c r="AS31" s="207">
        <v>18</v>
      </c>
      <c r="AT31" s="207" t="s">
        <v>284</v>
      </c>
      <c r="AV31" s="168">
        <f t="shared" si="21"/>
        <v>26</v>
      </c>
      <c r="AW31" s="168">
        <f>COUNTIF( AV$7:AV31, AV31 )</f>
        <v>11</v>
      </c>
      <c r="AX31" s="208">
        <f t="shared" si="22"/>
        <v>27.1</v>
      </c>
      <c r="AY31" s="168">
        <f t="shared" si="23"/>
        <v>36</v>
      </c>
      <c r="AZ31" s="169"/>
      <c r="BA31" s="169"/>
      <c r="BC31" s="168">
        <f t="shared" ca="1" si="24"/>
        <v>25</v>
      </c>
      <c r="BD31" s="209">
        <f t="shared" ca="1" si="8"/>
        <v>47</v>
      </c>
      <c r="BF31" s="173" t="str">
        <f t="shared" ca="1" si="9"/>
        <v>TECO Energy, Inc.</v>
      </c>
      <c r="BG31" s="173" t="str">
        <f t="shared" ca="1" si="9"/>
        <v>BBB+</v>
      </c>
      <c r="BH31" s="173">
        <f t="shared" ca="1" si="9"/>
        <v>19</v>
      </c>
      <c r="BI31" s="173" t="str">
        <f t="shared" ca="1" si="9"/>
        <v>TE</v>
      </c>
    </row>
    <row r="32" spans="1:61" ht="13.8" x14ac:dyDescent="0.25">
      <c r="A32" s="223" t="s">
        <v>222</v>
      </c>
      <c r="B32" s="224" t="s">
        <v>141</v>
      </c>
      <c r="C32" s="224">
        <v>18</v>
      </c>
      <c r="D32" s="224" t="s">
        <v>223</v>
      </c>
      <c r="E32" s="225" t="str">
        <f t="shared" ca="1" si="1"/>
        <v>R</v>
      </c>
      <c r="F32" s="348"/>
      <c r="G32" s="349">
        <f t="shared" ca="1" si="2"/>
        <v>10</v>
      </c>
      <c r="H32" s="350"/>
      <c r="I32" s="237"/>
      <c r="J32" s="191"/>
      <c r="K32" s="237"/>
      <c r="N32" s="237"/>
      <c r="Q32" s="237"/>
      <c r="T32" s="237"/>
      <c r="W32" s="237"/>
      <c r="AF32" s="169">
        <f t="shared" si="3"/>
        <v>0</v>
      </c>
      <c r="AG32" s="169" t="str">
        <f t="shared" ca="1" si="4"/>
        <v/>
      </c>
      <c r="AH32" s="169" t="str">
        <f t="shared" ca="1" si="19"/>
        <v/>
      </c>
      <c r="AJ32" s="169">
        <f t="shared" ca="1" si="5"/>
        <v>32</v>
      </c>
      <c r="AK32" s="169" t="str">
        <f t="shared" ca="1" si="20"/>
        <v>BBB</v>
      </c>
      <c r="AL32" s="169">
        <f t="shared" ca="1" si="20"/>
        <v>18</v>
      </c>
      <c r="AM32" s="169" t="str">
        <f t="shared" ca="1" si="6"/>
        <v/>
      </c>
      <c r="AQ32" s="207" t="s">
        <v>395</v>
      </c>
      <c r="AR32" s="207" t="s">
        <v>139</v>
      </c>
      <c r="AS32" s="207">
        <v>20</v>
      </c>
      <c r="AT32" s="207" t="s">
        <v>396</v>
      </c>
      <c r="AV32" s="168">
        <f t="shared" si="21"/>
        <v>2</v>
      </c>
      <c r="AW32" s="168">
        <f>COUNTIF( AV$7:AV32, AV32 )</f>
        <v>5</v>
      </c>
      <c r="AX32" s="208">
        <f t="shared" si="22"/>
        <v>2.5</v>
      </c>
      <c r="AY32" s="168">
        <f t="shared" si="23"/>
        <v>6</v>
      </c>
      <c r="AZ32" s="169"/>
      <c r="BA32" s="169"/>
      <c r="BC32" s="168">
        <f t="shared" ca="1" si="24"/>
        <v>26</v>
      </c>
      <c r="BD32" s="209">
        <f t="shared" ca="1" si="8"/>
        <v>4</v>
      </c>
      <c r="BF32" s="173" t="str">
        <f t="shared" ca="1" si="9"/>
        <v>American Electric Power Company, Inc.</v>
      </c>
      <c r="BG32" s="173" t="str">
        <f t="shared" ca="1" si="9"/>
        <v>BBB</v>
      </c>
      <c r="BH32" s="173">
        <f t="shared" ca="1" si="9"/>
        <v>18</v>
      </c>
      <c r="BI32" s="173" t="str">
        <f t="shared" ca="1" si="9"/>
        <v>AEP</v>
      </c>
    </row>
    <row r="33" spans="1:61" ht="13.8" x14ac:dyDescent="0.25">
      <c r="A33" s="223" t="s">
        <v>238</v>
      </c>
      <c r="B33" s="224" t="s">
        <v>141</v>
      </c>
      <c r="C33" s="224">
        <v>18</v>
      </c>
      <c r="D33" s="224" t="s">
        <v>239</v>
      </c>
      <c r="E33" s="225" t="str">
        <f t="shared" ca="1" si="1"/>
        <v>R</v>
      </c>
      <c r="F33" s="348"/>
      <c r="G33" s="349">
        <f t="shared" ca="1" si="2"/>
        <v>11</v>
      </c>
      <c r="H33" s="350"/>
      <c r="I33" s="237"/>
      <c r="J33" s="191"/>
      <c r="K33" s="237"/>
      <c r="N33" s="237"/>
      <c r="Q33" s="237"/>
      <c r="T33" s="237"/>
      <c r="W33" s="237"/>
      <c r="AF33" s="169">
        <f t="shared" si="3"/>
        <v>0</v>
      </c>
      <c r="AG33" s="169" t="str">
        <f t="shared" ca="1" si="4"/>
        <v/>
      </c>
      <c r="AH33" s="169" t="str">
        <f t="shared" ca="1" si="19"/>
        <v/>
      </c>
      <c r="AJ33" s="169">
        <f t="shared" ca="1" si="5"/>
        <v>33</v>
      </c>
      <c r="AK33" s="169" t="str">
        <f t="shared" ca="1" si="20"/>
        <v>BBB</v>
      </c>
      <c r="AL33" s="169">
        <f t="shared" ca="1" si="20"/>
        <v>18</v>
      </c>
      <c r="AM33" s="169" t="str">
        <f t="shared" ca="1" si="6"/>
        <v/>
      </c>
      <c r="AQ33" s="207" t="s">
        <v>287</v>
      </c>
      <c r="AR33" s="207" t="s">
        <v>173</v>
      </c>
      <c r="AS33" s="207">
        <v>16</v>
      </c>
      <c r="AT33" s="207" t="s">
        <v>288</v>
      </c>
      <c r="AV33" s="168">
        <f t="shared" si="21"/>
        <v>50</v>
      </c>
      <c r="AW33" s="168">
        <f>COUNTIF( AV$7:AV33, AV33 )</f>
        <v>1</v>
      </c>
      <c r="AX33" s="208">
        <f t="shared" si="22"/>
        <v>50.1</v>
      </c>
      <c r="AY33" s="168">
        <f t="shared" si="23"/>
        <v>50</v>
      </c>
      <c r="AZ33" s="169"/>
      <c r="BA33" s="169"/>
      <c r="BC33" s="168">
        <f t="shared" ca="1" si="24"/>
        <v>27</v>
      </c>
      <c r="BD33" s="209">
        <f t="shared" ca="1" si="8"/>
        <v>5</v>
      </c>
      <c r="BF33" s="173" t="str">
        <f t="shared" ca="1" si="9"/>
        <v>Avista Corporation</v>
      </c>
      <c r="BG33" s="173" t="str">
        <f t="shared" ca="1" si="9"/>
        <v>BBB</v>
      </c>
      <c r="BH33" s="173">
        <f t="shared" ca="1" si="9"/>
        <v>18</v>
      </c>
      <c r="BI33" s="173" t="str">
        <f t="shared" ca="1" si="9"/>
        <v>AVA</v>
      </c>
    </row>
    <row r="34" spans="1:61" ht="13.8" x14ac:dyDescent="0.25">
      <c r="A34" s="223" t="s">
        <v>245</v>
      </c>
      <c r="B34" s="224" t="s">
        <v>141</v>
      </c>
      <c r="C34" s="224">
        <v>18</v>
      </c>
      <c r="D34" s="224" t="s">
        <v>246</v>
      </c>
      <c r="E34" s="225" t="str">
        <f t="shared" ca="1" si="1"/>
        <v>R</v>
      </c>
      <c r="F34" s="348"/>
      <c r="G34" s="349">
        <f t="shared" ca="1" si="2"/>
        <v>12</v>
      </c>
      <c r="H34" s="350"/>
      <c r="I34" s="237"/>
      <c r="J34" s="191"/>
      <c r="K34" s="237"/>
      <c r="N34" s="237"/>
      <c r="Q34" s="237"/>
      <c r="T34" s="237"/>
      <c r="W34" s="237"/>
      <c r="AF34" s="169">
        <f t="shared" si="3"/>
        <v>0</v>
      </c>
      <c r="AG34" s="169" t="str">
        <f t="shared" ca="1" si="4"/>
        <v/>
      </c>
      <c r="AH34" s="169" t="str">
        <f t="shared" ca="1" si="19"/>
        <v/>
      </c>
      <c r="AJ34" s="169">
        <f t="shared" ca="1" si="5"/>
        <v>34</v>
      </c>
      <c r="AK34" s="169" t="str">
        <f t="shared" ca="1" si="20"/>
        <v>BBB</v>
      </c>
      <c r="AL34" s="169">
        <f t="shared" ca="1" si="20"/>
        <v>18</v>
      </c>
      <c r="AM34" s="169" t="str">
        <f t="shared" ca="1" si="6"/>
        <v/>
      </c>
      <c r="AQ34" s="207" t="s">
        <v>271</v>
      </c>
      <c r="AR34" s="207" t="s">
        <v>140</v>
      </c>
      <c r="AS34" s="207">
        <v>19</v>
      </c>
      <c r="AT34" s="207" t="s">
        <v>272</v>
      </c>
      <c r="AV34" s="168">
        <f t="shared" si="21"/>
        <v>14</v>
      </c>
      <c r="AW34" s="168">
        <f>COUNTIF( AV$7:AV34, AV34 )</f>
        <v>6</v>
      </c>
      <c r="AX34" s="208">
        <f t="shared" si="22"/>
        <v>14.6</v>
      </c>
      <c r="AY34" s="168">
        <f t="shared" si="23"/>
        <v>19</v>
      </c>
      <c r="AZ34" s="169"/>
      <c r="BA34" s="169"/>
      <c r="BC34" s="168">
        <f t="shared" ca="1" si="24"/>
        <v>28</v>
      </c>
      <c r="BD34" s="209">
        <f t="shared" ca="1" si="8"/>
        <v>6</v>
      </c>
      <c r="BF34" s="173" t="str">
        <f t="shared" ca="1" si="9"/>
        <v>Black Hills Corporation</v>
      </c>
      <c r="BG34" s="173" t="str">
        <f t="shared" ca="1" si="9"/>
        <v>BBB</v>
      </c>
      <c r="BH34" s="173">
        <f t="shared" ca="1" si="9"/>
        <v>18</v>
      </c>
      <c r="BI34" s="173" t="str">
        <f t="shared" ca="1" si="9"/>
        <v>BKH</v>
      </c>
    </row>
    <row r="35" spans="1:61" ht="13.8" x14ac:dyDescent="0.25">
      <c r="A35" s="223" t="s">
        <v>256</v>
      </c>
      <c r="B35" s="224" t="s">
        <v>141</v>
      </c>
      <c r="C35" s="224">
        <v>18</v>
      </c>
      <c r="D35" s="224" t="s">
        <v>257</v>
      </c>
      <c r="E35" s="225" t="str">
        <f t="shared" ca="1" si="1"/>
        <v>R</v>
      </c>
      <c r="F35" s="348"/>
      <c r="G35" s="349">
        <f t="shared" ca="1" si="2"/>
        <v>15</v>
      </c>
      <c r="H35" s="350"/>
      <c r="I35" s="237"/>
      <c r="K35" s="237"/>
      <c r="N35" s="237"/>
      <c r="Q35" s="237"/>
      <c r="T35" s="237"/>
      <c r="W35" s="237"/>
      <c r="AF35" s="169">
        <f t="shared" si="3"/>
        <v>0</v>
      </c>
      <c r="AG35" s="169" t="str">
        <f t="shared" ca="1" si="4"/>
        <v/>
      </c>
      <c r="AH35" s="169" t="str">
        <f t="shared" ca="1" si="19"/>
        <v/>
      </c>
      <c r="AJ35" s="169">
        <f t="shared" ca="1" si="5"/>
        <v>35</v>
      </c>
      <c r="AK35" s="169" t="str">
        <f t="shared" ca="1" si="20"/>
        <v>BBB</v>
      </c>
      <c r="AL35" s="169">
        <f t="shared" ca="1" si="20"/>
        <v>18</v>
      </c>
      <c r="AM35" s="169" t="str">
        <f t="shared" ca="1" si="6"/>
        <v/>
      </c>
      <c r="AQ35" s="207" t="s">
        <v>408</v>
      </c>
      <c r="AR35" s="207" t="s">
        <v>140</v>
      </c>
      <c r="AS35" s="207">
        <v>19</v>
      </c>
      <c r="AT35" s="207" t="s">
        <v>216</v>
      </c>
      <c r="AV35" s="168">
        <f t="shared" si="21"/>
        <v>14</v>
      </c>
      <c r="AW35" s="168">
        <f>COUNTIF( AV$7:AV35, AV35 )</f>
        <v>7</v>
      </c>
      <c r="AX35" s="208">
        <f t="shared" si="22"/>
        <v>14.7</v>
      </c>
      <c r="AY35" s="168">
        <f t="shared" si="23"/>
        <v>20</v>
      </c>
      <c r="AZ35" s="169"/>
      <c r="BA35" s="169"/>
      <c r="BC35" s="168">
        <f t="shared" ca="1" si="24"/>
        <v>29</v>
      </c>
      <c r="BD35" s="209">
        <f t="shared" ca="1" si="8"/>
        <v>9</v>
      </c>
      <c r="BF35" s="173" t="str">
        <f t="shared" ca="1" si="9"/>
        <v>CMS Energy Corporation</v>
      </c>
      <c r="BG35" s="173" t="str">
        <f t="shared" ca="1" si="9"/>
        <v>BBB</v>
      </c>
      <c r="BH35" s="173">
        <f t="shared" ca="1" si="9"/>
        <v>18</v>
      </c>
      <c r="BI35" s="173" t="str">
        <f t="shared" ca="1" si="9"/>
        <v>CMS</v>
      </c>
    </row>
    <row r="36" spans="1:61" ht="13.8" x14ac:dyDescent="0.25">
      <c r="A36" s="223" t="s">
        <v>328</v>
      </c>
      <c r="B36" s="224" t="s">
        <v>141</v>
      </c>
      <c r="C36" s="224">
        <v>18</v>
      </c>
      <c r="D36" s="224" t="s">
        <v>331</v>
      </c>
      <c r="E36" s="225" t="str">
        <f t="shared" ca="1" si="1"/>
        <v>R</v>
      </c>
      <c r="F36" s="348"/>
      <c r="G36" s="349">
        <f t="shared" ca="1" si="2"/>
        <v>21</v>
      </c>
      <c r="H36" s="350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3"/>
        <v>0</v>
      </c>
      <c r="AG36" s="169" t="str">
        <f t="shared" ca="1" si="4"/>
        <v/>
      </c>
      <c r="AH36" s="169" t="str">
        <f t="shared" ca="1" si="19"/>
        <v/>
      </c>
      <c r="AJ36" s="169">
        <f t="shared" ca="1" si="5"/>
        <v>36</v>
      </c>
      <c r="AK36" s="169" t="str">
        <f t="shared" ca="1" si="20"/>
        <v>BBB</v>
      </c>
      <c r="AL36" s="169">
        <f t="shared" ca="1" si="20"/>
        <v>18</v>
      </c>
      <c r="AM36" s="169" t="str">
        <f t="shared" ca="1" si="6"/>
        <v/>
      </c>
      <c r="AQ36" s="207" t="s">
        <v>240</v>
      </c>
      <c r="AR36" s="207" t="s">
        <v>139</v>
      </c>
      <c r="AS36" s="207">
        <v>20</v>
      </c>
      <c r="AT36" s="207" t="s">
        <v>241</v>
      </c>
      <c r="AV36" s="168">
        <f t="shared" si="21"/>
        <v>2</v>
      </c>
      <c r="AW36" s="168">
        <f>COUNTIF( AV$7:AV36, AV36 )</f>
        <v>6</v>
      </c>
      <c r="AX36" s="208">
        <f t="shared" si="22"/>
        <v>2.6</v>
      </c>
      <c r="AY36" s="168">
        <f t="shared" si="23"/>
        <v>7</v>
      </c>
      <c r="AZ36" s="169"/>
      <c r="BA36" s="169"/>
      <c r="BC36" s="168">
        <f t="shared" ca="1" si="24"/>
        <v>30</v>
      </c>
      <c r="BD36" s="209">
        <f t="shared" ca="1" si="8"/>
        <v>16</v>
      </c>
      <c r="BF36" s="173" t="str">
        <f t="shared" ca="1" si="9"/>
        <v>El Paso Electric Company</v>
      </c>
      <c r="BG36" s="173" t="str">
        <f t="shared" ca="1" si="9"/>
        <v>BBB</v>
      </c>
      <c r="BH36" s="173">
        <f t="shared" ca="1" si="9"/>
        <v>18</v>
      </c>
      <c r="BI36" s="173" t="str">
        <f t="shared" ca="1" si="9"/>
        <v>EE</v>
      </c>
    </row>
    <row r="37" spans="1:61" ht="13.8" x14ac:dyDescent="0.25">
      <c r="A37" s="223" t="s">
        <v>367</v>
      </c>
      <c r="B37" s="224" t="s">
        <v>141</v>
      </c>
      <c r="C37" s="224">
        <v>18</v>
      </c>
      <c r="D37" s="224" t="s">
        <v>368</v>
      </c>
      <c r="E37" s="225" t="str">
        <f t="shared" ca="1" si="1"/>
        <v>R</v>
      </c>
      <c r="F37" s="348"/>
      <c r="G37" s="349">
        <f t="shared" ca="1" si="2"/>
        <v>22</v>
      </c>
      <c r="H37" s="350"/>
      <c r="I37" s="237"/>
      <c r="K37" s="237"/>
      <c r="L37" s="173"/>
      <c r="N37" s="237"/>
      <c r="Q37" s="237"/>
      <c r="T37" s="237"/>
      <c r="W37" s="237"/>
      <c r="AF37" s="169">
        <f t="shared" si="3"/>
        <v>0</v>
      </c>
      <c r="AG37" s="169" t="str">
        <f t="shared" ca="1" si="4"/>
        <v/>
      </c>
      <c r="AH37" s="169" t="str">
        <f t="shared" ca="1" si="19"/>
        <v/>
      </c>
      <c r="AJ37" s="169">
        <f t="shared" ca="1" si="5"/>
        <v>37</v>
      </c>
      <c r="AK37" s="169" t="str">
        <f t="shared" ca="1" si="20"/>
        <v>BBB</v>
      </c>
      <c r="AL37" s="169">
        <f t="shared" ca="1" si="20"/>
        <v>18</v>
      </c>
      <c r="AM37" s="169" t="str">
        <f t="shared" ca="1" si="6"/>
        <v/>
      </c>
      <c r="AQ37" s="207" t="s">
        <v>273</v>
      </c>
      <c r="AR37" s="207" t="s">
        <v>142</v>
      </c>
      <c r="AS37" s="207">
        <v>17</v>
      </c>
      <c r="AT37" s="207" t="s">
        <v>274</v>
      </c>
      <c r="AV37" s="168">
        <f t="shared" si="21"/>
        <v>45</v>
      </c>
      <c r="AW37" s="168">
        <f>COUNTIF( AV$7:AV37, AV37 )</f>
        <v>4</v>
      </c>
      <c r="AX37" s="208">
        <f t="shared" si="22"/>
        <v>45.4</v>
      </c>
      <c r="AY37" s="168">
        <f t="shared" si="23"/>
        <v>48</v>
      </c>
      <c r="AZ37" s="169"/>
      <c r="BA37" s="169"/>
      <c r="BC37" s="168">
        <f t="shared" ca="1" si="24"/>
        <v>31</v>
      </c>
      <c r="BD37" s="209">
        <f t="shared" ca="1" si="8"/>
        <v>17</v>
      </c>
      <c r="BF37" s="173" t="str">
        <f t="shared" ca="1" si="9"/>
        <v>Empire District Electric Company</v>
      </c>
      <c r="BG37" s="173" t="str">
        <f t="shared" ca="1" si="9"/>
        <v>BBB</v>
      </c>
      <c r="BH37" s="173">
        <f t="shared" ca="1" si="9"/>
        <v>18</v>
      </c>
      <c r="BI37" s="173" t="str">
        <f t="shared" ca="1" si="9"/>
        <v>EDE</v>
      </c>
    </row>
    <row r="38" spans="1:61" ht="13.8" x14ac:dyDescent="0.25">
      <c r="A38" s="223" t="s">
        <v>267</v>
      </c>
      <c r="B38" s="224" t="s">
        <v>141</v>
      </c>
      <c r="C38" s="224">
        <v>18</v>
      </c>
      <c r="D38" s="224" t="s">
        <v>268</v>
      </c>
      <c r="E38" s="225" t="str">
        <f t="shared" ca="1" si="1"/>
        <v>R</v>
      </c>
      <c r="F38" s="348"/>
      <c r="G38" s="349">
        <f t="shared" ca="1" si="2"/>
        <v>23</v>
      </c>
      <c r="H38" s="350"/>
      <c r="I38" s="237"/>
      <c r="J38" s="191"/>
      <c r="K38" s="237"/>
      <c r="L38" s="173"/>
      <c r="N38" s="237"/>
      <c r="Q38" s="237"/>
      <c r="T38" s="237"/>
      <c r="W38" s="237"/>
      <c r="AF38" s="169">
        <f t="shared" si="3"/>
        <v>0</v>
      </c>
      <c r="AG38" s="169" t="str">
        <f t="shared" ca="1" si="4"/>
        <v/>
      </c>
      <c r="AH38" s="169" t="str">
        <f t="shared" ca="1" si="19"/>
        <v/>
      </c>
      <c r="AJ38" s="169">
        <f t="shared" ca="1" si="5"/>
        <v>38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6"/>
        <v/>
      </c>
      <c r="AQ38" s="207" t="s">
        <v>394</v>
      </c>
      <c r="AR38" s="207" t="s">
        <v>139</v>
      </c>
      <c r="AS38" s="207">
        <v>20</v>
      </c>
      <c r="AT38" s="207" t="s">
        <v>236</v>
      </c>
      <c r="AV38" s="168">
        <f t="shared" si="21"/>
        <v>2</v>
      </c>
      <c r="AW38" s="168">
        <f>COUNTIF( AV$7:AV38, AV38 )</f>
        <v>7</v>
      </c>
      <c r="AX38" s="208">
        <f t="shared" si="22"/>
        <v>2.7</v>
      </c>
      <c r="AY38" s="168">
        <f t="shared" si="23"/>
        <v>8</v>
      </c>
      <c r="AZ38" s="169"/>
      <c r="BA38" s="169"/>
      <c r="BC38" s="168">
        <f t="shared" ca="1" si="24"/>
        <v>32</v>
      </c>
      <c r="BD38" s="209">
        <f t="shared" ca="1" si="8"/>
        <v>19</v>
      </c>
      <c r="BF38" s="173" t="str">
        <f t="shared" ca="1" si="9"/>
        <v>Entergy Corporation</v>
      </c>
      <c r="BG38" s="173" t="str">
        <f t="shared" ca="1" si="9"/>
        <v>BBB</v>
      </c>
      <c r="BH38" s="173">
        <f t="shared" ca="1" si="9"/>
        <v>18</v>
      </c>
      <c r="BI38" s="173" t="str">
        <f t="shared" ca="1" si="9"/>
        <v>ETR</v>
      </c>
    </row>
    <row r="39" spans="1:61" ht="13.8" x14ac:dyDescent="0.25">
      <c r="A39" s="223" t="s">
        <v>269</v>
      </c>
      <c r="B39" s="224" t="s">
        <v>141</v>
      </c>
      <c r="C39" s="224">
        <v>18</v>
      </c>
      <c r="D39" s="224" t="s">
        <v>270</v>
      </c>
      <c r="E39" s="225" t="str">
        <f t="shared" ca="1" si="1"/>
        <v>MR</v>
      </c>
      <c r="F39" s="348"/>
      <c r="G39" s="349">
        <f t="shared" ca="1" si="2"/>
        <v>24</v>
      </c>
      <c r="H39" s="350"/>
      <c r="I39" s="237"/>
      <c r="K39" s="237"/>
      <c r="L39" s="173"/>
      <c r="N39" s="237"/>
      <c r="Q39" s="237"/>
      <c r="T39" s="237"/>
      <c r="W39" s="237"/>
      <c r="AF39" s="169">
        <f t="shared" si="3"/>
        <v>0</v>
      </c>
      <c r="AG39" s="169" t="str">
        <f t="shared" ca="1" si="4"/>
        <v/>
      </c>
      <c r="AH39" s="169" t="str">
        <f t="shared" ca="1" si="19"/>
        <v/>
      </c>
      <c r="AJ39" s="169">
        <f t="shared" ca="1" si="5"/>
        <v>39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6"/>
        <v/>
      </c>
      <c r="AQ39" s="207" t="s">
        <v>297</v>
      </c>
      <c r="AR39" s="207" t="s">
        <v>141</v>
      </c>
      <c r="AS39" s="207">
        <v>18</v>
      </c>
      <c r="AT39" s="207" t="s">
        <v>298</v>
      </c>
      <c r="AV39" s="168">
        <f t="shared" si="21"/>
        <v>26</v>
      </c>
      <c r="AW39" s="168">
        <f>COUNTIF( AV$7:AV39, AV39 )</f>
        <v>12</v>
      </c>
      <c r="AX39" s="208">
        <f t="shared" si="22"/>
        <v>27.2</v>
      </c>
      <c r="AY39" s="168">
        <f t="shared" si="23"/>
        <v>37</v>
      </c>
      <c r="AZ39" s="169"/>
      <c r="BA39" s="169"/>
      <c r="BC39" s="168">
        <f t="shared" ca="1" si="24"/>
        <v>33</v>
      </c>
      <c r="BD39" s="209">
        <f t="shared" ca="1" si="8"/>
        <v>20</v>
      </c>
      <c r="BF39" s="173" t="str">
        <f t="shared" ref="BF39:BI63" ca="1" si="25">OFFSET( AQ$6, $BD39, 0 )</f>
        <v>Exelon Corporation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EXC</v>
      </c>
    </row>
    <row r="40" spans="1:61" ht="13.8" x14ac:dyDescent="0.25">
      <c r="A40" s="223" t="s">
        <v>352</v>
      </c>
      <c r="B40" s="224" t="s">
        <v>141</v>
      </c>
      <c r="C40" s="224">
        <v>18</v>
      </c>
      <c r="D40" s="224" t="s">
        <v>353</v>
      </c>
      <c r="E40" s="225" t="str">
        <f t="shared" ca="1" si="1"/>
        <v>R</v>
      </c>
      <c r="F40" s="348"/>
      <c r="G40" s="349">
        <f t="shared" ca="1" si="2"/>
        <v>26</v>
      </c>
      <c r="H40" s="350"/>
      <c r="I40" s="237"/>
      <c r="J40" s="191"/>
      <c r="K40" s="237"/>
      <c r="L40" s="173"/>
      <c r="N40" s="237"/>
      <c r="Q40" s="237"/>
      <c r="T40" s="237"/>
      <c r="W40" s="237"/>
      <c r="AF40" s="169">
        <f t="shared" si="3"/>
        <v>0</v>
      </c>
      <c r="AG40" s="169" t="str">
        <f t="shared" ca="1" si="4"/>
        <v/>
      </c>
      <c r="AH40" s="169" t="str">
        <f t="shared" ca="1" si="19"/>
        <v/>
      </c>
      <c r="AJ40" s="169">
        <f t="shared" ca="1" si="5"/>
        <v>40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6"/>
        <v/>
      </c>
      <c r="AQ40" s="207" t="s">
        <v>277</v>
      </c>
      <c r="AR40" s="207" t="s">
        <v>139</v>
      </c>
      <c r="AS40" s="207">
        <v>20</v>
      </c>
      <c r="AT40" s="207" t="s">
        <v>278</v>
      </c>
      <c r="AV40" s="168">
        <f t="shared" si="21"/>
        <v>2</v>
      </c>
      <c r="AW40" s="168">
        <f>COUNTIF( AV$7:AV40, AV40 )</f>
        <v>8</v>
      </c>
      <c r="AX40" s="208">
        <f t="shared" si="22"/>
        <v>2.8</v>
      </c>
      <c r="AY40" s="168">
        <f t="shared" si="23"/>
        <v>9</v>
      </c>
      <c r="AZ40" s="169"/>
      <c r="BA40" s="169"/>
      <c r="BC40" s="168">
        <f t="shared" ca="1" si="24"/>
        <v>34</v>
      </c>
      <c r="BD40" s="209">
        <f t="shared" ca="1" si="8"/>
        <v>22</v>
      </c>
      <c r="BF40" s="173" t="str">
        <f t="shared" ca="1" si="25"/>
        <v>Great Plains Energy Inc.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GXP</v>
      </c>
    </row>
    <row r="41" spans="1:61" ht="13.8" x14ac:dyDescent="0.25">
      <c r="A41" s="223" t="s">
        <v>387</v>
      </c>
      <c r="B41" s="224" t="s">
        <v>141</v>
      </c>
      <c r="C41" s="224">
        <v>18</v>
      </c>
      <c r="D41" s="224" t="s">
        <v>388</v>
      </c>
      <c r="E41" s="225" t="str">
        <f t="shared" ca="1" si="1"/>
        <v>R</v>
      </c>
      <c r="F41" s="348"/>
      <c r="G41" s="349">
        <f t="shared" ca="1" si="2"/>
        <v>58</v>
      </c>
      <c r="H41" s="350"/>
      <c r="I41" s="237"/>
      <c r="J41" s="191"/>
      <c r="K41" s="237"/>
      <c r="L41" s="173"/>
      <c r="N41" s="237"/>
      <c r="Q41" s="237"/>
      <c r="T41" s="237"/>
      <c r="W41" s="237"/>
      <c r="AF41" s="169">
        <f t="shared" si="3"/>
        <v>0</v>
      </c>
      <c r="AG41" s="169" t="str">
        <f t="shared" ca="1" si="4"/>
        <v/>
      </c>
      <c r="AH41" s="169" t="str">
        <f t="shared" ca="1" si="19"/>
        <v/>
      </c>
      <c r="AJ41" s="169">
        <f t="shared" ca="1" si="5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6"/>
        <v/>
      </c>
      <c r="AQ41" s="207" t="s">
        <v>299</v>
      </c>
      <c r="AR41" s="207" t="s">
        <v>141</v>
      </c>
      <c r="AS41" s="207">
        <v>18</v>
      </c>
      <c r="AT41" s="207" t="s">
        <v>300</v>
      </c>
      <c r="AV41" s="168">
        <f t="shared" si="21"/>
        <v>26</v>
      </c>
      <c r="AW41" s="168">
        <f>COUNTIF( AV$7:AV41, AV41 )</f>
        <v>13</v>
      </c>
      <c r="AX41" s="208">
        <f t="shared" si="22"/>
        <v>27.3</v>
      </c>
      <c r="AY41" s="168">
        <f t="shared" si="23"/>
        <v>38</v>
      </c>
      <c r="AZ41" s="169"/>
      <c r="BA41" s="169"/>
      <c r="BC41" s="168">
        <f t="shared" ca="1" si="24"/>
        <v>35</v>
      </c>
      <c r="BD41" s="209">
        <f t="shared" ca="1" si="8"/>
        <v>24</v>
      </c>
      <c r="BF41" s="173" t="str">
        <f t="shared" ca="1" si="25"/>
        <v>Iberdrola USA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**EAST</v>
      </c>
    </row>
    <row r="42" spans="1:61" ht="13.8" x14ac:dyDescent="0.25">
      <c r="A42" s="223" t="s">
        <v>283</v>
      </c>
      <c r="B42" s="224" t="s">
        <v>141</v>
      </c>
      <c r="C42" s="224">
        <v>18</v>
      </c>
      <c r="D42" s="224" t="s">
        <v>284</v>
      </c>
      <c r="E42" s="225" t="str">
        <f t="shared" ca="1" si="1"/>
        <v>R</v>
      </c>
      <c r="F42" s="348"/>
      <c r="G42" s="349">
        <f t="shared" ca="1" si="2"/>
        <v>28</v>
      </c>
      <c r="H42" s="350"/>
      <c r="I42" s="237"/>
      <c r="J42" s="191"/>
      <c r="K42" s="237"/>
      <c r="L42" s="173"/>
      <c r="N42" s="237"/>
      <c r="Q42" s="237"/>
      <c r="T42" s="237"/>
      <c r="W42" s="237"/>
      <c r="AF42" s="169">
        <f t="shared" si="3"/>
        <v>0</v>
      </c>
      <c r="AG42" s="169" t="str">
        <f t="shared" ca="1" si="4"/>
        <v/>
      </c>
      <c r="AH42" s="169" t="str">
        <f t="shared" ca="1" si="19"/>
        <v/>
      </c>
      <c r="AJ42" s="169">
        <f t="shared" ca="1" si="5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6"/>
        <v/>
      </c>
      <c r="AQ42" s="207" t="s">
        <v>382</v>
      </c>
      <c r="AR42" s="207" t="s">
        <v>140</v>
      </c>
      <c r="AS42" s="207">
        <v>19</v>
      </c>
      <c r="AT42" s="207" t="s">
        <v>383</v>
      </c>
      <c r="AV42" s="168">
        <f t="shared" si="21"/>
        <v>14</v>
      </c>
      <c r="AW42" s="168">
        <f>COUNTIF( AV$7:AV42, AV42 )</f>
        <v>8</v>
      </c>
      <c r="AX42" s="208">
        <f t="shared" si="22"/>
        <v>14.8</v>
      </c>
      <c r="AY42" s="168">
        <f t="shared" si="23"/>
        <v>21</v>
      </c>
      <c r="AZ42" s="169"/>
      <c r="BA42" s="169"/>
      <c r="BC42" s="168">
        <f t="shared" ca="1" si="24"/>
        <v>36</v>
      </c>
      <c r="BD42" s="209">
        <f t="shared" ca="1" si="8"/>
        <v>25</v>
      </c>
      <c r="BF42" s="173" t="str">
        <f t="shared" ca="1" si="25"/>
        <v>IDACORP, Inc.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IDA</v>
      </c>
    </row>
    <row r="43" spans="1:61" ht="13.8" x14ac:dyDescent="0.25">
      <c r="A43" s="223" t="s">
        <v>297</v>
      </c>
      <c r="B43" s="224" t="s">
        <v>141</v>
      </c>
      <c r="C43" s="224">
        <v>18</v>
      </c>
      <c r="D43" s="224" t="s">
        <v>298</v>
      </c>
      <c r="E43" s="225" t="str">
        <f t="shared" ca="1" si="1"/>
        <v>R</v>
      </c>
      <c r="F43" s="348"/>
      <c r="G43" s="349">
        <f t="shared" ca="1" si="2"/>
        <v>35</v>
      </c>
      <c r="H43" s="350"/>
      <c r="I43" s="237"/>
      <c r="J43" s="191"/>
      <c r="K43" s="237"/>
      <c r="N43" s="237"/>
      <c r="Q43" s="237"/>
      <c r="T43" s="237"/>
      <c r="W43" s="237"/>
      <c r="AF43" s="169">
        <f t="shared" si="3"/>
        <v>0</v>
      </c>
      <c r="AG43" s="169" t="str">
        <f t="shared" ca="1" si="4"/>
        <v/>
      </c>
      <c r="AH43" s="169" t="str">
        <f t="shared" ca="1" si="19"/>
        <v/>
      </c>
      <c r="AJ43" s="169">
        <f t="shared" ca="1" si="5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6"/>
        <v/>
      </c>
      <c r="AQ43" s="207" t="s">
        <v>301</v>
      </c>
      <c r="AR43" s="207" t="s">
        <v>141</v>
      </c>
      <c r="AS43" s="207">
        <v>18</v>
      </c>
      <c r="AT43" s="207" t="s">
        <v>302</v>
      </c>
      <c r="AV43" s="168">
        <f t="shared" si="21"/>
        <v>26</v>
      </c>
      <c r="AW43" s="168">
        <f>COUNTIF( AV$7:AV43, AV43 )</f>
        <v>14</v>
      </c>
      <c r="AX43" s="208">
        <f t="shared" si="22"/>
        <v>27.4</v>
      </c>
      <c r="AY43" s="168">
        <f t="shared" si="23"/>
        <v>39</v>
      </c>
      <c r="AZ43" s="169"/>
      <c r="BA43" s="169"/>
      <c r="BC43" s="168">
        <f t="shared" ca="1" si="24"/>
        <v>37</v>
      </c>
      <c r="BD43" s="209">
        <f t="shared" ca="1" si="8"/>
        <v>33</v>
      </c>
      <c r="BF43" s="173" t="str">
        <f t="shared" ca="1" si="25"/>
        <v>NorthWestern Corporation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NWE</v>
      </c>
    </row>
    <row r="44" spans="1:61" ht="13.8" x14ac:dyDescent="0.25">
      <c r="A44" s="223" t="s">
        <v>299</v>
      </c>
      <c r="B44" s="224" t="s">
        <v>141</v>
      </c>
      <c r="C44" s="224">
        <v>18</v>
      </c>
      <c r="D44" s="224" t="s">
        <v>300</v>
      </c>
      <c r="E44" s="225" t="str">
        <f t="shared" ca="1" si="1"/>
        <v>MR</v>
      </c>
      <c r="F44" s="348"/>
      <c r="G44" s="349">
        <f t="shared" ca="1" si="2"/>
        <v>38</v>
      </c>
      <c r="H44" s="350"/>
      <c r="I44" s="237"/>
      <c r="J44" s="191"/>
      <c r="K44" s="237"/>
      <c r="N44" s="237"/>
      <c r="Q44" s="237"/>
      <c r="T44" s="237"/>
      <c r="W44" s="237"/>
      <c r="AF44" s="169">
        <f t="shared" si="3"/>
        <v>0</v>
      </c>
      <c r="AG44" s="169" t="str">
        <f t="shared" ca="1" si="4"/>
        <v/>
      </c>
      <c r="AH44" s="169" t="str">
        <f t="shared" ca="1" si="19"/>
        <v/>
      </c>
      <c r="AJ44" s="169">
        <f t="shared" ca="1" si="5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6"/>
        <v/>
      </c>
      <c r="AQ44" s="207" t="s">
        <v>281</v>
      </c>
      <c r="AR44" s="207" t="s">
        <v>139</v>
      </c>
      <c r="AS44" s="207">
        <v>20</v>
      </c>
      <c r="AT44" s="207" t="s">
        <v>282</v>
      </c>
      <c r="AV44" s="168">
        <f t="shared" si="21"/>
        <v>2</v>
      </c>
      <c r="AW44" s="168">
        <f>COUNTIF( AV$7:AV44, AV44 )</f>
        <v>9</v>
      </c>
      <c r="AX44" s="208">
        <f t="shared" si="22"/>
        <v>2.9</v>
      </c>
      <c r="AY44" s="168">
        <f t="shared" si="23"/>
        <v>10</v>
      </c>
      <c r="AZ44" s="169"/>
      <c r="BA44" s="169"/>
      <c r="BC44" s="168">
        <f t="shared" ca="1" si="24"/>
        <v>38</v>
      </c>
      <c r="BD44" s="209">
        <f t="shared" ca="1" si="8"/>
        <v>35</v>
      </c>
      <c r="BF44" s="173" t="str">
        <f t="shared" ca="1" si="25"/>
        <v>Otter Tail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OTTR</v>
      </c>
    </row>
    <row r="45" spans="1:61" ht="13.8" x14ac:dyDescent="0.25">
      <c r="A45" s="223" t="s">
        <v>301</v>
      </c>
      <c r="B45" s="224" t="s">
        <v>141</v>
      </c>
      <c r="C45" s="224">
        <v>18</v>
      </c>
      <c r="D45" s="224" t="s">
        <v>302</v>
      </c>
      <c r="E45" s="225" t="str">
        <f t="shared" ca="1" si="1"/>
        <v>R</v>
      </c>
      <c r="F45" s="348"/>
      <c r="G45" s="349">
        <f t="shared" ca="1" si="2"/>
        <v>40</v>
      </c>
      <c r="H45" s="350"/>
      <c r="I45" s="237"/>
      <c r="J45" s="191"/>
      <c r="K45" s="237"/>
      <c r="N45" s="237"/>
      <c r="Q45" s="237"/>
      <c r="T45" s="237"/>
      <c r="W45" s="237"/>
      <c r="AF45" s="169">
        <f t="shared" si="3"/>
        <v>0</v>
      </c>
      <c r="AG45" s="169" t="str">
        <f t="shared" ca="1" si="4"/>
        <v/>
      </c>
      <c r="AH45" s="169" t="str">
        <f t="shared" ca="1" si="19"/>
        <v/>
      </c>
      <c r="AJ45" s="169">
        <f t="shared" ca="1" si="5"/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6"/>
        <v/>
      </c>
      <c r="AQ45" s="207" t="s">
        <v>303</v>
      </c>
      <c r="AR45" s="207" t="s">
        <v>141</v>
      </c>
      <c r="AS45" s="207">
        <v>18</v>
      </c>
      <c r="AT45" s="207" t="s">
        <v>304</v>
      </c>
      <c r="AV45" s="168">
        <f t="shared" si="21"/>
        <v>26</v>
      </c>
      <c r="AW45" s="168">
        <f>COUNTIF( AV$7:AV45, AV45 )</f>
        <v>15</v>
      </c>
      <c r="AX45" s="208">
        <f t="shared" si="22"/>
        <v>27.5</v>
      </c>
      <c r="AY45" s="168">
        <f t="shared" si="23"/>
        <v>40</v>
      </c>
      <c r="AZ45" s="169"/>
      <c r="BA45" s="169"/>
      <c r="BC45" s="168">
        <f t="shared" ca="1" si="24"/>
        <v>39</v>
      </c>
      <c r="BD45" s="209">
        <f t="shared" ca="1" si="8"/>
        <v>37</v>
      </c>
      <c r="BF45" s="173" t="str">
        <f t="shared" ca="1" si="25"/>
        <v>PG&amp;E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PCG</v>
      </c>
    </row>
    <row r="46" spans="1:61" ht="13.8" x14ac:dyDescent="0.25">
      <c r="A46" s="223" t="s">
        <v>303</v>
      </c>
      <c r="B46" s="224" t="s">
        <v>141</v>
      </c>
      <c r="C46" s="224">
        <v>18</v>
      </c>
      <c r="D46" s="224" t="s">
        <v>304</v>
      </c>
      <c r="E46" s="225" t="str">
        <f t="shared" ca="1" si="1"/>
        <v>R</v>
      </c>
      <c r="F46" s="348"/>
      <c r="G46" s="349">
        <f t="shared" ca="1" si="2"/>
        <v>42</v>
      </c>
      <c r="H46" s="350"/>
      <c r="I46" s="191"/>
      <c r="K46" s="191"/>
      <c r="N46" s="351"/>
      <c r="W46" s="191"/>
      <c r="AF46" s="169">
        <f t="shared" si="3"/>
        <v>0</v>
      </c>
      <c r="AG46" s="169" t="str">
        <f t="shared" ca="1" si="4"/>
        <v/>
      </c>
      <c r="AH46" s="169" t="str">
        <f t="shared" ca="1" si="19"/>
        <v/>
      </c>
      <c r="AJ46" s="169">
        <f t="shared" ca="1" si="5"/>
        <v>46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6"/>
        <v/>
      </c>
      <c r="AQ46" s="207" t="s">
        <v>285</v>
      </c>
      <c r="AR46" s="207" t="s">
        <v>141</v>
      </c>
      <c r="AS46" s="207">
        <v>18</v>
      </c>
      <c r="AT46" s="207" t="s">
        <v>286</v>
      </c>
      <c r="AV46" s="168">
        <f t="shared" si="21"/>
        <v>26</v>
      </c>
      <c r="AW46" s="168">
        <f>COUNTIF( AV$7:AV46, AV46 )</f>
        <v>16</v>
      </c>
      <c r="AX46" s="208">
        <f t="shared" si="22"/>
        <v>27.6</v>
      </c>
      <c r="AY46" s="168">
        <f t="shared" si="23"/>
        <v>41</v>
      </c>
      <c r="AZ46" s="169"/>
      <c r="BA46" s="169"/>
      <c r="BC46" s="168">
        <f t="shared" ca="1" si="24"/>
        <v>40</v>
      </c>
      <c r="BD46" s="209">
        <f t="shared" ca="1" si="8"/>
        <v>39</v>
      </c>
      <c r="BF46" s="173" t="str">
        <f t="shared" ca="1" si="25"/>
        <v>PNM Resources, Inc.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PNM</v>
      </c>
    </row>
    <row r="47" spans="1:61" ht="13.8" x14ac:dyDescent="0.25">
      <c r="A47" s="223" t="s">
        <v>285</v>
      </c>
      <c r="B47" s="224" t="s">
        <v>141</v>
      </c>
      <c r="C47" s="224">
        <v>18</v>
      </c>
      <c r="D47" s="224" t="s">
        <v>286</v>
      </c>
      <c r="E47" s="225" t="str">
        <f t="shared" ca="1" si="1"/>
        <v>R</v>
      </c>
      <c r="F47" s="348"/>
      <c r="G47" s="349">
        <f t="shared" ca="1" si="2"/>
        <v>43</v>
      </c>
      <c r="H47" s="350"/>
      <c r="I47" s="350"/>
      <c r="J47" s="187" t="s">
        <v>373</v>
      </c>
      <c r="K47" s="191"/>
      <c r="M47" s="351"/>
      <c r="N47" s="351"/>
      <c r="AF47" s="169">
        <f t="shared" si="3"/>
        <v>0</v>
      </c>
      <c r="AG47" s="169" t="str">
        <f t="shared" ca="1" si="4"/>
        <v/>
      </c>
      <c r="AH47" s="169" t="str">
        <f t="shared" ca="1" si="19"/>
        <v/>
      </c>
      <c r="AJ47" s="169">
        <f t="shared" ca="1" si="5"/>
        <v>47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6"/>
        <v/>
      </c>
      <c r="AQ47" s="207" t="s">
        <v>243</v>
      </c>
      <c r="AR47" s="207" t="s">
        <v>141</v>
      </c>
      <c r="AS47" s="207">
        <v>18</v>
      </c>
      <c r="AT47" s="207" t="s">
        <v>244</v>
      </c>
      <c r="AV47" s="168">
        <f t="shared" si="21"/>
        <v>26</v>
      </c>
      <c r="AW47" s="168">
        <f>COUNTIF( AV$7:AV47, AV47 )</f>
        <v>17</v>
      </c>
      <c r="AX47" s="208">
        <f t="shared" si="22"/>
        <v>27.7</v>
      </c>
      <c r="AY47" s="168">
        <f t="shared" si="23"/>
        <v>42</v>
      </c>
      <c r="AZ47" s="169"/>
      <c r="BA47" s="169"/>
      <c r="BC47" s="168">
        <f t="shared" ca="1" si="24"/>
        <v>41</v>
      </c>
      <c r="BD47" s="209">
        <f t="shared" ca="1" si="8"/>
        <v>40</v>
      </c>
      <c r="BF47" s="173" t="str">
        <f t="shared" ca="1" si="25"/>
        <v>Portland General Electric Company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POR</v>
      </c>
    </row>
    <row r="48" spans="1:61" ht="13.8" x14ac:dyDescent="0.25">
      <c r="A48" s="223" t="s">
        <v>243</v>
      </c>
      <c r="B48" s="224" t="s">
        <v>141</v>
      </c>
      <c r="C48" s="224">
        <v>18</v>
      </c>
      <c r="D48" s="224" t="s">
        <v>244</v>
      </c>
      <c r="E48" s="225" t="str">
        <f t="shared" ca="1" si="1"/>
        <v>MR</v>
      </c>
      <c r="F48" s="348"/>
      <c r="G48" s="349">
        <f t="shared" ca="1" si="2"/>
        <v>44</v>
      </c>
      <c r="H48" s="350"/>
      <c r="I48" s="350"/>
      <c r="K48" s="191"/>
      <c r="M48" s="351"/>
      <c r="N48" s="351"/>
      <c r="AF48" s="169">
        <f t="shared" si="3"/>
        <v>0</v>
      </c>
      <c r="AG48" s="169" t="str">
        <f t="shared" ca="1" si="4"/>
        <v/>
      </c>
      <c r="AH48" s="169" t="str">
        <f t="shared" ca="1" si="19"/>
        <v/>
      </c>
      <c r="AJ48" s="169">
        <f t="shared" ca="1" si="5"/>
        <v>48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6"/>
        <v/>
      </c>
      <c r="AQ48" s="207" t="s">
        <v>289</v>
      </c>
      <c r="AR48" s="207" t="s">
        <v>140</v>
      </c>
      <c r="AS48" s="207">
        <v>19</v>
      </c>
      <c r="AT48" s="207" t="s">
        <v>290</v>
      </c>
      <c r="AV48" s="168">
        <f t="shared" si="21"/>
        <v>14</v>
      </c>
      <c r="AW48" s="168">
        <f>COUNTIF( AV$7:AV48, AV48 )</f>
        <v>9</v>
      </c>
      <c r="AX48" s="208">
        <f t="shared" si="22"/>
        <v>14.9</v>
      </c>
      <c r="AY48" s="168">
        <f t="shared" si="23"/>
        <v>22</v>
      </c>
      <c r="AZ48" s="169"/>
      <c r="BA48" s="169"/>
      <c r="BC48" s="168">
        <f t="shared" ca="1" si="24"/>
        <v>42</v>
      </c>
      <c r="BD48" s="209">
        <f t="shared" ca="1" si="8"/>
        <v>41</v>
      </c>
      <c r="BF48" s="173" t="str">
        <f t="shared" ca="1" si="25"/>
        <v>PPL Corporation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PPL</v>
      </c>
    </row>
    <row r="49" spans="1:61" ht="13.8" x14ac:dyDescent="0.25">
      <c r="A49" s="223" t="s">
        <v>389</v>
      </c>
      <c r="B49" s="224" t="s">
        <v>141</v>
      </c>
      <c r="C49" s="224">
        <v>18</v>
      </c>
      <c r="D49" s="224" t="s">
        <v>390</v>
      </c>
      <c r="E49" s="225" t="str">
        <f t="shared" ca="1" si="1"/>
        <v>R</v>
      </c>
      <c r="F49" s="348"/>
      <c r="G49" s="349">
        <f t="shared" ca="1" si="2"/>
        <v>50</v>
      </c>
      <c r="H49" s="350"/>
      <c r="I49" s="350"/>
      <c r="J49" s="191"/>
      <c r="K49" s="191"/>
      <c r="M49" s="351"/>
      <c r="N49" s="351"/>
      <c r="AF49" s="169">
        <f t="shared" si="3"/>
        <v>0</v>
      </c>
      <c r="AG49" s="169" t="str">
        <f t="shared" ca="1" si="4"/>
        <v/>
      </c>
      <c r="AH49" s="169" t="str">
        <f t="shared" ca="1" si="19"/>
        <v/>
      </c>
      <c r="AJ49" s="169">
        <f t="shared" ca="1" si="5"/>
        <v>49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6"/>
        <v/>
      </c>
      <c r="AQ49" s="207" t="s">
        <v>305</v>
      </c>
      <c r="AR49" s="207" t="s">
        <v>142</v>
      </c>
      <c r="AS49" s="207">
        <v>17</v>
      </c>
      <c r="AT49" s="207" t="s">
        <v>306</v>
      </c>
      <c r="AV49" s="168">
        <f t="shared" si="21"/>
        <v>45</v>
      </c>
      <c r="AW49" s="168">
        <f>COUNTIF( AV$7:AV49, AV49 )</f>
        <v>5</v>
      </c>
      <c r="AX49" s="208">
        <f t="shared" si="22"/>
        <v>45.5</v>
      </c>
      <c r="AY49" s="168">
        <f t="shared" si="23"/>
        <v>49</v>
      </c>
      <c r="AZ49" s="169"/>
      <c r="BA49" s="169"/>
      <c r="BC49" s="168">
        <f t="shared" ca="1" si="24"/>
        <v>43</v>
      </c>
      <c r="BD49" s="209">
        <f t="shared" ca="1" si="8"/>
        <v>48</v>
      </c>
      <c r="BF49" s="173" t="str">
        <f t="shared" ca="1" si="25"/>
        <v>UIL Holdings Corporation</v>
      </c>
      <c r="BG49" s="173" t="str">
        <f t="shared" ca="1" si="25"/>
        <v>BBB</v>
      </c>
      <c r="BH49" s="173">
        <f t="shared" ca="1" si="25"/>
        <v>18</v>
      </c>
      <c r="BI49" s="173" t="str">
        <f t="shared" ca="1" si="25"/>
        <v>UIL</v>
      </c>
    </row>
    <row r="50" spans="1:61" ht="13.8" x14ac:dyDescent="0.25">
      <c r="A50" s="223" t="s">
        <v>354</v>
      </c>
      <c r="B50" s="224" t="s">
        <v>141</v>
      </c>
      <c r="C50" s="224">
        <v>18</v>
      </c>
      <c r="D50" s="224" t="s">
        <v>355</v>
      </c>
      <c r="E50" s="225" t="str">
        <f t="shared" ca="1" si="1"/>
        <v>R</v>
      </c>
      <c r="F50" s="348"/>
      <c r="G50" s="349">
        <f t="shared" ca="1" si="2"/>
        <v>54</v>
      </c>
      <c r="H50" s="350"/>
      <c r="I50" s="350"/>
      <c r="J50" s="191"/>
      <c r="K50" s="191"/>
      <c r="M50" s="351"/>
      <c r="N50" s="351"/>
      <c r="AF50" s="169">
        <f t="shared" si="3"/>
        <v>0</v>
      </c>
      <c r="AG50" s="169" t="str">
        <f t="shared" ca="1" si="4"/>
        <v/>
      </c>
      <c r="AH50" s="169" t="str">
        <f t="shared" ca="1" si="19"/>
        <v/>
      </c>
      <c r="AJ50" s="169">
        <f t="shared" ca="1" si="5"/>
        <v>50</v>
      </c>
      <c r="AK50" s="169" t="str">
        <f t="shared" ca="1" si="20"/>
        <v>BBB</v>
      </c>
      <c r="AL50" s="169">
        <f t="shared" ca="1" si="20"/>
        <v>18</v>
      </c>
      <c r="AM50" s="169" t="str">
        <f t="shared" ca="1" si="6"/>
        <v/>
      </c>
      <c r="AQ50" s="207" t="s">
        <v>347</v>
      </c>
      <c r="AR50" s="207" t="s">
        <v>140</v>
      </c>
      <c r="AS50" s="207">
        <v>19</v>
      </c>
      <c r="AT50" s="207" t="s">
        <v>348</v>
      </c>
      <c r="AV50" s="168">
        <f t="shared" si="21"/>
        <v>14</v>
      </c>
      <c r="AW50" s="168">
        <f>COUNTIF( AV$7:AV50, AV50 )</f>
        <v>10</v>
      </c>
      <c r="AX50" s="208">
        <f t="shared" si="22"/>
        <v>15</v>
      </c>
      <c r="AY50" s="168">
        <f t="shared" si="23"/>
        <v>23</v>
      </c>
      <c r="AZ50" s="169"/>
      <c r="BA50" s="169"/>
      <c r="BC50" s="168">
        <f t="shared" ca="1" si="24"/>
        <v>44</v>
      </c>
      <c r="BD50" s="209">
        <f t="shared" ca="1" si="8"/>
        <v>50</v>
      </c>
      <c r="BF50" s="173" t="str">
        <f t="shared" ca="1" si="25"/>
        <v>Westar Energy, Inc.</v>
      </c>
      <c r="BG50" s="173" t="str">
        <f t="shared" ca="1" si="25"/>
        <v>BBB</v>
      </c>
      <c r="BH50" s="173">
        <f t="shared" ca="1" si="25"/>
        <v>18</v>
      </c>
      <c r="BI50" s="173" t="str">
        <f t="shared" ca="1" si="25"/>
        <v>WR</v>
      </c>
    </row>
    <row r="51" spans="1:61" ht="13.8" x14ac:dyDescent="0.25">
      <c r="A51" s="223" t="s">
        <v>265</v>
      </c>
      <c r="B51" s="224" t="s">
        <v>142</v>
      </c>
      <c r="C51" s="224">
        <v>17</v>
      </c>
      <c r="D51" s="224" t="s">
        <v>266</v>
      </c>
      <c r="E51" s="225" t="str">
        <f t="shared" ca="1" si="1"/>
        <v>R</v>
      </c>
      <c r="F51" s="348"/>
      <c r="G51" s="349">
        <f t="shared" ca="1" si="2"/>
        <v>20</v>
      </c>
      <c r="H51" s="350"/>
      <c r="I51" s="350"/>
      <c r="J51" s="191"/>
      <c r="K51" s="191"/>
      <c r="M51" s="351"/>
      <c r="N51" s="351"/>
      <c r="AF51" s="169">
        <f t="shared" si="3"/>
        <v>1</v>
      </c>
      <c r="AG51" s="169" t="str">
        <f t="shared" ca="1" si="4"/>
        <v/>
      </c>
      <c r="AH51" s="169" t="str">
        <f t="shared" ca="1" si="19"/>
        <v/>
      </c>
      <c r="AJ51" s="169">
        <f t="shared" ca="1" si="5"/>
        <v>51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6"/>
        <v/>
      </c>
      <c r="AQ51" s="207" t="s">
        <v>291</v>
      </c>
      <c r="AR51" s="207" t="s">
        <v>140</v>
      </c>
      <c r="AS51" s="207">
        <v>19</v>
      </c>
      <c r="AT51" s="207" t="s">
        <v>292</v>
      </c>
      <c r="AV51" s="168">
        <f t="shared" si="21"/>
        <v>14</v>
      </c>
      <c r="AW51" s="168">
        <f>COUNTIF( AV$7:AV51, AV51 )</f>
        <v>11</v>
      </c>
      <c r="AX51" s="208">
        <f t="shared" si="22"/>
        <v>15.1</v>
      </c>
      <c r="AY51" s="168">
        <f t="shared" si="23"/>
        <v>24</v>
      </c>
      <c r="AZ51" s="169"/>
      <c r="BA51" s="169"/>
      <c r="BC51" s="168">
        <f t="shared" ca="1" si="24"/>
        <v>45</v>
      </c>
      <c r="BD51" s="209">
        <f t="shared" ca="1" si="8"/>
        <v>15</v>
      </c>
      <c r="BF51" s="173" t="str">
        <f t="shared" ca="1" si="25"/>
        <v>Edison International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EIX</v>
      </c>
    </row>
    <row r="52" spans="1:61" ht="13.8" x14ac:dyDescent="0.25">
      <c r="A52" s="223" t="s">
        <v>275</v>
      </c>
      <c r="B52" s="224" t="s">
        <v>142</v>
      </c>
      <c r="C52" s="224">
        <v>17</v>
      </c>
      <c r="D52" s="224" t="s">
        <v>276</v>
      </c>
      <c r="E52" s="225" t="str">
        <f t="shared" ca="1" si="1"/>
        <v>MR</v>
      </c>
      <c r="F52" s="348"/>
      <c r="G52" s="349">
        <f t="shared" ca="1" si="2"/>
        <v>25</v>
      </c>
      <c r="H52" s="350"/>
      <c r="I52" s="350"/>
      <c r="J52" s="191"/>
      <c r="K52" s="191"/>
      <c r="AF52" s="169">
        <f t="shared" si="3"/>
        <v>1</v>
      </c>
      <c r="AG52" s="169" t="str">
        <f t="shared" ca="1" si="4"/>
        <v/>
      </c>
      <c r="AH52" s="169" t="str">
        <f t="shared" ca="1" si="19"/>
        <v/>
      </c>
      <c r="AJ52" s="169">
        <f t="shared" ca="1" si="5"/>
        <v>52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6"/>
        <v/>
      </c>
      <c r="AQ52" s="207" t="s">
        <v>293</v>
      </c>
      <c r="AR52" s="207" t="s">
        <v>166</v>
      </c>
      <c r="AS52" s="207">
        <v>21</v>
      </c>
      <c r="AT52" s="207" t="s">
        <v>294</v>
      </c>
      <c r="AV52" s="168">
        <f t="shared" si="21"/>
        <v>1</v>
      </c>
      <c r="AW52" s="168">
        <f>COUNTIF( AV$7:AV52, AV52 )</f>
        <v>1</v>
      </c>
      <c r="AX52" s="208">
        <f t="shared" si="22"/>
        <v>1.1000000000000001</v>
      </c>
      <c r="AY52" s="168">
        <f t="shared" si="23"/>
        <v>1</v>
      </c>
      <c r="AZ52" s="169"/>
      <c r="BA52" s="169"/>
      <c r="BC52" s="168">
        <f t="shared" ca="1" si="24"/>
        <v>46</v>
      </c>
      <c r="BD52" s="209">
        <f t="shared" ca="1" si="8"/>
        <v>21</v>
      </c>
      <c r="BF52" s="173" t="str">
        <f t="shared" ca="1" si="25"/>
        <v>FirstEnergy Corp.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FE</v>
      </c>
    </row>
    <row r="53" spans="1:61" ht="13.8" x14ac:dyDescent="0.25">
      <c r="A53" s="223" t="s">
        <v>279</v>
      </c>
      <c r="B53" s="224" t="s">
        <v>142</v>
      </c>
      <c r="C53" s="224">
        <v>17</v>
      </c>
      <c r="D53" s="224" t="s">
        <v>280</v>
      </c>
      <c r="E53" s="225" t="str">
        <f t="shared" ca="1" si="1"/>
        <v>MR</v>
      </c>
      <c r="F53" s="348"/>
      <c r="G53" s="349">
        <f t="shared" ca="1" si="2"/>
        <v>27</v>
      </c>
      <c r="H53" s="350"/>
      <c r="I53" s="350"/>
      <c r="J53" s="191"/>
      <c r="K53" s="191"/>
      <c r="AF53" s="169">
        <f t="shared" si="3"/>
        <v>1</v>
      </c>
      <c r="AG53" s="169" t="str">
        <f t="shared" ca="1" si="4"/>
        <v/>
      </c>
      <c r="AH53" s="169" t="str">
        <f t="shared" ca="1" si="19"/>
        <v/>
      </c>
      <c r="AJ53" s="169">
        <f t="shared" ca="1" si="5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6"/>
        <v/>
      </c>
      <c r="AQ53" s="207" t="s">
        <v>369</v>
      </c>
      <c r="AR53" s="207" t="s">
        <v>140</v>
      </c>
      <c r="AS53" s="207">
        <v>19</v>
      </c>
      <c r="AT53" s="207" t="s">
        <v>375</v>
      </c>
      <c r="AV53" s="168">
        <f t="shared" si="21"/>
        <v>14</v>
      </c>
      <c r="AW53" s="168">
        <f>COUNTIF( AV$7:AV53, AV53 )</f>
        <v>12</v>
      </c>
      <c r="AX53" s="208">
        <f t="shared" si="22"/>
        <v>15.2</v>
      </c>
      <c r="AY53" s="168">
        <f t="shared" si="23"/>
        <v>25</v>
      </c>
      <c r="AZ53" s="169"/>
      <c r="BA53" s="169"/>
      <c r="BC53" s="168">
        <f t="shared" ca="1" si="24"/>
        <v>47</v>
      </c>
      <c r="BD53" s="209">
        <f t="shared" ca="1" si="8"/>
        <v>23</v>
      </c>
      <c r="BF53" s="173" t="str">
        <f t="shared" ca="1" si="25"/>
        <v>Hawaiian Electric Industries,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HE</v>
      </c>
    </row>
    <row r="54" spans="1:61" ht="13.8" x14ac:dyDescent="0.25">
      <c r="A54" s="223" t="s">
        <v>273</v>
      </c>
      <c r="B54" s="224" t="s">
        <v>142</v>
      </c>
      <c r="C54" s="224">
        <v>17</v>
      </c>
      <c r="D54" s="224" t="s">
        <v>274</v>
      </c>
      <c r="E54" s="225" t="str">
        <f t="shared" ca="1" si="1"/>
        <v>MR</v>
      </c>
      <c r="F54" s="348"/>
      <c r="G54" s="349">
        <f t="shared" ca="1" si="2"/>
        <v>33</v>
      </c>
      <c r="H54" s="350"/>
      <c r="I54" s="350"/>
      <c r="J54" s="191"/>
      <c r="K54" s="191"/>
      <c r="AF54" s="169">
        <f t="shared" si="3"/>
        <v>1</v>
      </c>
      <c r="AG54" s="169" t="str">
        <f t="shared" ca="1" si="4"/>
        <v/>
      </c>
      <c r="AH54" s="169" t="str">
        <f t="shared" ca="1" si="19"/>
        <v/>
      </c>
      <c r="AJ54" s="169">
        <f t="shared" ca="1" si="5"/>
        <v>54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6"/>
        <v/>
      </c>
      <c r="AQ54" s="207" t="s">
        <v>389</v>
      </c>
      <c r="AR54" s="207" t="s">
        <v>141</v>
      </c>
      <c r="AS54" s="207">
        <v>18</v>
      </c>
      <c r="AT54" s="207" t="s">
        <v>390</v>
      </c>
      <c r="AV54" s="168">
        <f t="shared" si="21"/>
        <v>26</v>
      </c>
      <c r="AW54" s="168">
        <f>COUNTIF( AV$7:AV54, AV54 )</f>
        <v>18</v>
      </c>
      <c r="AX54" s="208">
        <f t="shared" si="22"/>
        <v>27.8</v>
      </c>
      <c r="AY54" s="168">
        <f t="shared" si="23"/>
        <v>43</v>
      </c>
      <c r="AZ54" s="169"/>
      <c r="BA54" s="169"/>
      <c r="BC54" s="168">
        <f t="shared" ca="1" si="24"/>
        <v>48</v>
      </c>
      <c r="BD54" s="209">
        <f t="shared" ca="1" si="8"/>
        <v>31</v>
      </c>
      <c r="BF54" s="173" t="str">
        <f t="shared" ca="1" si="25"/>
        <v>NiSource Inc.</v>
      </c>
      <c r="BG54" s="173" t="str">
        <f t="shared" ca="1" si="25"/>
        <v>BBB-</v>
      </c>
      <c r="BH54" s="173">
        <f t="shared" ca="1" si="25"/>
        <v>17</v>
      </c>
      <c r="BI54" s="173" t="str">
        <f t="shared" ca="1" si="25"/>
        <v>NI</v>
      </c>
    </row>
    <row r="55" spans="1:61" ht="13.8" x14ac:dyDescent="0.25">
      <c r="A55" s="223" t="s">
        <v>305</v>
      </c>
      <c r="B55" s="224" t="s">
        <v>142</v>
      </c>
      <c r="C55" s="224">
        <v>17</v>
      </c>
      <c r="D55" s="224" t="s">
        <v>306</v>
      </c>
      <c r="E55" s="225" t="str">
        <f t="shared" ca="1" si="1"/>
        <v>R</v>
      </c>
      <c r="F55" s="348"/>
      <c r="G55" s="349">
        <f t="shared" ca="1" si="2"/>
        <v>63</v>
      </c>
      <c r="H55" s="350"/>
      <c r="I55" s="350"/>
      <c r="J55" s="191"/>
      <c r="K55" s="191"/>
      <c r="AF55" s="169">
        <f t="shared" si="3"/>
        <v>1</v>
      </c>
      <c r="AG55" s="169" t="str">
        <f t="shared" ca="1" si="4"/>
        <v/>
      </c>
      <c r="AH55" s="169" t="str">
        <f t="shared" ca="1" si="19"/>
        <v/>
      </c>
      <c r="AJ55" s="169">
        <f t="shared" ca="1" si="5"/>
        <v>55</v>
      </c>
      <c r="AK55" s="169" t="str">
        <f t="shared" ca="1" si="20"/>
        <v>BBB-</v>
      </c>
      <c r="AL55" s="169">
        <f t="shared" ca="1" si="20"/>
        <v>17</v>
      </c>
      <c r="AM55" s="169" t="str">
        <f t="shared" ca="1" si="6"/>
        <v/>
      </c>
      <c r="AQ55" s="207" t="s">
        <v>345</v>
      </c>
      <c r="AR55" s="207" t="s">
        <v>139</v>
      </c>
      <c r="AS55" s="207">
        <v>20</v>
      </c>
      <c r="AT55" s="207" t="s">
        <v>346</v>
      </c>
      <c r="AV55" s="168">
        <f t="shared" si="21"/>
        <v>2</v>
      </c>
      <c r="AW55" s="168">
        <f>COUNTIF( AV$7:AV55, AV55 )</f>
        <v>10</v>
      </c>
      <c r="AX55" s="208">
        <f t="shared" si="22"/>
        <v>3</v>
      </c>
      <c r="AY55" s="168">
        <f t="shared" si="23"/>
        <v>11</v>
      </c>
      <c r="AZ55" s="169"/>
      <c r="BA55" s="169"/>
      <c r="BC55" s="168">
        <f t="shared" ca="1" si="24"/>
        <v>49</v>
      </c>
      <c r="BD55" s="209">
        <f t="shared" ca="1" si="8"/>
        <v>43</v>
      </c>
      <c r="BF55" s="173" t="str">
        <f t="shared" ca="1" si="25"/>
        <v>Puget Energy, Inc.</v>
      </c>
      <c r="BG55" s="173" t="str">
        <f t="shared" ca="1" si="25"/>
        <v>BBB-</v>
      </c>
      <c r="BH55" s="173">
        <f t="shared" ca="1" si="25"/>
        <v>17</v>
      </c>
      <c r="BI55" s="173" t="str">
        <f t="shared" ca="1" si="25"/>
        <v>**PSD</v>
      </c>
    </row>
    <row r="56" spans="1:61" ht="13.8" x14ac:dyDescent="0.25">
      <c r="A56" s="223" t="s">
        <v>287</v>
      </c>
      <c r="B56" s="224" t="s">
        <v>173</v>
      </c>
      <c r="C56" s="224">
        <v>16</v>
      </c>
      <c r="D56" s="224" t="s">
        <v>288</v>
      </c>
      <c r="E56" s="225" t="str">
        <f t="shared" ca="1" si="1"/>
        <v>R</v>
      </c>
      <c r="F56" s="348"/>
      <c r="G56" s="349">
        <f t="shared" ca="1" si="2"/>
        <v>61</v>
      </c>
      <c r="H56" s="350"/>
      <c r="I56" s="350"/>
      <c r="J56" s="191"/>
      <c r="K56" s="191"/>
      <c r="AF56" s="169">
        <f t="shared" si="3"/>
        <v>0</v>
      </c>
      <c r="AG56" s="169" t="str">
        <f t="shared" ca="1" si="4"/>
        <v/>
      </c>
      <c r="AH56" s="169" t="str">
        <f t="shared" ca="1" si="19"/>
        <v/>
      </c>
      <c r="AJ56" s="169">
        <f t="shared" ca="1" si="5"/>
        <v>56</v>
      </c>
      <c r="AK56" s="169" t="str">
        <f t="shared" ca="1" si="20"/>
        <v>BB+</v>
      </c>
      <c r="AL56" s="169">
        <f t="shared" ca="1" si="20"/>
        <v>16</v>
      </c>
      <c r="AM56" s="169" t="str">
        <f t="shared" ca="1" si="6"/>
        <v/>
      </c>
      <c r="AQ56" s="207" t="s">
        <v>354</v>
      </c>
      <c r="AR56" s="207" t="s">
        <v>141</v>
      </c>
      <c r="AS56" s="207">
        <v>18</v>
      </c>
      <c r="AT56" s="207" t="s">
        <v>355</v>
      </c>
      <c r="AV56" s="168">
        <f t="shared" si="21"/>
        <v>26</v>
      </c>
      <c r="AW56" s="168">
        <f>COUNTIF( AV$7:AV56, AV56 )</f>
        <v>19</v>
      </c>
      <c r="AX56" s="208">
        <f t="shared" si="22"/>
        <v>27.9</v>
      </c>
      <c r="AY56" s="168">
        <f t="shared" si="23"/>
        <v>44</v>
      </c>
      <c r="AZ56" s="169"/>
      <c r="BA56" s="169"/>
      <c r="BC56" s="168">
        <f t="shared" ca="1" si="24"/>
        <v>50</v>
      </c>
      <c r="BD56" s="209">
        <f t="shared" ca="1" si="8"/>
        <v>27</v>
      </c>
      <c r="BF56" s="173" t="str">
        <f t="shared" ca="1" si="25"/>
        <v>IPALCO Enterprises, Inc.</v>
      </c>
      <c r="BG56" s="173" t="str">
        <f t="shared" ca="1" si="25"/>
        <v>BB+</v>
      </c>
      <c r="BH56" s="173">
        <f t="shared" ca="1" si="25"/>
        <v>16</v>
      </c>
      <c r="BI56" s="173" t="str">
        <f t="shared" ca="1" si="25"/>
        <v>**IPALCO</v>
      </c>
    </row>
    <row r="57" spans="1:61" ht="13.8" x14ac:dyDescent="0.25">
      <c r="A57" s="223" t="s">
        <v>259</v>
      </c>
      <c r="B57" s="224" t="s">
        <v>175</v>
      </c>
      <c r="C57" s="224">
        <v>15</v>
      </c>
      <c r="D57" s="224" t="s">
        <v>260</v>
      </c>
      <c r="E57" s="225" t="str">
        <f t="shared" ca="1" si="1"/>
        <v>R</v>
      </c>
      <c r="F57" s="348"/>
      <c r="G57" s="349">
        <f t="shared" ca="1" si="2"/>
        <v>59</v>
      </c>
      <c r="H57" s="350"/>
      <c r="I57" s="350"/>
      <c r="J57" s="191"/>
      <c r="K57" s="191"/>
      <c r="AF57" s="169">
        <f t="shared" si="3"/>
        <v>1</v>
      </c>
      <c r="AG57" s="169" t="str">
        <f t="shared" ca="1" si="4"/>
        <v/>
      </c>
      <c r="AH57" s="169" t="str">
        <f t="shared" ca="1" si="19"/>
        <v/>
      </c>
      <c r="AJ57" s="169">
        <f t="shared" ca="1" si="5"/>
        <v>57</v>
      </c>
      <c r="AK57" s="169" t="str">
        <f t="shared" ca="1" si="20"/>
        <v>BB</v>
      </c>
      <c r="AL57" s="169">
        <f t="shared" ca="1" si="20"/>
        <v>15</v>
      </c>
      <c r="AM57" s="169" t="str">
        <f t="shared" ca="1" si="6"/>
        <v/>
      </c>
      <c r="AQ57" s="207" t="s">
        <v>247</v>
      </c>
      <c r="AR57" s="207" t="s">
        <v>139</v>
      </c>
      <c r="AS57" s="207">
        <v>20</v>
      </c>
      <c r="AT57" s="207" t="s">
        <v>248</v>
      </c>
      <c r="AV57" s="168">
        <f t="shared" si="21"/>
        <v>2</v>
      </c>
      <c r="AW57" s="168">
        <f>COUNTIF( AV$7:AV57, AV57 )</f>
        <v>11</v>
      </c>
      <c r="AX57" s="208">
        <f t="shared" si="22"/>
        <v>3.1</v>
      </c>
      <c r="AY57" s="168">
        <f t="shared" si="23"/>
        <v>12</v>
      </c>
      <c r="AZ57" s="169"/>
      <c r="BA57" s="169"/>
      <c r="BC57" s="168">
        <f t="shared" ca="1" si="24"/>
        <v>51</v>
      </c>
      <c r="BD57" s="209">
        <f t="shared" ca="1" si="8"/>
        <v>12</v>
      </c>
      <c r="BF57" s="173" t="str">
        <f t="shared" ca="1" si="25"/>
        <v>DPL Inc.</v>
      </c>
      <c r="BG57" s="173" t="str">
        <f t="shared" ca="1" si="25"/>
        <v>BB</v>
      </c>
      <c r="BH57" s="173">
        <f t="shared" ca="1" si="25"/>
        <v>15</v>
      </c>
      <c r="BI57" s="173" t="str">
        <f t="shared" ca="1" si="25"/>
        <v>**DPL</v>
      </c>
    </row>
    <row r="58" spans="1:61" ht="13.8" x14ac:dyDescent="0.25">
      <c r="A58" s="223" t="s">
        <v>371</v>
      </c>
      <c r="B58" s="224" t="s">
        <v>189</v>
      </c>
      <c r="C58" s="224">
        <v>8</v>
      </c>
      <c r="D58" s="224" t="s">
        <v>359</v>
      </c>
      <c r="E58" s="225" t="str">
        <f t="shared" ca="1" si="1"/>
        <v>D</v>
      </c>
      <c r="F58" s="348"/>
      <c r="G58" s="349">
        <f t="shared" ca="1" si="2"/>
        <v>60</v>
      </c>
      <c r="H58" s="350"/>
      <c r="I58" s="350"/>
      <c r="J58" s="191"/>
      <c r="K58" s="191"/>
      <c r="AF58" s="169">
        <f t="shared" si="3"/>
        <v>0</v>
      </c>
      <c r="AG58" s="169" t="str">
        <f t="shared" ca="1" si="4"/>
        <v/>
      </c>
      <c r="AH58" s="169" t="str">
        <f t="shared" ca="1" si="19"/>
        <v/>
      </c>
      <c r="AJ58" s="169">
        <f t="shared" ca="1" si="5"/>
        <v>58</v>
      </c>
      <c r="AK58" s="169" t="str">
        <f t="shared" ca="1" si="20"/>
        <v>CCC-</v>
      </c>
      <c r="AL58" s="169">
        <f t="shared" ca="1" si="20"/>
        <v>8</v>
      </c>
      <c r="AM58" s="169" t="str">
        <f t="shared" ca="1" si="6"/>
        <v/>
      </c>
      <c r="AQ58" s="207" t="s">
        <v>251</v>
      </c>
      <c r="AR58" s="207" t="s">
        <v>139</v>
      </c>
      <c r="AS58" s="207">
        <v>20</v>
      </c>
      <c r="AT58" s="207" t="s">
        <v>252</v>
      </c>
      <c r="AV58" s="168">
        <f t="shared" si="21"/>
        <v>2</v>
      </c>
      <c r="AW58" s="168">
        <f>COUNTIF( AV$7:AV58, AV58 )</f>
        <v>12</v>
      </c>
      <c r="AX58" s="208">
        <f t="shared" si="22"/>
        <v>3.2</v>
      </c>
      <c r="AY58" s="168">
        <f t="shared" si="23"/>
        <v>13</v>
      </c>
      <c r="AZ58" s="169"/>
      <c r="BA58" s="169"/>
      <c r="BC58" s="168">
        <f t="shared" ca="1" si="24"/>
        <v>52</v>
      </c>
      <c r="BD58" s="209">
        <f t="shared" ca="1" si="8"/>
        <v>18</v>
      </c>
      <c r="BF58" s="173" t="str">
        <f t="shared" ca="1" si="25"/>
        <v>Energy Future Holdings Corp.</v>
      </c>
      <c r="BG58" s="173" t="str">
        <f t="shared" ca="1" si="25"/>
        <v>CCC-</v>
      </c>
      <c r="BH58" s="173">
        <f t="shared" ca="1" si="25"/>
        <v>8</v>
      </c>
      <c r="BI58" s="173" t="str">
        <f t="shared" ca="1" si="25"/>
        <v>**EFH</v>
      </c>
    </row>
    <row r="59" spans="1:61" ht="13.8" x14ac:dyDescent="0.25">
      <c r="A59" s="223"/>
      <c r="B59" s="224"/>
      <c r="C59" s="224"/>
      <c r="D59" s="224"/>
      <c r="E59" s="225"/>
      <c r="F59" s="348"/>
      <c r="G59" s="349" t="str">
        <f t="shared" ca="1" si="2"/>
        <v/>
      </c>
      <c r="H59" s="350"/>
      <c r="I59" s="350"/>
      <c r="J59" s="191"/>
      <c r="K59" s="191"/>
      <c r="AF59" s="169">
        <f t="shared" si="3"/>
        <v>0</v>
      </c>
      <c r="AG59" s="169" t="str">
        <f t="shared" si="4"/>
        <v/>
      </c>
      <c r="AH59" s="169" t="str">
        <f t="shared" si="19"/>
        <v/>
      </c>
      <c r="AJ59" s="169" t="e">
        <f t="shared" ca="1" si="5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6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1</v>
      </c>
      <c r="AX59" s="208">
        <f t="shared" si="22"/>
        <v>99.1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8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3.8" x14ac:dyDescent="0.25">
      <c r="A60" s="180"/>
      <c r="B60" s="181"/>
      <c r="C60" s="181"/>
      <c r="D60" s="181"/>
      <c r="E60" s="182"/>
      <c r="F60" s="350"/>
      <c r="G60" s="353" t="str">
        <f t="shared" ca="1" si="2"/>
        <v/>
      </c>
      <c r="H60" s="350"/>
      <c r="I60" s="350"/>
      <c r="AF60" s="169">
        <f t="shared" si="3"/>
        <v>0</v>
      </c>
      <c r="AG60" s="169" t="str">
        <f t="shared" si="4"/>
        <v/>
      </c>
      <c r="AH60" s="169" t="str">
        <f t="shared" si="19"/>
        <v/>
      </c>
      <c r="AJ60" s="169" t="e">
        <f t="shared" ca="1" si="5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6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2</v>
      </c>
      <c r="AX60" s="208">
        <f t="shared" si="22"/>
        <v>99.2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8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4.4" thickBot="1" x14ac:dyDescent="0.3">
      <c r="A61" s="192"/>
      <c r="B61" s="193"/>
      <c r="C61" s="193"/>
      <c r="D61" s="193"/>
      <c r="E61" s="194"/>
      <c r="F61" s="350"/>
      <c r="G61" s="353" t="str">
        <f t="shared" ca="1" si="2"/>
        <v/>
      </c>
      <c r="H61" s="350"/>
      <c r="I61" s="350"/>
      <c r="AF61" s="169">
        <f t="shared" si="3"/>
        <v>0</v>
      </c>
      <c r="AG61" s="169" t="str">
        <f t="shared" si="4"/>
        <v/>
      </c>
      <c r="AH61" s="169" t="str">
        <f t="shared" si="19"/>
        <v/>
      </c>
      <c r="AJ61" s="169" t="e">
        <f t="shared" ca="1" si="5"/>
        <v>#N/A</v>
      </c>
      <c r="AK61" s="169" t="str">
        <f t="shared" ca="1" si="20"/>
        <v/>
      </c>
      <c r="AL61" s="169" t="str">
        <f t="shared" ca="1" si="20"/>
        <v/>
      </c>
      <c r="AM61" s="169" t="str">
        <f t="shared" ca="1" si="6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3</v>
      </c>
      <c r="AX61" s="208">
        <f t="shared" si="22"/>
        <v>99.3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8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8" x14ac:dyDescent="0.25">
      <c r="A62" s="226" t="s">
        <v>384</v>
      </c>
      <c r="B62" s="227" t="s">
        <v>162</v>
      </c>
      <c r="C62" s="227">
        <v>23</v>
      </c>
      <c r="D62" s="227" t="s">
        <v>309</v>
      </c>
      <c r="E62" s="228" t="str">
        <f ca="1">OFFSET( INDIRECT( E$3 &amp; E$4 ), $G62 - 1, 0 )</f>
        <v>MR</v>
      </c>
      <c r="F62" s="354"/>
      <c r="G62" s="355">
        <f t="shared" ca="1" si="2"/>
        <v>31</v>
      </c>
      <c r="H62" s="350"/>
      <c r="I62" s="350"/>
      <c r="AF62" s="169">
        <f t="shared" si="3"/>
        <v>1</v>
      </c>
      <c r="AG62" s="169" t="str">
        <f t="shared" ca="1" si="4"/>
        <v/>
      </c>
      <c r="AH62" s="169" t="str">
        <f t="shared" ca="1" si="19"/>
        <v/>
      </c>
      <c r="AJ62" s="169">
        <f t="shared" ca="1" si="5"/>
        <v>62</v>
      </c>
      <c r="AK62" s="169" t="str">
        <f t="shared" ca="1" si="20"/>
        <v>AA-</v>
      </c>
      <c r="AL62" s="169">
        <f t="shared" ca="1" si="20"/>
        <v>23</v>
      </c>
      <c r="AM62" s="169" t="str">
        <f t="shared" ca="1" si="6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4</v>
      </c>
      <c r="AX62" s="208">
        <f t="shared" si="22"/>
        <v>99.4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8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 t="s">
        <v>399</v>
      </c>
      <c r="B63" s="224" t="s">
        <v>141</v>
      </c>
      <c r="C63" s="224">
        <v>18</v>
      </c>
      <c r="D63" s="224" t="s">
        <v>400</v>
      </c>
      <c r="E63" s="225" t="str">
        <f ca="1">OFFSET( INDIRECT( E$3 &amp; E$4 ), $G63 - 1, 0 )</f>
        <v>R</v>
      </c>
      <c r="F63" s="348"/>
      <c r="G63" s="349">
        <f t="shared" ca="1" si="2"/>
        <v>52</v>
      </c>
      <c r="H63" s="350"/>
      <c r="I63" s="350"/>
      <c r="AF63" s="169">
        <f t="shared" si="3"/>
        <v>0</v>
      </c>
      <c r="AG63" s="169" t="str">
        <f t="shared" ca="1" si="4"/>
        <v/>
      </c>
      <c r="AH63" s="169" t="str">
        <f t="shared" ca="1" si="19"/>
        <v/>
      </c>
      <c r="AJ63" s="169">
        <f t="shared" ca="1" si="5"/>
        <v>63</v>
      </c>
      <c r="AK63" s="169" t="str">
        <f t="shared" ca="1" si="20"/>
        <v>BBB</v>
      </c>
      <c r="AL63" s="169">
        <f t="shared" ca="1" si="20"/>
        <v>18</v>
      </c>
      <c r="AM63" s="169" t="str">
        <f t="shared" ca="1" si="6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5</v>
      </c>
      <c r="AX63" s="208">
        <f t="shared" si="22"/>
        <v>99.5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 t="s">
        <v>401</v>
      </c>
      <c r="B64" s="224"/>
      <c r="C64" s="224"/>
      <c r="D64" s="224" t="s">
        <v>376</v>
      </c>
      <c r="E64" s="225" t="str">
        <f ca="1">OFFSET( INDIRECT( E$3 &amp; E$4 ), $G64 - 1, 0 )</f>
        <v>R</v>
      </c>
      <c r="F64" s="348"/>
      <c r="G64" s="349">
        <f t="shared" ca="1" si="2"/>
        <v>51</v>
      </c>
      <c r="H64" s="350"/>
      <c r="I64" s="350"/>
      <c r="AF64" s="169">
        <f t="shared" si="3"/>
        <v>0</v>
      </c>
      <c r="AG64" s="169" t="str">
        <f t="shared" si="4"/>
        <v/>
      </c>
      <c r="AH64" s="169" t="str">
        <f t="shared" si="19"/>
        <v/>
      </c>
      <c r="AJ64" s="169">
        <f t="shared" ca="1" si="5"/>
        <v>64</v>
      </c>
      <c r="AK64" s="169">
        <f t="shared" ca="1" si="20"/>
        <v>0</v>
      </c>
      <c r="AL64" s="169">
        <f t="shared" ca="1" si="20"/>
        <v>0</v>
      </c>
      <c r="AM64" s="169" t="str">
        <f t="shared" ca="1" si="6"/>
        <v/>
      </c>
      <c r="AQ64" s="207"/>
      <c r="AR64" s="207"/>
      <c r="AS64" s="207"/>
      <c r="AT64" s="207"/>
      <c r="AU64" s="207"/>
      <c r="AZ64" s="169"/>
      <c r="BA64" s="169"/>
      <c r="BF64" s="169"/>
    </row>
    <row r="65" spans="1:58" ht="13.8" x14ac:dyDescent="0.25">
      <c r="A65" s="223"/>
      <c r="B65" s="229"/>
      <c r="C65" s="224"/>
      <c r="D65" s="224"/>
      <c r="E65" s="225"/>
      <c r="F65" s="348"/>
      <c r="G65" s="349"/>
      <c r="H65" s="350"/>
      <c r="I65" s="350"/>
      <c r="N65" s="168" t="s">
        <v>310</v>
      </c>
      <c r="AF65" s="169">
        <f t="shared" si="3"/>
        <v>0</v>
      </c>
      <c r="AG65" s="169" t="str">
        <f>IF( LEN( $C65 ) = 0, "", IF( $C65 &gt; $AL65, 1, "" ) )</f>
        <v/>
      </c>
      <c r="AH65" s="169" t="str">
        <f t="shared" si="19"/>
        <v/>
      </c>
      <c r="AJ65" s="169" t="e">
        <f t="shared" ca="1" si="5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6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3.8" x14ac:dyDescent="0.25">
      <c r="A66" s="195"/>
      <c r="B66" s="196"/>
      <c r="C66" s="185"/>
      <c r="D66" s="185"/>
      <c r="E66" s="182"/>
      <c r="F66" s="350"/>
      <c r="H66" s="350"/>
      <c r="I66" s="350"/>
      <c r="AF66" s="169">
        <f t="shared" si="3"/>
        <v>0</v>
      </c>
      <c r="AG66" s="169" t="str">
        <f t="shared" ref="AG66:AG67" si="26">IF( LEN( $C66 ) = 0, "", IF( $C66 &gt; $AL66, 1, "" ) )</f>
        <v/>
      </c>
      <c r="AH66" s="169" t="str">
        <f t="shared" si="19"/>
        <v/>
      </c>
      <c r="AJ66" s="169" t="e">
        <f t="shared" ca="1" si="5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6"/>
        <v/>
      </c>
      <c r="AQ66" s="207" t="s">
        <v>384</v>
      </c>
      <c r="AR66" s="207" t="s">
        <v>162</v>
      </c>
      <c r="AS66" s="207">
        <v>23</v>
      </c>
      <c r="AT66" s="207" t="s">
        <v>309</v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50"/>
      <c r="H67" s="350"/>
      <c r="I67" s="350"/>
      <c r="AF67" s="169">
        <f t="shared" si="3"/>
        <v>0</v>
      </c>
      <c r="AG67" s="169" t="str">
        <f t="shared" si="26"/>
        <v/>
      </c>
      <c r="AH67" s="169" t="str">
        <f t="shared" si="19"/>
        <v/>
      </c>
      <c r="AJ67" s="169" t="e">
        <f t="shared" ca="1" si="5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6"/>
        <v/>
      </c>
      <c r="AQ67" s="207" t="s">
        <v>402</v>
      </c>
      <c r="AR67" s="207" t="s">
        <v>141</v>
      </c>
      <c r="AS67" s="207">
        <v>18</v>
      </c>
      <c r="AT67" s="207" t="s">
        <v>400</v>
      </c>
      <c r="AX67" s="208"/>
      <c r="AZ67" s="169"/>
      <c r="BA67" s="169"/>
      <c r="BD67" s="209"/>
      <c r="BF67" s="169"/>
    </row>
    <row r="68" spans="1:58" ht="13.8" x14ac:dyDescent="0.25">
      <c r="A68" s="200" t="s">
        <v>311</v>
      </c>
      <c r="B68" s="189" t="s">
        <v>141</v>
      </c>
      <c r="C68" s="201">
        <f>AVERAGE(C7:C65)</f>
        <v>18.444444444444443</v>
      </c>
      <c r="D68" s="201"/>
      <c r="E68" s="201"/>
      <c r="F68" s="350"/>
      <c r="H68" s="350"/>
      <c r="I68" s="350"/>
      <c r="J68" s="351"/>
      <c r="K68" s="351"/>
      <c r="AQ68" s="207" t="s">
        <v>401</v>
      </c>
      <c r="AR68" s="207"/>
      <c r="AS68" s="207"/>
      <c r="AT68" s="207" t="s">
        <v>376</v>
      </c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50"/>
      <c r="H69" s="350"/>
      <c r="I69" s="350"/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1"/>
      <c r="K70" s="351"/>
    </row>
    <row r="71" spans="1:58" x14ac:dyDescent="0.25">
      <c r="A71" s="203" t="s">
        <v>312</v>
      </c>
      <c r="F71" s="173"/>
      <c r="H71" s="173"/>
      <c r="I71" s="173"/>
    </row>
    <row r="72" spans="1:58" x14ac:dyDescent="0.25">
      <c r="A72" s="203" t="s">
        <v>313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314</v>
      </c>
      <c r="B73" s="173"/>
      <c r="D73" s="173"/>
      <c r="E73" s="173"/>
      <c r="F73" s="204"/>
      <c r="H73" s="204"/>
      <c r="I73" s="204"/>
    </row>
    <row r="74" spans="1:58" x14ac:dyDescent="0.25">
      <c r="A74" s="205" t="s">
        <v>403</v>
      </c>
      <c r="D74" s="204"/>
      <c r="F74" s="206"/>
      <c r="H74" s="206"/>
      <c r="I74" s="206"/>
    </row>
    <row r="75" spans="1:58" x14ac:dyDescent="0.25">
      <c r="A75" s="203" t="s">
        <v>315</v>
      </c>
      <c r="D75" s="204"/>
      <c r="F75" s="206"/>
      <c r="H75" s="206"/>
      <c r="I75" s="206"/>
      <c r="AQ75" s="207"/>
      <c r="AR75" s="207"/>
      <c r="AS75" s="207"/>
    </row>
    <row r="76" spans="1:58" x14ac:dyDescent="0.25">
      <c r="A76" s="203" t="s">
        <v>316</v>
      </c>
      <c r="D76" s="204"/>
      <c r="F76" s="206"/>
      <c r="H76" s="206"/>
      <c r="I76" s="206"/>
      <c r="AQ76" s="207"/>
      <c r="AR76" s="207"/>
      <c r="AS76" s="207"/>
    </row>
    <row r="77" spans="1:58" x14ac:dyDescent="0.25">
      <c r="A77" s="203"/>
      <c r="AQ77" s="207"/>
      <c r="AR77" s="207"/>
      <c r="AS77" s="207"/>
    </row>
    <row r="78" spans="1:58" x14ac:dyDescent="0.25">
      <c r="C78" s="190">
        <f>SUMPRODUCT( L8:L13, Y8:Y13 ) / L14</f>
        <v>18.574074074074073</v>
      </c>
      <c r="E78" s="191"/>
      <c r="G78" s="353"/>
      <c r="J78" s="173"/>
      <c r="K78" s="173"/>
      <c r="AQ78" s="207"/>
      <c r="AR78" s="207"/>
      <c r="AS78" s="207"/>
    </row>
    <row r="79" spans="1:58" s="173" customFormat="1" ht="13.8" x14ac:dyDescent="0.25">
      <c r="A79" s="195"/>
      <c r="B79" s="185"/>
      <c r="C79" s="185"/>
      <c r="D79" s="185"/>
      <c r="E79" s="182"/>
      <c r="F79" s="168"/>
      <c r="G79" s="169"/>
      <c r="H79" s="168"/>
      <c r="I79" s="168"/>
      <c r="Q79" s="168"/>
      <c r="T79" s="169"/>
      <c r="U79" s="169"/>
      <c r="V79" s="169"/>
      <c r="AF79" s="169"/>
      <c r="AG79" s="169"/>
      <c r="AH79" s="169"/>
      <c r="AJ79" s="169"/>
      <c r="AK79" s="169"/>
      <c r="AL79" s="169"/>
      <c r="AM79" s="169"/>
      <c r="AN79" s="169"/>
      <c r="AQ79" s="207"/>
      <c r="AR79" s="207"/>
      <c r="AS79" s="207"/>
    </row>
  </sheetData>
  <sortState ref="AQ7:AT58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7:E59 E62:E65">
    <cfRule type="expression" dxfId="443" priority="28" stopIfTrue="1">
      <formula>IF( $AH7 = 1, TRUE, FALSE )</formula>
    </cfRule>
    <cfRule type="expression" dxfId="442" priority="29" stopIfTrue="1">
      <formula>IF( $AG7 = 1, TRUE, FALSE )</formula>
    </cfRule>
    <cfRule type="expression" dxfId="441" priority="30" stopIfTrue="1">
      <formula>IF( $AF7 = 1, TRUE, FALSE )</formula>
    </cfRule>
  </conditionalFormatting>
  <conditionalFormatting sqref="A67:E67">
    <cfRule type="expression" dxfId="440" priority="31" stopIfTrue="1">
      <formula>IF( $AH67 = 1, TRUE, FALSE )</formula>
    </cfRule>
    <cfRule type="expression" dxfId="439" priority="32" stopIfTrue="1">
      <formula>IF( $AG67 = 1, TRUE, FALSE )</formula>
    </cfRule>
    <cfRule type="expression" dxfId="438" priority="33" stopIfTrue="1">
      <formula>IF( $AF67 = 1, TRUE, FALSE )</formula>
    </cfRule>
  </conditionalFormatting>
  <conditionalFormatting sqref="A66:E66">
    <cfRule type="expression" dxfId="437" priority="25" stopIfTrue="1">
      <formula>IF( $AH66 = 1, TRUE, FALSE )</formula>
    </cfRule>
    <cfRule type="expression" dxfId="436" priority="26" stopIfTrue="1">
      <formula>IF( $AG66 = 1, TRUE, FALSE )</formula>
    </cfRule>
    <cfRule type="expression" dxfId="435" priority="27" stopIfTrue="1">
      <formula>IF( $AF66 = 1, TRUE, FALSE )</formula>
    </cfRule>
  </conditionalFormatting>
  <conditionalFormatting sqref="A8:D58 B7:D7">
    <cfRule type="expression" dxfId="434" priority="22" stopIfTrue="1">
      <formula>IF( $AH7 = 1, TRUE, FALSE )</formula>
    </cfRule>
    <cfRule type="expression" dxfId="433" priority="23" stopIfTrue="1">
      <formula>IF( $AG7 = 1, TRUE, FALSE )</formula>
    </cfRule>
    <cfRule type="expression" dxfId="432" priority="24" stopIfTrue="1">
      <formula>IF( $AF7 = 1, TRUE, FALSE )</formula>
    </cfRule>
  </conditionalFormatting>
  <conditionalFormatting sqref="A59:D59">
    <cfRule type="expression" dxfId="431" priority="19" stopIfTrue="1">
      <formula>IF( $AH59 = 1, TRUE, FALSE )</formula>
    </cfRule>
    <cfRule type="expression" dxfId="430" priority="20" stopIfTrue="1">
      <formula>IF( $AG59 = 1, TRUE, FALSE )</formula>
    </cfRule>
    <cfRule type="expression" dxfId="429" priority="21" stopIfTrue="1">
      <formula>IF( $AF59 = 1, TRUE, FALSE )</formula>
    </cfRule>
  </conditionalFormatting>
  <conditionalFormatting sqref="A62:D65">
    <cfRule type="expression" dxfId="428" priority="16" stopIfTrue="1">
      <formula>IF( $AH62 = 1, TRUE, FALSE )</formula>
    </cfRule>
    <cfRule type="expression" dxfId="427" priority="17" stopIfTrue="1">
      <formula>IF( $AG62 = 1, TRUE, FALSE )</formula>
    </cfRule>
    <cfRule type="expression" dxfId="426" priority="18" stopIfTrue="1">
      <formula>IF( $AF62 = 1, TRUE, FALSE )</formula>
    </cfRule>
  </conditionalFormatting>
  <conditionalFormatting sqref="U8:U12">
    <cfRule type="cellIs" dxfId="425" priority="15" operator="equal">
      <formula>0</formula>
    </cfRule>
  </conditionalFormatting>
  <conditionalFormatting sqref="O8:O12 Q8:Q12">
    <cfRule type="cellIs" dxfId="424" priority="14" operator="equal">
      <formula>0</formula>
    </cfRule>
  </conditionalFormatting>
  <conditionalFormatting sqref="V8:V12">
    <cfRule type="cellIs" dxfId="423" priority="13" operator="equal">
      <formula>0</formula>
    </cfRule>
  </conditionalFormatting>
  <conditionalFormatting sqref="S8:S12">
    <cfRule type="cellIs" dxfId="422" priority="11" operator="equal">
      <formula>0</formula>
    </cfRule>
  </conditionalFormatting>
  <conditionalFormatting sqref="R8:R12">
    <cfRule type="cellIs" dxfId="421" priority="12" operator="equal">
      <formula>0</formula>
    </cfRule>
  </conditionalFormatting>
  <conditionalFormatting sqref="P8:P12">
    <cfRule type="cellIs" dxfId="420" priority="10" operator="equal">
      <formula>0</formula>
    </cfRule>
  </conditionalFormatting>
  <conditionalFormatting sqref="M8:M12">
    <cfRule type="cellIs" dxfId="419" priority="9" operator="equal">
      <formula>0</formula>
    </cfRule>
  </conditionalFormatting>
  <conditionalFormatting sqref="T8:T12">
    <cfRule type="cellIs" dxfId="418" priority="8" operator="equal">
      <formula>0</formula>
    </cfRule>
  </conditionalFormatting>
  <conditionalFormatting sqref="N8:N12">
    <cfRule type="cellIs" dxfId="417" priority="7" operator="equal">
      <formula>0</formula>
    </cfRule>
  </conditionalFormatting>
  <conditionalFormatting sqref="K8:K12">
    <cfRule type="cellIs" dxfId="416" priority="6" operator="equal">
      <formula>0</formula>
    </cfRule>
  </conditionalFormatting>
  <conditionalFormatting sqref="I8:I12">
    <cfRule type="cellIs" dxfId="415" priority="5" operator="equal">
      <formula>0</formula>
    </cfRule>
  </conditionalFormatting>
  <conditionalFormatting sqref="W8:W12">
    <cfRule type="cellIs" dxfId="414" priority="4" operator="equal">
      <formula>0</formula>
    </cfRule>
  </conditionalFormatting>
  <conditionalFormatting sqref="A7">
    <cfRule type="expression" dxfId="413" priority="1" stopIfTrue="1">
      <formula>IF( $AH7 = 1, TRUE, FALSE )</formula>
    </cfRule>
    <cfRule type="expression" dxfId="412" priority="2" stopIfTrue="1">
      <formula>IF( $AG7 = 1, TRUE, FALSE )</formula>
    </cfRule>
    <cfRule type="expression" dxfId="411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9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customWidth="1"/>
    <col min="23" max="23" width="2" style="168" customWidth="1"/>
    <col min="24" max="24" width="4.109375" style="168" customWidth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7.88671875" style="169" hidden="1" customWidth="1" outlineLevel="1" collapsed="1"/>
    <col min="37" max="38" width="9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3.441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style="168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-- 2013 Q4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 x14ac:dyDescent="0.25">
      <c r="A2" s="167"/>
      <c r="E2" s="171" t="str">
        <f>G2</f>
        <v>Reg_Percent_2012</v>
      </c>
      <c r="G2" s="172" t="s">
        <v>405</v>
      </c>
      <c r="AJ2" s="173" t="str">
        <f>AJ4 &amp; AJ3</f>
        <v>'Credit_2013Q3'!a:a</v>
      </c>
      <c r="AK2" s="173" t="str">
        <f>AK4 &amp; AK3</f>
        <v>'Credit_2013Q3'!b1</v>
      </c>
      <c r="AL2" s="173" t="str">
        <f>AL4 &amp; AL3</f>
        <v>'Credit_2013Q3'!c1</v>
      </c>
      <c r="AQ2" s="169"/>
    </row>
    <row r="3" spans="1:61" ht="18" hidden="1" outlineLevel="1" x14ac:dyDescent="0.25">
      <c r="A3" s="167"/>
      <c r="E3" s="174" t="str">
        <f>"'" &amp; E2 &amp; "'!"</f>
        <v>'Reg_Percent_2012'!</v>
      </c>
      <c r="G3" s="168" t="str">
        <f>"'" &amp; G2 &amp; "'!"</f>
        <v>'Reg_Percent_2012'!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406</v>
      </c>
      <c r="AK3" s="149" t="s">
        <v>206</v>
      </c>
      <c r="AL3" s="149" t="s">
        <v>207</v>
      </c>
      <c r="AQ3" s="169"/>
    </row>
    <row r="4" spans="1:61" ht="18" hidden="1" outlineLevel="1" x14ac:dyDescent="0.25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>$AQ$5</f>
        <v>'Credit_2013Q3'!</v>
      </c>
      <c r="AK4" s="169" t="str">
        <f t="shared" ref="AK4:AL4" si="0">$AQ$5</f>
        <v>'Credit_2013Q3'!</v>
      </c>
      <c r="AL4" s="169" t="str">
        <f t="shared" si="0"/>
        <v>'Credit_2013Q3'!</v>
      </c>
      <c r="AQ4" s="169"/>
    </row>
    <row r="5" spans="1:61" ht="13.8" collapsed="1" x14ac:dyDescent="0.25">
      <c r="E5" s="176" t="s">
        <v>209</v>
      </c>
      <c r="G5" s="170" t="s">
        <v>199</v>
      </c>
      <c r="I5" s="230"/>
      <c r="J5" s="389" t="s">
        <v>210</v>
      </c>
      <c r="K5" s="230"/>
      <c r="L5" s="391" t="str">
        <f>"All Companies" &amp; CHAR( 10 ) &amp; "("&amp; L14 &amp; ")"</f>
        <v>All Companies
(54)</v>
      </c>
      <c r="M5" s="391"/>
      <c r="N5" s="230"/>
      <c r="O5" s="389" t="str">
        <f ca="1">"Regulated" &amp; CHAR( 10 ) &amp; "(" &amp; O14 &amp; ")"</f>
        <v>Regulated
(35)</v>
      </c>
      <c r="P5" s="393"/>
      <c r="Q5" s="230"/>
      <c r="R5" s="389" t="str">
        <f ca="1">"Mostly Regulated" &amp; CHAR( 10 ) &amp; "(" &amp; R14 &amp; ")"</f>
        <v>Mostly Regulated
(17)</v>
      </c>
      <c r="S5" s="393"/>
      <c r="T5" s="230"/>
      <c r="U5" s="389" t="str">
        <f ca="1">"Diversified" &amp; CHAR( 10 ) &amp; "(" &amp; U14 &amp; ")"</f>
        <v>Diversified
(2)</v>
      </c>
      <c r="V5" s="393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409</v>
      </c>
    </row>
    <row r="6" spans="1:61" ht="28.5" customHeight="1" x14ac:dyDescent="0.25">
      <c r="A6" s="219" t="s">
        <v>212</v>
      </c>
      <c r="B6" s="220" t="s">
        <v>55</v>
      </c>
      <c r="C6" s="249" t="s">
        <v>214</v>
      </c>
      <c r="D6" s="221"/>
      <c r="E6" s="222">
        <v>41274</v>
      </c>
      <c r="I6" s="231"/>
      <c r="J6" s="390"/>
      <c r="K6" s="231"/>
      <c r="L6" s="392"/>
      <c r="M6" s="392"/>
      <c r="N6" s="231"/>
      <c r="O6" s="390"/>
      <c r="P6" s="390"/>
      <c r="Q6" s="231"/>
      <c r="R6" s="390" t="s">
        <v>136</v>
      </c>
      <c r="S6" s="390"/>
      <c r="T6" s="231"/>
      <c r="U6" s="390"/>
      <c r="V6" s="390"/>
      <c r="W6" s="231"/>
      <c r="AE6" s="178"/>
      <c r="AJ6" s="179"/>
    </row>
    <row r="7" spans="1:61" ht="13.8" x14ac:dyDescent="0.25">
      <c r="A7" s="223" t="s">
        <v>293</v>
      </c>
      <c r="B7" s="224" t="s">
        <v>166</v>
      </c>
      <c r="C7" s="224">
        <v>21</v>
      </c>
      <c r="D7" s="224" t="s">
        <v>294</v>
      </c>
      <c r="E7" s="225" t="str">
        <f t="shared" ref="E7:E58" ca="1" si="1">OFFSET( INDIRECT( E$3 &amp; E$4 ), $G7 - 1, 0 )</f>
        <v>R</v>
      </c>
      <c r="F7" s="348"/>
      <c r="G7" s="349">
        <f t="shared" ref="G7:G64" ca="1" si="2">IF( LEN( $D7 ) = 0, "", MATCH( $D7, INDIRECT( G$3 &amp; G$4 ), 0 ) )</f>
        <v>48</v>
      </c>
      <c r="H7" s="350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3">IF( LEN( C7 ) = 0, 0, IF( C7 = C6, AF6, IF( AF6 = 1, 0, 1 ) ) )</f>
        <v>1</v>
      </c>
      <c r="AG7" s="169" t="str">
        <f t="shared" ref="AG7:AG64" ca="1" si="4">IF( LEN( $C7 ) = 0, "", IF( $C7 &gt; $AL7, 1, "" ) )</f>
        <v/>
      </c>
      <c r="AH7" s="169" t="str">
        <f ca="1">IF( LEN( $C7 ) = 0, "", IF( $C7 &lt; $AL7, 1, "" ) )</f>
        <v/>
      </c>
      <c r="AJ7" s="169">
        <f t="shared" ref="AJ7:AJ67" ca="1" si="5">MATCH( $A7,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6">IF( B7 = AK7, "", "Change" )</f>
        <v/>
      </c>
      <c r="AQ7" s="207" t="s">
        <v>217</v>
      </c>
      <c r="AR7" s="207" t="s">
        <v>140</v>
      </c>
      <c r="AS7" s="207">
        <v>19</v>
      </c>
      <c r="AT7" s="207" t="s">
        <v>218</v>
      </c>
      <c r="AV7" s="168">
        <f>IF( LEN( AS7 ) = 0, 99, RANK( AS7, $AS$7:$AS$63 ) )</f>
        <v>14</v>
      </c>
      <c r="AW7" s="168">
        <f>COUNTIF( AV7:AV$7, AV7 )</f>
        <v>1</v>
      </c>
      <c r="AX7" s="208">
        <f>AV7 + AW7 / 10</f>
        <v>14.1</v>
      </c>
      <c r="AY7" s="168">
        <f>RANK( AX7, $AX$7:$AX$63, 1 )</f>
        <v>14</v>
      </c>
      <c r="AZ7" s="169"/>
      <c r="BA7" s="169"/>
      <c r="BC7" s="168">
        <f t="shared" ref="BC7" ca="1" si="7">OFFSET( BC7, -1, 0 ) + 1</f>
        <v>1</v>
      </c>
      <c r="BD7" s="209">
        <f t="shared" ref="BD7:BD62" ca="1" si="8">MATCH( BC7, $AY$7:$AY$63, 0 )</f>
        <v>46</v>
      </c>
      <c r="BF7" s="173" t="str">
        <f t="shared" ref="BF7:BI38" ca="1" si="9">OFFSET( AQ$6, $BD7, 0 )</f>
        <v>Southern Company</v>
      </c>
      <c r="BG7" s="173" t="str">
        <f t="shared" ca="1" si="9"/>
        <v>A</v>
      </c>
      <c r="BH7" s="173">
        <f t="shared" ca="1" si="9"/>
        <v>21</v>
      </c>
      <c r="BI7" s="173" t="str">
        <f t="shared" ca="1" si="9"/>
        <v>SO</v>
      </c>
    </row>
    <row r="8" spans="1:61" ht="13.8" x14ac:dyDescent="0.25">
      <c r="A8" s="223" t="s">
        <v>219</v>
      </c>
      <c r="B8" s="224" t="s">
        <v>139</v>
      </c>
      <c r="C8" s="224">
        <v>20</v>
      </c>
      <c r="D8" s="224" t="s">
        <v>220</v>
      </c>
      <c r="E8" s="225" t="str">
        <f t="shared" ca="1" si="1"/>
        <v>R</v>
      </c>
      <c r="F8" s="348"/>
      <c r="G8" s="349">
        <f t="shared" ca="1" si="2"/>
        <v>8</v>
      </c>
      <c r="H8" s="350"/>
      <c r="I8" s="233"/>
      <c r="J8" s="213" t="s">
        <v>137</v>
      </c>
      <c r="K8" s="233"/>
      <c r="L8" s="213">
        <f t="shared" ref="L8:L13" si="10">COUNTIF($C$7:$C$67,$X8)</f>
        <v>2</v>
      </c>
      <c r="M8" s="214">
        <f t="shared" ref="M8:M13" si="11">IF( L8 = 0, "", L8/L$14 )</f>
        <v>3.7037037037037035E-2</v>
      </c>
      <c r="N8" s="233"/>
      <c r="O8" s="213">
        <f t="shared" ref="O8:O13" ca="1" si="12">COUNTIFS( $E$7:$E$66, O$3, $C$7:$C$66, $X8 )</f>
        <v>1</v>
      </c>
      <c r="P8" s="214">
        <f t="shared" ref="P8:P13" ca="1" si="13">IF( O8 = 0, "", O8/O$14 )</f>
        <v>2.8571428571428571E-2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5.8823529411764705E-2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8">SUM(O8, R8, U8)</f>
        <v>2</v>
      </c>
      <c r="AC8" s="351"/>
      <c r="AE8" s="184"/>
      <c r="AF8" s="169">
        <f t="shared" si="3"/>
        <v>0</v>
      </c>
      <c r="AG8" s="169" t="str">
        <f t="shared" ca="1" si="4"/>
        <v/>
      </c>
      <c r="AH8" s="169" t="str">
        <f t="shared" ref="AH8:AH67" ca="1" si="19">IF( LEN( $C8 ) = 0, "", IF( $C8 &lt; $AL8, 1, "" ) )</f>
        <v/>
      </c>
      <c r="AJ8" s="169">
        <f t="shared" ca="1" si="5"/>
        <v>8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6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ref="AV8:AV63" si="21">IF( LEN( AS8 ) = 0, 99, RANK( AS8, $AS$7:$AS$63 ) )</f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ref="AY8:AY63" si="23">RANK( AX8, $AX$7:$AX$63, 1 )</f>
        <v>2</v>
      </c>
      <c r="AZ8" s="169"/>
      <c r="BA8" s="169"/>
      <c r="BC8" s="168">
        <f ca="1">OFFSET( BC8, -1, 0 ) + 1</f>
        <v>2</v>
      </c>
      <c r="BD8" s="209">
        <f t="shared" ca="1" si="8"/>
        <v>2</v>
      </c>
      <c r="BF8" s="173" t="str">
        <f t="shared" ca="1" si="9"/>
        <v>Alliant Energy Corporation</v>
      </c>
      <c r="BG8" s="173" t="str">
        <f t="shared" ca="1" si="9"/>
        <v>A-</v>
      </c>
      <c r="BH8" s="173">
        <f t="shared" ca="1" si="9"/>
        <v>20</v>
      </c>
      <c r="BI8" s="173" t="str">
        <f t="shared" ca="1" si="9"/>
        <v>LNT</v>
      </c>
    </row>
    <row r="9" spans="1:61" ht="13.8" x14ac:dyDescent="0.25">
      <c r="A9" s="223" t="s">
        <v>249</v>
      </c>
      <c r="B9" s="224" t="s">
        <v>139</v>
      </c>
      <c r="C9" s="224">
        <v>20</v>
      </c>
      <c r="D9" s="224" t="s">
        <v>250</v>
      </c>
      <c r="E9" s="225" t="str">
        <f t="shared" ca="1" si="1"/>
        <v>MR</v>
      </c>
      <c r="F9" s="348"/>
      <c r="G9" s="349">
        <f t="shared" ca="1" si="2"/>
        <v>13</v>
      </c>
      <c r="H9" s="350"/>
      <c r="I9" s="234"/>
      <c r="J9" s="215" t="s">
        <v>139</v>
      </c>
      <c r="K9" s="234"/>
      <c r="L9" s="215">
        <f t="shared" si="10"/>
        <v>12</v>
      </c>
      <c r="M9" s="216">
        <f t="shared" si="11"/>
        <v>0.22222222222222221</v>
      </c>
      <c r="N9" s="234"/>
      <c r="O9" s="215">
        <f t="shared" ca="1" si="12"/>
        <v>7</v>
      </c>
      <c r="P9" s="216">
        <f t="shared" ca="1" si="13"/>
        <v>0.2</v>
      </c>
      <c r="Q9" s="234"/>
      <c r="R9" s="215">
        <f t="shared" ca="1" si="14"/>
        <v>5</v>
      </c>
      <c r="S9" s="216">
        <f t="shared" ca="1" si="15"/>
        <v>0.29411764705882354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8"/>
        <v>12</v>
      </c>
      <c r="AC9" s="351"/>
      <c r="AE9" s="184"/>
      <c r="AF9" s="169">
        <f t="shared" si="3"/>
        <v>0</v>
      </c>
      <c r="AG9" s="169" t="str">
        <f t="shared" ca="1" si="4"/>
        <v/>
      </c>
      <c r="AH9" s="169" t="str">
        <f t="shared" ca="1" si="19"/>
        <v/>
      </c>
      <c r="AJ9" s="169">
        <f t="shared" ca="1" si="5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6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si="21"/>
        <v>14</v>
      </c>
      <c r="AW9" s="168">
        <f>COUNTIF( AV$7:AV9, AV9 )</f>
        <v>2</v>
      </c>
      <c r="AX9" s="208">
        <f t="shared" si="22"/>
        <v>14.2</v>
      </c>
      <c r="AY9" s="168">
        <f t="shared" si="23"/>
        <v>15</v>
      </c>
      <c r="AZ9" s="169"/>
      <c r="BA9" s="169"/>
      <c r="BC9" s="168">
        <f t="shared" ref="BC9:BC63" ca="1" si="24">OFFSET( BC9, -1, 0 ) + 1</f>
        <v>3</v>
      </c>
      <c r="BD9" s="209">
        <f t="shared" ca="1" si="8"/>
        <v>7</v>
      </c>
      <c r="BF9" s="173" t="str">
        <f t="shared" ca="1" si="9"/>
        <v>CenterPoint Energy, Inc.</v>
      </c>
      <c r="BG9" s="173" t="str">
        <f t="shared" ca="1" si="9"/>
        <v>A-</v>
      </c>
      <c r="BH9" s="173">
        <f t="shared" ca="1" si="9"/>
        <v>20</v>
      </c>
      <c r="BI9" s="173" t="str">
        <f t="shared" ca="1" si="9"/>
        <v>CNP</v>
      </c>
    </row>
    <row r="10" spans="1:61" ht="13.8" x14ac:dyDescent="0.25">
      <c r="A10" s="223" t="s">
        <v>227</v>
      </c>
      <c r="B10" s="224" t="s">
        <v>139</v>
      </c>
      <c r="C10" s="224">
        <v>20</v>
      </c>
      <c r="D10" s="224" t="s">
        <v>228</v>
      </c>
      <c r="E10" s="225" t="str">
        <f t="shared" ca="1" si="1"/>
        <v>R</v>
      </c>
      <c r="F10" s="348"/>
      <c r="G10" s="349">
        <f t="shared" ca="1" si="2"/>
        <v>16</v>
      </c>
      <c r="H10" s="350"/>
      <c r="I10" s="234"/>
      <c r="J10" s="215" t="s">
        <v>140</v>
      </c>
      <c r="K10" s="234"/>
      <c r="L10" s="215">
        <f t="shared" si="10"/>
        <v>12</v>
      </c>
      <c r="M10" s="216">
        <f t="shared" si="11"/>
        <v>0.22222222222222221</v>
      </c>
      <c r="N10" s="234"/>
      <c r="O10" s="215">
        <f t="shared" ca="1" si="12"/>
        <v>6</v>
      </c>
      <c r="P10" s="216">
        <f t="shared" ca="1" si="13"/>
        <v>0.17142857142857143</v>
      </c>
      <c r="Q10" s="234"/>
      <c r="R10" s="215">
        <f t="shared" ca="1" si="14"/>
        <v>5</v>
      </c>
      <c r="S10" s="216">
        <f t="shared" ca="1" si="15"/>
        <v>0.29411764705882354</v>
      </c>
      <c r="T10" s="234"/>
      <c r="U10" s="215">
        <f t="shared" ca="1" si="16"/>
        <v>1</v>
      </c>
      <c r="V10" s="216">
        <f t="shared" ca="1" si="17"/>
        <v>0.5</v>
      </c>
      <c r="W10" s="234"/>
      <c r="X10" s="186" t="s">
        <v>229</v>
      </c>
      <c r="Y10" s="186">
        <v>19</v>
      </c>
      <c r="Z10" s="186">
        <v>1</v>
      </c>
      <c r="AA10" s="185">
        <f t="shared" ca="1" si="18"/>
        <v>12</v>
      </c>
      <c r="AE10" s="184"/>
      <c r="AF10" s="169">
        <f t="shared" si="3"/>
        <v>0</v>
      </c>
      <c r="AG10" s="169" t="str">
        <f t="shared" ca="1" si="4"/>
        <v/>
      </c>
      <c r="AH10" s="169" t="str">
        <f t="shared" ca="1" si="19"/>
        <v/>
      </c>
      <c r="AJ10" s="169">
        <f t="shared" ca="1" si="5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6"/>
        <v/>
      </c>
      <c r="AQ10" s="207" t="s">
        <v>222</v>
      </c>
      <c r="AR10" s="207" t="s">
        <v>141</v>
      </c>
      <c r="AS10" s="207">
        <v>18</v>
      </c>
      <c r="AT10" s="207" t="s">
        <v>223</v>
      </c>
      <c r="AV10" s="168">
        <f t="shared" si="21"/>
        <v>26</v>
      </c>
      <c r="AW10" s="168">
        <f>COUNTIF( AV$7:AV10, AV10 )</f>
        <v>1</v>
      </c>
      <c r="AX10" s="208">
        <f t="shared" si="22"/>
        <v>26.1</v>
      </c>
      <c r="AY10" s="168">
        <f t="shared" si="23"/>
        <v>26</v>
      </c>
      <c r="AZ10" s="169"/>
      <c r="BA10" s="169"/>
      <c r="BC10" s="168">
        <f t="shared" ca="1" si="24"/>
        <v>4</v>
      </c>
      <c r="BD10" s="209">
        <f t="shared" ca="1" si="8"/>
        <v>10</v>
      </c>
      <c r="BF10" s="173" t="str">
        <f t="shared" ca="1" si="9"/>
        <v>Consolidated Edison, Inc.</v>
      </c>
      <c r="BG10" s="173" t="str">
        <f t="shared" ca="1" si="9"/>
        <v>A-</v>
      </c>
      <c r="BH10" s="173">
        <f t="shared" ca="1" si="9"/>
        <v>20</v>
      </c>
      <c r="BI10" s="173" t="str">
        <f t="shared" ca="1" si="9"/>
        <v>ED</v>
      </c>
    </row>
    <row r="11" spans="1:61" ht="13.8" x14ac:dyDescent="0.25">
      <c r="A11" s="223" t="s">
        <v>361</v>
      </c>
      <c r="B11" s="224" t="s">
        <v>139</v>
      </c>
      <c r="C11" s="224">
        <v>20</v>
      </c>
      <c r="D11" s="224" t="s">
        <v>194</v>
      </c>
      <c r="E11" s="225" t="str">
        <f t="shared" ca="1" si="1"/>
        <v>MR</v>
      </c>
      <c r="F11" s="348"/>
      <c r="G11" s="349">
        <f t="shared" ca="1" si="2"/>
        <v>17</v>
      </c>
      <c r="H11" s="350"/>
      <c r="I11" s="234"/>
      <c r="J11" s="215" t="s">
        <v>141</v>
      </c>
      <c r="K11" s="234"/>
      <c r="L11" s="215">
        <f t="shared" si="10"/>
        <v>20</v>
      </c>
      <c r="M11" s="216">
        <f t="shared" si="11"/>
        <v>0.37037037037037035</v>
      </c>
      <c r="N11" s="234"/>
      <c r="O11" s="215">
        <f t="shared" ca="1" si="12"/>
        <v>17</v>
      </c>
      <c r="P11" s="216">
        <f t="shared" ca="1" si="13"/>
        <v>0.48571428571428571</v>
      </c>
      <c r="Q11" s="234"/>
      <c r="R11" s="215">
        <f t="shared" ca="1" si="14"/>
        <v>3</v>
      </c>
      <c r="S11" s="216">
        <f t="shared" ca="1" si="15"/>
        <v>0.17647058823529413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8"/>
        <v>20</v>
      </c>
      <c r="AE11" s="184"/>
      <c r="AF11" s="169">
        <f t="shared" si="3"/>
        <v>0</v>
      </c>
      <c r="AG11" s="169" t="str">
        <f t="shared" ca="1" si="4"/>
        <v/>
      </c>
      <c r="AH11" s="169" t="str">
        <f t="shared" ca="1" si="19"/>
        <v/>
      </c>
      <c r="AJ11" s="169">
        <f t="shared" ca="1" si="5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6"/>
        <v/>
      </c>
      <c r="AQ11" s="207" t="s">
        <v>238</v>
      </c>
      <c r="AR11" s="207" t="s">
        <v>141</v>
      </c>
      <c r="AS11" s="207">
        <v>18</v>
      </c>
      <c r="AT11" s="207" t="s">
        <v>239</v>
      </c>
      <c r="AV11" s="168">
        <f t="shared" si="21"/>
        <v>26</v>
      </c>
      <c r="AW11" s="168">
        <f>COUNTIF( AV$7:AV11, AV11 )</f>
        <v>2</v>
      </c>
      <c r="AX11" s="208">
        <f t="shared" si="22"/>
        <v>26.2</v>
      </c>
      <c r="AY11" s="168">
        <f t="shared" si="23"/>
        <v>27</v>
      </c>
      <c r="AZ11" s="169"/>
      <c r="BA11" s="169"/>
      <c r="BC11" s="168">
        <f t="shared" ca="1" si="24"/>
        <v>5</v>
      </c>
      <c r="BD11" s="209">
        <f t="shared" ca="1" si="8"/>
        <v>11</v>
      </c>
      <c r="BF11" s="173" t="str">
        <f t="shared" ca="1" si="9"/>
        <v>Dominion Resources, Inc.</v>
      </c>
      <c r="BG11" s="173" t="str">
        <f t="shared" ca="1" si="9"/>
        <v>A-</v>
      </c>
      <c r="BH11" s="173">
        <f t="shared" ca="1" si="9"/>
        <v>20</v>
      </c>
      <c r="BI11" s="173" t="str">
        <f t="shared" ca="1" si="9"/>
        <v>D</v>
      </c>
    </row>
    <row r="12" spans="1:61" ht="13.8" x14ac:dyDescent="0.25">
      <c r="A12" s="223" t="s">
        <v>395</v>
      </c>
      <c r="B12" s="224" t="s">
        <v>139</v>
      </c>
      <c r="C12" s="224">
        <v>20</v>
      </c>
      <c r="D12" s="224" t="s">
        <v>396</v>
      </c>
      <c r="E12" s="225" t="str">
        <f t="shared" ca="1" si="1"/>
        <v>R</v>
      </c>
      <c r="F12" s="348"/>
      <c r="G12" s="349">
        <f t="shared" ca="1" si="2"/>
        <v>29</v>
      </c>
      <c r="H12" s="350"/>
      <c r="I12" s="234"/>
      <c r="J12" s="215" t="s">
        <v>142</v>
      </c>
      <c r="K12" s="234"/>
      <c r="L12" s="215">
        <f t="shared" si="10"/>
        <v>5</v>
      </c>
      <c r="M12" s="216">
        <f t="shared" si="11"/>
        <v>9.2592592592592587E-2</v>
      </c>
      <c r="N12" s="234"/>
      <c r="O12" s="215">
        <f t="shared" ca="1" si="12"/>
        <v>2</v>
      </c>
      <c r="P12" s="216">
        <f t="shared" ca="1" si="13"/>
        <v>5.7142857142857141E-2</v>
      </c>
      <c r="Q12" s="234"/>
      <c r="R12" s="215">
        <f t="shared" ca="1" si="14"/>
        <v>3</v>
      </c>
      <c r="S12" s="216">
        <f t="shared" ca="1" si="15"/>
        <v>0.17647058823529413</v>
      </c>
      <c r="T12" s="234"/>
      <c r="U12" s="215">
        <f t="shared" ca="1" si="16"/>
        <v>0</v>
      </c>
      <c r="V12" s="216" t="str">
        <f t="shared" ca="1" si="17"/>
        <v/>
      </c>
      <c r="W12" s="234"/>
      <c r="X12" s="186" t="s">
        <v>237</v>
      </c>
      <c r="Y12" s="186">
        <v>17</v>
      </c>
      <c r="Z12" s="186">
        <v>1</v>
      </c>
      <c r="AA12" s="185">
        <f t="shared" ca="1" si="18"/>
        <v>5</v>
      </c>
      <c r="AE12" s="184"/>
      <c r="AF12" s="169">
        <f t="shared" si="3"/>
        <v>0</v>
      </c>
      <c r="AG12" s="169" t="str">
        <f t="shared" ca="1" si="4"/>
        <v/>
      </c>
      <c r="AH12" s="169" t="str">
        <f t="shared" ca="1" si="19"/>
        <v/>
      </c>
      <c r="AJ12" s="169">
        <f t="shared" ca="1" si="5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6"/>
        <v/>
      </c>
      <c r="AQ12" s="207" t="s">
        <v>245</v>
      </c>
      <c r="AR12" s="207" t="s">
        <v>141</v>
      </c>
      <c r="AS12" s="207">
        <v>18</v>
      </c>
      <c r="AT12" s="207" t="s">
        <v>246</v>
      </c>
      <c r="AV12" s="168">
        <f t="shared" si="21"/>
        <v>26</v>
      </c>
      <c r="AW12" s="168">
        <f>COUNTIF( AV$7:AV12, AV12 )</f>
        <v>3</v>
      </c>
      <c r="AX12" s="208">
        <f t="shared" si="22"/>
        <v>26.3</v>
      </c>
      <c r="AY12" s="168">
        <f t="shared" si="23"/>
        <v>28</v>
      </c>
      <c r="AZ12" s="169"/>
      <c r="BA12" s="169"/>
      <c r="BC12" s="168">
        <f t="shared" ca="1" si="24"/>
        <v>6</v>
      </c>
      <c r="BD12" s="209">
        <f t="shared" ca="1" si="8"/>
        <v>26</v>
      </c>
      <c r="BF12" s="173" t="str">
        <f t="shared" ca="1" si="9"/>
        <v>Integrys Energy Group, Inc.</v>
      </c>
      <c r="BG12" s="173" t="str">
        <f t="shared" ca="1" si="9"/>
        <v>A-</v>
      </c>
      <c r="BH12" s="173">
        <f t="shared" ca="1" si="9"/>
        <v>20</v>
      </c>
      <c r="BI12" s="173" t="str">
        <f t="shared" ca="1" si="9"/>
        <v>TEG</v>
      </c>
    </row>
    <row r="13" spans="1:61" ht="13.8" x14ac:dyDescent="0.25">
      <c r="A13" s="223" t="s">
        <v>240</v>
      </c>
      <c r="B13" s="224" t="s">
        <v>139</v>
      </c>
      <c r="C13" s="224">
        <v>20</v>
      </c>
      <c r="D13" s="224" t="s">
        <v>241</v>
      </c>
      <c r="E13" s="225" t="str">
        <f t="shared" ca="1" si="1"/>
        <v>MR</v>
      </c>
      <c r="F13" s="348"/>
      <c r="G13" s="349">
        <f t="shared" ca="1" si="2"/>
        <v>32</v>
      </c>
      <c r="H13" s="350"/>
      <c r="I13" s="235"/>
      <c r="J13" s="217" t="s">
        <v>143</v>
      </c>
      <c r="K13" s="235"/>
      <c r="L13" s="217">
        <f t="shared" si="10"/>
        <v>3</v>
      </c>
      <c r="M13" s="218">
        <f t="shared" si="11"/>
        <v>5.5555555555555552E-2</v>
      </c>
      <c r="N13" s="235"/>
      <c r="O13" s="217">
        <f t="shared" ca="1" si="12"/>
        <v>2</v>
      </c>
      <c r="P13" s="218">
        <f t="shared" ca="1" si="13"/>
        <v>5.7142857142857141E-2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1</v>
      </c>
      <c r="V13" s="218">
        <f t="shared" ca="1" si="17"/>
        <v>0.5</v>
      </c>
      <c r="W13" s="235"/>
      <c r="X13" s="186" t="s">
        <v>242</v>
      </c>
      <c r="Y13" s="186">
        <v>16</v>
      </c>
      <c r="Z13" s="186">
        <v>1</v>
      </c>
      <c r="AA13" s="188">
        <f t="shared" ca="1" si="18"/>
        <v>3</v>
      </c>
      <c r="AE13" s="184"/>
      <c r="AF13" s="169">
        <f t="shared" si="3"/>
        <v>0</v>
      </c>
      <c r="AG13" s="169" t="str">
        <f t="shared" ca="1" si="4"/>
        <v/>
      </c>
      <c r="AH13" s="169" t="str">
        <f t="shared" ca="1" si="19"/>
        <v/>
      </c>
      <c r="AJ13" s="169">
        <f t="shared" ca="1" si="5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6"/>
        <v/>
      </c>
      <c r="AQ13" s="207" t="s">
        <v>249</v>
      </c>
      <c r="AR13" s="207" t="s">
        <v>139</v>
      </c>
      <c r="AS13" s="207">
        <v>20</v>
      </c>
      <c r="AT13" s="207" t="s">
        <v>250</v>
      </c>
      <c r="AV13" s="168">
        <f t="shared" si="21"/>
        <v>2</v>
      </c>
      <c r="AW13" s="168">
        <f>COUNTIF( AV$7:AV13, AV13 )</f>
        <v>2</v>
      </c>
      <c r="AX13" s="208">
        <f t="shared" si="22"/>
        <v>2.2000000000000002</v>
      </c>
      <c r="AY13" s="168">
        <f t="shared" si="23"/>
        <v>3</v>
      </c>
      <c r="AZ13" s="169"/>
      <c r="BA13" s="169"/>
      <c r="BC13" s="168">
        <f t="shared" ca="1" si="24"/>
        <v>7</v>
      </c>
      <c r="BD13" s="209">
        <f t="shared" ca="1" si="8"/>
        <v>30</v>
      </c>
      <c r="BF13" s="173" t="str">
        <f t="shared" ca="1" si="9"/>
        <v>NextEra Energy, Inc.</v>
      </c>
      <c r="BG13" s="173" t="str">
        <f t="shared" ca="1" si="9"/>
        <v>A-</v>
      </c>
      <c r="BH13" s="173">
        <f t="shared" ca="1" si="9"/>
        <v>20</v>
      </c>
      <c r="BI13" s="173" t="str">
        <f t="shared" ca="1" si="9"/>
        <v>NEE</v>
      </c>
    </row>
    <row r="14" spans="1:61" ht="13.8" x14ac:dyDescent="0.25">
      <c r="A14" s="223" t="s">
        <v>394</v>
      </c>
      <c r="B14" s="224" t="s">
        <v>139</v>
      </c>
      <c r="C14" s="224">
        <v>20</v>
      </c>
      <c r="D14" s="224" t="s">
        <v>236</v>
      </c>
      <c r="E14" s="225" t="str">
        <f t="shared" ca="1" si="1"/>
        <v>R</v>
      </c>
      <c r="F14" s="348"/>
      <c r="G14" s="349">
        <f t="shared" ca="1" si="2"/>
        <v>34</v>
      </c>
      <c r="H14" s="350"/>
      <c r="I14" s="236"/>
      <c r="J14" s="211" t="s">
        <v>144</v>
      </c>
      <c r="K14" s="236"/>
      <c r="L14" s="211">
        <f>SUM(L8:L13)</f>
        <v>54</v>
      </c>
      <c r="M14" s="212">
        <f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17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18.574074074074073</v>
      </c>
      <c r="Z14" s="190"/>
      <c r="AA14" s="189">
        <f ca="1">SUM(AA8:AA13)</f>
        <v>54</v>
      </c>
      <c r="AE14" s="184"/>
      <c r="AF14" s="169">
        <f t="shared" si="3"/>
        <v>0</v>
      </c>
      <c r="AG14" s="169" t="str">
        <f t="shared" ca="1" si="4"/>
        <v/>
      </c>
      <c r="AH14" s="169" t="str">
        <f t="shared" ca="1" si="19"/>
        <v/>
      </c>
      <c r="AJ14" s="169">
        <f t="shared" ca="1" si="5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6"/>
        <v/>
      </c>
      <c r="AQ14" s="207" t="s">
        <v>254</v>
      </c>
      <c r="AR14" s="207" t="s">
        <v>140</v>
      </c>
      <c r="AS14" s="207">
        <v>19</v>
      </c>
      <c r="AT14" s="207" t="s">
        <v>378</v>
      </c>
      <c r="AV14" s="168">
        <f>IF( LEN( AS14 ) = 0, 99, RANK( AS14, $AS$7:$AS$63 ) )</f>
        <v>14</v>
      </c>
      <c r="AW14" s="168">
        <f>COUNTIF( AV$7:AV14, AV14 )</f>
        <v>3</v>
      </c>
      <c r="AX14" s="208">
        <f t="shared" si="22"/>
        <v>14.3</v>
      </c>
      <c r="AY14" s="168">
        <f t="shared" si="23"/>
        <v>16</v>
      </c>
      <c r="AZ14" s="169"/>
      <c r="BA14" s="169"/>
      <c r="BC14" s="168">
        <f t="shared" ca="1" si="24"/>
        <v>8</v>
      </c>
      <c r="BD14" s="209">
        <f t="shared" ca="1" si="8"/>
        <v>32</v>
      </c>
      <c r="BF14" s="173" t="str">
        <f t="shared" ca="1" si="9"/>
        <v>Eversource</v>
      </c>
      <c r="BG14" s="173" t="str">
        <f t="shared" ca="1" si="9"/>
        <v>A-</v>
      </c>
      <c r="BH14" s="173">
        <f t="shared" ca="1" si="9"/>
        <v>20</v>
      </c>
      <c r="BI14" s="173" t="str">
        <f t="shared" ca="1" si="9"/>
        <v>ES</v>
      </c>
    </row>
    <row r="15" spans="1:61" ht="13.8" x14ac:dyDescent="0.25">
      <c r="A15" s="223" t="s">
        <v>277</v>
      </c>
      <c r="B15" s="224" t="s">
        <v>139</v>
      </c>
      <c r="C15" s="224">
        <v>20</v>
      </c>
      <c r="D15" s="224" t="s">
        <v>278</v>
      </c>
      <c r="E15" s="225" t="str">
        <f t="shared" ca="1" si="1"/>
        <v>MR</v>
      </c>
      <c r="F15" s="348"/>
      <c r="G15" s="349">
        <f t="shared" ca="1" si="2"/>
        <v>37</v>
      </c>
      <c r="H15" s="350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3"/>
        <v>0</v>
      </c>
      <c r="AG15" s="169" t="str">
        <f t="shared" ca="1" si="4"/>
        <v/>
      </c>
      <c r="AH15" s="169" t="str">
        <f t="shared" ca="1" si="19"/>
        <v/>
      </c>
      <c r="AJ15" s="169">
        <f t="shared" ca="1" si="5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6"/>
        <v/>
      </c>
      <c r="AQ15" s="207" t="s">
        <v>256</v>
      </c>
      <c r="AR15" s="207" t="s">
        <v>141</v>
      </c>
      <c r="AS15" s="207">
        <v>18</v>
      </c>
      <c r="AT15" s="207" t="s">
        <v>257</v>
      </c>
      <c r="AV15" s="168">
        <f t="shared" si="21"/>
        <v>26</v>
      </c>
      <c r="AW15" s="168">
        <f>COUNTIF( AV$7:AV15, AV15 )</f>
        <v>4</v>
      </c>
      <c r="AX15" s="208">
        <f t="shared" si="22"/>
        <v>26.4</v>
      </c>
      <c r="AY15" s="168">
        <f t="shared" si="23"/>
        <v>29</v>
      </c>
      <c r="AZ15" s="169"/>
      <c r="BA15" s="169"/>
      <c r="BC15" s="168">
        <f t="shared" ca="1" si="24"/>
        <v>9</v>
      </c>
      <c r="BD15" s="209">
        <f t="shared" ca="1" si="8"/>
        <v>34</v>
      </c>
      <c r="BF15" s="173" t="str">
        <f t="shared" ca="1" si="9"/>
        <v>OGE Energy Corp.</v>
      </c>
      <c r="BG15" s="173" t="str">
        <f t="shared" ca="1" si="9"/>
        <v>A-</v>
      </c>
      <c r="BH15" s="173">
        <f t="shared" ca="1" si="9"/>
        <v>20</v>
      </c>
      <c r="BI15" s="173" t="str">
        <f t="shared" ca="1" si="9"/>
        <v>OGE</v>
      </c>
    </row>
    <row r="16" spans="1:61" ht="13.8" x14ac:dyDescent="0.25">
      <c r="A16" s="223" t="s">
        <v>281</v>
      </c>
      <c r="B16" s="224" t="s">
        <v>139</v>
      </c>
      <c r="C16" s="224">
        <v>20</v>
      </c>
      <c r="D16" s="224" t="s">
        <v>282</v>
      </c>
      <c r="E16" s="225" t="str">
        <f t="shared" ca="1" si="1"/>
        <v>R</v>
      </c>
      <c r="F16" s="348"/>
      <c r="G16" s="349">
        <f t="shared" ca="1" si="2"/>
        <v>41</v>
      </c>
      <c r="H16" s="350"/>
      <c r="I16" s="232"/>
      <c r="J16" s="210" t="s">
        <v>253</v>
      </c>
      <c r="K16" s="232"/>
      <c r="L16" s="386">
        <f t="array" ref="L16">SUM( IF( LEN( $C$7:$C$65 ) = 0, 0, $C$7:$C$65 ) ) / SUM( IF( LEN( $C$7:$C$65 ) = 0, 0, 1  ) )</f>
        <v>18.444444444444443</v>
      </c>
      <c r="M16" s="387"/>
      <c r="N16" s="232"/>
      <c r="O16" s="386">
        <f t="array" aca="1" ref="O16" ca="1">SUM( IF( LEN( $C$7:$C$65 ) = 0, 0, IF( $E$7:$E$65 = O3, $C$7:$C$65, 0 ) ) ) / SUM( IF( LEN( $C$7:$C$65 ) = 0, 0, IF( $E$7:$E$65 = O3, 1, 0 ) ) )</f>
        <v>18.457142857142856</v>
      </c>
      <c r="P16" s="387"/>
      <c r="Q16" s="232"/>
      <c r="R16" s="386">
        <f t="array" aca="1" ref="R16" ca="1">SUM( IF( LEN( $C$7:$C$65 ) = 0, 0, IF( $E$7:$E$65 = R3, $C$7:$C$65, 0 ) ) ) / SUM( IF( LEN( $C$7:$C$65 ) = 0, 0, IF( $E$7:$E$65 = R3, 1, 0 ) ) )</f>
        <v>19</v>
      </c>
      <c r="S16" s="387"/>
      <c r="T16" s="232"/>
      <c r="U16" s="386">
        <f t="array" aca="1" ref="U16" ca="1">SUM( IF( LEN( $C$7:$C$65 ) = 0, 0, IF( $E$7:$E$65 = U3, $C$7:$C$65, 0 ) ) ) / SUM( IF( LEN( $C$7:$C$65 ) = 0, 0, IF( $E$7:$E$65 = U3, 1, 0 ) ) )</f>
        <v>13.5</v>
      </c>
      <c r="V16" s="388"/>
      <c r="W16" s="232"/>
      <c r="AE16" s="184"/>
      <c r="AF16" s="169">
        <f t="shared" si="3"/>
        <v>0</v>
      </c>
      <c r="AG16" s="169">
        <f t="shared" ca="1" si="4"/>
        <v>1</v>
      </c>
      <c r="AH16" s="169" t="str">
        <f t="shared" ca="1" si="19"/>
        <v/>
      </c>
      <c r="AJ16" s="169">
        <f t="shared" ca="1" si="5"/>
        <v>26</v>
      </c>
      <c r="AK16" s="169" t="str">
        <f t="shared" ca="1" si="20"/>
        <v>BBB+</v>
      </c>
      <c r="AL16" s="169">
        <f t="shared" ca="1" si="20"/>
        <v>19</v>
      </c>
      <c r="AM16" s="169" t="str">
        <f t="shared" ca="1" si="6"/>
        <v>Change</v>
      </c>
      <c r="AQ16" s="207" t="s">
        <v>227</v>
      </c>
      <c r="AR16" s="207" t="s">
        <v>139</v>
      </c>
      <c r="AS16" s="207">
        <v>20</v>
      </c>
      <c r="AT16" s="207" t="s">
        <v>228</v>
      </c>
      <c r="AV16" s="168">
        <f t="shared" si="21"/>
        <v>2</v>
      </c>
      <c r="AW16" s="168">
        <f>COUNTIF( AV$7:AV16, AV16 )</f>
        <v>3</v>
      </c>
      <c r="AX16" s="208">
        <f t="shared" si="22"/>
        <v>2.2999999999999998</v>
      </c>
      <c r="AY16" s="168">
        <f t="shared" si="23"/>
        <v>4</v>
      </c>
      <c r="AZ16" s="169"/>
      <c r="BA16" s="169"/>
      <c r="BC16" s="168">
        <f t="shared" ca="1" si="24"/>
        <v>10</v>
      </c>
      <c r="BD16" s="209">
        <f t="shared" ca="1" si="8"/>
        <v>38</v>
      </c>
      <c r="BF16" s="173" t="str">
        <f t="shared" ca="1" si="9"/>
        <v>Pinnacle West Capital Corporation</v>
      </c>
      <c r="BG16" s="173" t="str">
        <f t="shared" ca="1" si="9"/>
        <v>A-</v>
      </c>
      <c r="BH16" s="173">
        <f t="shared" ca="1" si="9"/>
        <v>20</v>
      </c>
      <c r="BI16" s="173" t="str">
        <f t="shared" ca="1" si="9"/>
        <v>PNW</v>
      </c>
    </row>
    <row r="17" spans="1:61" ht="13.8" x14ac:dyDescent="0.25">
      <c r="A17" s="223" t="s">
        <v>345</v>
      </c>
      <c r="B17" s="224" t="s">
        <v>139</v>
      </c>
      <c r="C17" s="224">
        <v>20</v>
      </c>
      <c r="D17" s="224" t="s">
        <v>346</v>
      </c>
      <c r="E17" s="225" t="str">
        <f t="shared" ca="1" si="1"/>
        <v>MR</v>
      </c>
      <c r="F17" s="348"/>
      <c r="G17" s="349">
        <f t="shared" ca="1" si="2"/>
        <v>53</v>
      </c>
      <c r="H17" s="350"/>
      <c r="I17" s="237"/>
      <c r="K17" s="237"/>
      <c r="N17" s="237"/>
      <c r="O17" s="173"/>
      <c r="Q17" s="237"/>
      <c r="T17" s="237"/>
      <c r="W17" s="237"/>
      <c r="AE17" s="178"/>
      <c r="AF17" s="169">
        <f t="shared" si="3"/>
        <v>0</v>
      </c>
      <c r="AG17" s="169" t="str">
        <f t="shared" ca="1" si="4"/>
        <v/>
      </c>
      <c r="AH17" s="169" t="str">
        <f t="shared" ca="1" si="19"/>
        <v/>
      </c>
      <c r="AJ17" s="169">
        <f t="shared" ca="1" si="5"/>
        <v>16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6"/>
        <v/>
      </c>
      <c r="AQ17" s="207" t="s">
        <v>361</v>
      </c>
      <c r="AR17" s="207" t="s">
        <v>139</v>
      </c>
      <c r="AS17" s="207">
        <v>20</v>
      </c>
      <c r="AT17" s="207" t="s">
        <v>194</v>
      </c>
      <c r="AV17" s="168">
        <f t="shared" si="21"/>
        <v>2</v>
      </c>
      <c r="AW17" s="168">
        <f>COUNTIF( AV$7:AV17, AV17 )</f>
        <v>4</v>
      </c>
      <c r="AX17" s="208">
        <f t="shared" si="22"/>
        <v>2.4</v>
      </c>
      <c r="AY17" s="168">
        <f t="shared" si="23"/>
        <v>5</v>
      </c>
      <c r="AZ17" s="169"/>
      <c r="BA17" s="169"/>
      <c r="BC17" s="168">
        <f t="shared" ca="1" si="24"/>
        <v>11</v>
      </c>
      <c r="BD17" s="209">
        <f t="shared" ca="1" si="8"/>
        <v>49</v>
      </c>
      <c r="BF17" s="173" t="str">
        <f t="shared" ca="1" si="9"/>
        <v>Vectren Corporation</v>
      </c>
      <c r="BG17" s="173" t="str">
        <f t="shared" ca="1" si="9"/>
        <v>A-</v>
      </c>
      <c r="BH17" s="173">
        <f t="shared" ca="1" si="9"/>
        <v>20</v>
      </c>
      <c r="BI17" s="173" t="str">
        <f t="shared" ca="1" si="9"/>
        <v>VVC</v>
      </c>
    </row>
    <row r="18" spans="1:61" ht="13.8" x14ac:dyDescent="0.25">
      <c r="A18" s="223" t="s">
        <v>247</v>
      </c>
      <c r="B18" s="224" t="s">
        <v>139</v>
      </c>
      <c r="C18" s="224">
        <v>20</v>
      </c>
      <c r="D18" s="224" t="s">
        <v>248</v>
      </c>
      <c r="E18" s="225" t="str">
        <f t="shared" ca="1" si="1"/>
        <v>R</v>
      </c>
      <c r="F18" s="348"/>
      <c r="G18" s="349">
        <f t="shared" ca="1" si="2"/>
        <v>55</v>
      </c>
      <c r="H18" s="350"/>
      <c r="I18" s="237"/>
      <c r="K18" s="237"/>
      <c r="N18" s="237"/>
      <c r="O18" s="173"/>
      <c r="Q18" s="237"/>
      <c r="T18" s="237"/>
      <c r="W18" s="237"/>
      <c r="AE18" s="184"/>
      <c r="AF18" s="169">
        <f t="shared" si="3"/>
        <v>0</v>
      </c>
      <c r="AG18" s="169" t="str">
        <f t="shared" ca="1" si="4"/>
        <v/>
      </c>
      <c r="AH18" s="169" t="str">
        <f t="shared" ca="1" si="19"/>
        <v/>
      </c>
      <c r="AJ18" s="169">
        <f t="shared" ca="1" si="5"/>
        <v>17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6"/>
        <v/>
      </c>
      <c r="AQ18" s="207" t="s">
        <v>259</v>
      </c>
      <c r="AR18" s="207" t="s">
        <v>175</v>
      </c>
      <c r="AS18" s="207">
        <v>15</v>
      </c>
      <c r="AT18" s="207" t="s">
        <v>260</v>
      </c>
      <c r="AV18" s="168">
        <f t="shared" si="21"/>
        <v>51</v>
      </c>
      <c r="AW18" s="168">
        <f>COUNTIF( AV$7:AV18, AV18 )</f>
        <v>1</v>
      </c>
      <c r="AX18" s="208">
        <f t="shared" si="22"/>
        <v>51.1</v>
      </c>
      <c r="AY18" s="168">
        <f t="shared" si="23"/>
        <v>51</v>
      </c>
      <c r="AZ18" s="169"/>
      <c r="BA18" s="169"/>
      <c r="BC18" s="168">
        <f t="shared" ca="1" si="24"/>
        <v>12</v>
      </c>
      <c r="BD18" s="209">
        <f t="shared" ca="1" si="8"/>
        <v>51</v>
      </c>
      <c r="BF18" s="173" t="str">
        <f t="shared" ca="1" si="9"/>
        <v>Wisconsin Energy Corporation</v>
      </c>
      <c r="BG18" s="173" t="str">
        <f t="shared" ca="1" si="9"/>
        <v>A-</v>
      </c>
      <c r="BH18" s="173">
        <f t="shared" ca="1" si="9"/>
        <v>20</v>
      </c>
      <c r="BI18" s="173" t="str">
        <f t="shared" ca="1" si="9"/>
        <v>WEC</v>
      </c>
    </row>
    <row r="19" spans="1:61" ht="13.8" x14ac:dyDescent="0.25">
      <c r="A19" s="223" t="s">
        <v>251</v>
      </c>
      <c r="B19" s="224" t="s">
        <v>139</v>
      </c>
      <c r="C19" s="224">
        <v>20</v>
      </c>
      <c r="D19" s="224" t="s">
        <v>252</v>
      </c>
      <c r="E19" s="225" t="str">
        <f t="shared" ca="1" si="1"/>
        <v>R</v>
      </c>
      <c r="F19" s="348"/>
      <c r="G19" s="349">
        <f t="shared" ca="1" si="2"/>
        <v>56</v>
      </c>
      <c r="H19" s="350"/>
      <c r="I19" s="237"/>
      <c r="K19" s="237"/>
      <c r="N19" s="237"/>
      <c r="O19" s="173"/>
      <c r="Q19" s="237"/>
      <c r="T19" s="237"/>
      <c r="W19" s="237"/>
      <c r="AE19" s="184"/>
      <c r="AF19" s="169">
        <f t="shared" si="3"/>
        <v>0</v>
      </c>
      <c r="AG19" s="169" t="str">
        <f t="shared" ca="1" si="4"/>
        <v/>
      </c>
      <c r="AH19" s="169" t="str">
        <f t="shared" ca="1" si="19"/>
        <v/>
      </c>
      <c r="AJ19" s="169">
        <f t="shared" ca="1" si="5"/>
        <v>18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6"/>
        <v/>
      </c>
      <c r="AQ19" s="207" t="s">
        <v>261</v>
      </c>
      <c r="AR19" s="207" t="s">
        <v>140</v>
      </c>
      <c r="AS19" s="207">
        <v>19</v>
      </c>
      <c r="AT19" s="207" t="s">
        <v>262</v>
      </c>
      <c r="AV19" s="168">
        <f t="shared" si="21"/>
        <v>14</v>
      </c>
      <c r="AW19" s="168">
        <f>COUNTIF( AV$7:AV19, AV19 )</f>
        <v>4</v>
      </c>
      <c r="AX19" s="208">
        <f t="shared" si="22"/>
        <v>14.4</v>
      </c>
      <c r="AY19" s="168">
        <f t="shared" si="23"/>
        <v>17</v>
      </c>
      <c r="AZ19" s="169"/>
      <c r="BA19" s="169"/>
      <c r="BC19" s="168">
        <f t="shared" ca="1" si="24"/>
        <v>13</v>
      </c>
      <c r="BD19" s="209">
        <f t="shared" ca="1" si="8"/>
        <v>52</v>
      </c>
      <c r="BF19" s="173" t="str">
        <f t="shared" ca="1" si="9"/>
        <v>Xcel Energy Inc.</v>
      </c>
      <c r="BG19" s="173" t="str">
        <f t="shared" ca="1" si="9"/>
        <v>A-</v>
      </c>
      <c r="BH19" s="173">
        <f t="shared" ca="1" si="9"/>
        <v>20</v>
      </c>
      <c r="BI19" s="173" t="str">
        <f t="shared" ca="1" si="9"/>
        <v>XEL</v>
      </c>
    </row>
    <row r="20" spans="1:61" ht="13.8" x14ac:dyDescent="0.25">
      <c r="A20" s="223" t="s">
        <v>217</v>
      </c>
      <c r="B20" s="224" t="s">
        <v>140</v>
      </c>
      <c r="C20" s="224">
        <v>19</v>
      </c>
      <c r="D20" s="224" t="s">
        <v>218</v>
      </c>
      <c r="E20" s="225" t="str">
        <f t="shared" ca="1" si="1"/>
        <v>R</v>
      </c>
      <c r="F20" s="348"/>
      <c r="G20" s="349">
        <f t="shared" ca="1" si="2"/>
        <v>7</v>
      </c>
      <c r="H20" s="350"/>
      <c r="I20" s="352"/>
      <c r="K20" s="352"/>
      <c r="N20" s="352"/>
      <c r="O20" s="173"/>
      <c r="Q20" s="352"/>
      <c r="T20" s="352"/>
      <c r="W20" s="352"/>
      <c r="AE20" s="184"/>
      <c r="AF20" s="169">
        <f t="shared" si="3"/>
        <v>1</v>
      </c>
      <c r="AG20" s="169" t="str">
        <f t="shared" ca="1" si="4"/>
        <v/>
      </c>
      <c r="AH20" s="169" t="str">
        <f t="shared" ca="1" si="19"/>
        <v/>
      </c>
      <c r="AJ20" s="169">
        <f t="shared" ca="1" si="5"/>
        <v>19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6"/>
        <v/>
      </c>
      <c r="AQ20" s="207" t="s">
        <v>263</v>
      </c>
      <c r="AR20" s="207" t="s">
        <v>140</v>
      </c>
      <c r="AS20" s="207">
        <v>19</v>
      </c>
      <c r="AT20" s="207" t="s">
        <v>264</v>
      </c>
      <c r="AV20" s="168">
        <f t="shared" si="21"/>
        <v>14</v>
      </c>
      <c r="AW20" s="168">
        <f>COUNTIF( AV$7:AV20, AV20 )</f>
        <v>5</v>
      </c>
      <c r="AX20" s="208">
        <f t="shared" si="22"/>
        <v>14.5</v>
      </c>
      <c r="AY20" s="168">
        <f t="shared" si="23"/>
        <v>18</v>
      </c>
      <c r="AZ20" s="169"/>
      <c r="BA20" s="169"/>
      <c r="BC20" s="168">
        <f t="shared" ca="1" si="24"/>
        <v>14</v>
      </c>
      <c r="BD20" s="209">
        <f t="shared" ca="1" si="8"/>
        <v>1</v>
      </c>
      <c r="BF20" s="173" t="str">
        <f t="shared" ca="1" si="9"/>
        <v>ALLETE, Inc.</v>
      </c>
      <c r="BG20" s="173" t="str">
        <f t="shared" ca="1" si="9"/>
        <v>BBB+</v>
      </c>
      <c r="BH20" s="173">
        <f t="shared" ca="1" si="9"/>
        <v>19</v>
      </c>
      <c r="BI20" s="173" t="str">
        <f t="shared" ca="1" si="9"/>
        <v>ALE</v>
      </c>
    </row>
    <row r="21" spans="1:61" ht="13.8" x14ac:dyDescent="0.25">
      <c r="A21" s="223" t="s">
        <v>225</v>
      </c>
      <c r="B21" s="224" t="s">
        <v>140</v>
      </c>
      <c r="C21" s="224">
        <v>19</v>
      </c>
      <c r="D21" s="224" t="s">
        <v>226</v>
      </c>
      <c r="E21" s="225" t="str">
        <f t="shared" ca="1" si="1"/>
        <v>R</v>
      </c>
      <c r="F21" s="348"/>
      <c r="G21" s="349">
        <f t="shared" ca="1" si="2"/>
        <v>9</v>
      </c>
      <c r="H21" s="350"/>
      <c r="I21" s="237"/>
      <c r="K21" s="237"/>
      <c r="N21" s="237"/>
      <c r="Q21" s="237"/>
      <c r="T21" s="237"/>
      <c r="W21" s="237"/>
      <c r="AE21" s="184"/>
      <c r="AF21" s="169">
        <f t="shared" si="3"/>
        <v>1</v>
      </c>
      <c r="AG21" s="169">
        <f t="shared" ca="1" si="4"/>
        <v>1</v>
      </c>
      <c r="AH21" s="169" t="str">
        <f t="shared" ca="1" si="19"/>
        <v/>
      </c>
      <c r="AJ21" s="169">
        <f t="shared" ca="1" si="5"/>
        <v>31</v>
      </c>
      <c r="AK21" s="169" t="str">
        <f t="shared" ca="1" si="20"/>
        <v>BBB</v>
      </c>
      <c r="AL21" s="169">
        <f t="shared" ca="1" si="20"/>
        <v>18</v>
      </c>
      <c r="AM21" s="169" t="str">
        <f t="shared" ca="1" si="6"/>
        <v>Change</v>
      </c>
      <c r="AQ21" s="207" t="s">
        <v>265</v>
      </c>
      <c r="AR21" s="207" t="s">
        <v>142</v>
      </c>
      <c r="AS21" s="207">
        <v>17</v>
      </c>
      <c r="AT21" s="207" t="s">
        <v>266</v>
      </c>
      <c r="AV21" s="168">
        <f t="shared" si="21"/>
        <v>45</v>
      </c>
      <c r="AW21" s="168">
        <f>COUNTIF( AV$7:AV21, AV21 )</f>
        <v>1</v>
      </c>
      <c r="AX21" s="208">
        <f t="shared" si="22"/>
        <v>45.1</v>
      </c>
      <c r="AY21" s="168">
        <f t="shared" si="23"/>
        <v>45</v>
      </c>
      <c r="AZ21" s="169"/>
      <c r="BA21" s="169"/>
      <c r="BC21" s="168">
        <f t="shared" ca="1" si="24"/>
        <v>15</v>
      </c>
      <c r="BD21" s="209">
        <f t="shared" ca="1" si="8"/>
        <v>3</v>
      </c>
      <c r="BF21" s="173" t="str">
        <f t="shared" ca="1" si="9"/>
        <v>Ameren Corporation</v>
      </c>
      <c r="BG21" s="173" t="str">
        <f t="shared" ca="1" si="9"/>
        <v>BBB+</v>
      </c>
      <c r="BH21" s="173">
        <f t="shared" ca="1" si="9"/>
        <v>19</v>
      </c>
      <c r="BI21" s="173" t="str">
        <f t="shared" ca="1" si="9"/>
        <v>AEE</v>
      </c>
    </row>
    <row r="22" spans="1:61" ht="13.8" x14ac:dyDescent="0.25">
      <c r="A22" s="223" t="s">
        <v>254</v>
      </c>
      <c r="B22" s="224" t="s">
        <v>140</v>
      </c>
      <c r="C22" s="224">
        <v>19</v>
      </c>
      <c r="D22" s="224" t="s">
        <v>378</v>
      </c>
      <c r="E22" s="225" t="str">
        <f t="shared" ca="1" si="1"/>
        <v>R</v>
      </c>
      <c r="F22" s="348"/>
      <c r="G22" s="349">
        <f t="shared" ca="1" si="2"/>
        <v>14</v>
      </c>
      <c r="H22" s="350"/>
      <c r="I22" s="237"/>
      <c r="K22" s="237"/>
      <c r="N22" s="237"/>
      <c r="Q22" s="237"/>
      <c r="T22" s="237"/>
      <c r="W22" s="237"/>
      <c r="AE22" s="184"/>
      <c r="AF22" s="169">
        <f t="shared" si="3"/>
        <v>1</v>
      </c>
      <c r="AG22" s="169" t="str">
        <f t="shared" ca="1" si="4"/>
        <v/>
      </c>
      <c r="AH22" s="169" t="str">
        <f t="shared" ca="1" si="19"/>
        <v/>
      </c>
      <c r="AJ22" s="169">
        <f t="shared" ca="1" si="5"/>
        <v>20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6"/>
        <v/>
      </c>
      <c r="AQ22" s="207" t="s">
        <v>328</v>
      </c>
      <c r="AR22" s="207" t="s">
        <v>141</v>
      </c>
      <c r="AS22" s="207">
        <v>18</v>
      </c>
      <c r="AT22" s="207" t="s">
        <v>331</v>
      </c>
      <c r="AV22" s="168">
        <f t="shared" si="21"/>
        <v>26</v>
      </c>
      <c r="AW22" s="168">
        <f>COUNTIF( AV$7:AV22, AV22 )</f>
        <v>5</v>
      </c>
      <c r="AX22" s="208">
        <f t="shared" si="22"/>
        <v>26.5</v>
      </c>
      <c r="AY22" s="168">
        <f t="shared" si="23"/>
        <v>30</v>
      </c>
      <c r="AZ22" s="169"/>
      <c r="BA22" s="169"/>
      <c r="BC22" s="168">
        <f t="shared" ca="1" si="24"/>
        <v>16</v>
      </c>
      <c r="BD22" s="209">
        <f t="shared" ca="1" si="8"/>
        <v>8</v>
      </c>
      <c r="BF22" s="173" t="str">
        <f t="shared" ca="1" si="9"/>
        <v>Cleco Corporation</v>
      </c>
      <c r="BG22" s="173" t="str">
        <f t="shared" ca="1" si="9"/>
        <v>BBB+</v>
      </c>
      <c r="BH22" s="173">
        <f t="shared" ca="1" si="9"/>
        <v>19</v>
      </c>
      <c r="BI22" s="173" t="str">
        <f t="shared" ca="1" si="9"/>
        <v>CNL</v>
      </c>
    </row>
    <row r="23" spans="1:61" ht="13.8" x14ac:dyDescent="0.25">
      <c r="A23" s="223" t="s">
        <v>261</v>
      </c>
      <c r="B23" s="224" t="s">
        <v>140</v>
      </c>
      <c r="C23" s="224">
        <v>19</v>
      </c>
      <c r="D23" s="224" t="s">
        <v>262</v>
      </c>
      <c r="E23" s="225" t="str">
        <f t="shared" ca="1" si="1"/>
        <v>R</v>
      </c>
      <c r="F23" s="348"/>
      <c r="G23" s="349">
        <f t="shared" ca="1" si="2"/>
        <v>18</v>
      </c>
      <c r="H23" s="350"/>
      <c r="I23" s="237"/>
      <c r="K23" s="237"/>
      <c r="N23" s="237"/>
      <c r="Q23" s="237"/>
      <c r="T23" s="237"/>
      <c r="W23" s="237"/>
      <c r="AE23" s="184"/>
      <c r="AF23" s="169">
        <f t="shared" si="3"/>
        <v>1</v>
      </c>
      <c r="AG23" s="169" t="str">
        <f t="shared" ca="1" si="4"/>
        <v/>
      </c>
      <c r="AH23" s="169" t="str">
        <f t="shared" ca="1" si="19"/>
        <v/>
      </c>
      <c r="AJ23" s="169">
        <f t="shared" ca="1" si="5"/>
        <v>21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6"/>
        <v/>
      </c>
      <c r="AQ23" s="207" t="s">
        <v>367</v>
      </c>
      <c r="AR23" s="207" t="s">
        <v>141</v>
      </c>
      <c r="AS23" s="207">
        <v>18</v>
      </c>
      <c r="AT23" s="207" t="s">
        <v>368</v>
      </c>
      <c r="AV23" s="168">
        <f t="shared" si="21"/>
        <v>26</v>
      </c>
      <c r="AW23" s="168">
        <f>COUNTIF( AV$7:AV23, AV23 )</f>
        <v>6</v>
      </c>
      <c r="AX23" s="208">
        <f t="shared" si="22"/>
        <v>26.6</v>
      </c>
      <c r="AY23" s="168">
        <f t="shared" si="23"/>
        <v>31</v>
      </c>
      <c r="AZ23" s="169"/>
      <c r="BA23" s="169"/>
      <c r="BC23" s="168">
        <f t="shared" ca="1" si="24"/>
        <v>17</v>
      </c>
      <c r="BD23" s="209">
        <f t="shared" ca="1" si="8"/>
        <v>13</v>
      </c>
      <c r="BF23" s="173" t="str">
        <f t="shared" ca="1" si="9"/>
        <v>DTE Energy Company</v>
      </c>
      <c r="BG23" s="173" t="str">
        <f t="shared" ca="1" si="9"/>
        <v>BBB+</v>
      </c>
      <c r="BH23" s="173">
        <f t="shared" ca="1" si="9"/>
        <v>19</v>
      </c>
      <c r="BI23" s="173" t="str">
        <f t="shared" ca="1" si="9"/>
        <v>DTE</v>
      </c>
    </row>
    <row r="24" spans="1:61" ht="13.8" x14ac:dyDescent="0.25">
      <c r="A24" s="223" t="s">
        <v>263</v>
      </c>
      <c r="B24" s="224" t="s">
        <v>140</v>
      </c>
      <c r="C24" s="224">
        <v>19</v>
      </c>
      <c r="D24" s="224" t="s">
        <v>264</v>
      </c>
      <c r="E24" s="225" t="str">
        <f t="shared" ca="1" si="1"/>
        <v>R</v>
      </c>
      <c r="F24" s="348"/>
      <c r="G24" s="349">
        <f t="shared" ca="1" si="2"/>
        <v>19</v>
      </c>
      <c r="H24" s="350"/>
      <c r="I24" s="237"/>
      <c r="J24" s="191"/>
      <c r="K24" s="237"/>
      <c r="N24" s="237"/>
      <c r="Q24" s="237"/>
      <c r="T24" s="237"/>
      <c r="W24" s="237"/>
      <c r="AE24" s="184"/>
      <c r="AF24" s="169">
        <f t="shared" si="3"/>
        <v>1</v>
      </c>
      <c r="AG24" s="169" t="str">
        <f t="shared" ca="1" si="4"/>
        <v/>
      </c>
      <c r="AH24" s="169" t="str">
        <f t="shared" ca="1" si="19"/>
        <v/>
      </c>
      <c r="AJ24" s="169">
        <f t="shared" ca="1" si="5"/>
        <v>22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6"/>
        <v/>
      </c>
      <c r="AQ24" s="207" t="s">
        <v>371</v>
      </c>
      <c r="AR24" s="207" t="s">
        <v>189</v>
      </c>
      <c r="AS24" s="207">
        <v>8</v>
      </c>
      <c r="AT24" s="207" t="s">
        <v>359</v>
      </c>
      <c r="AV24" s="168">
        <f t="shared" si="21"/>
        <v>52</v>
      </c>
      <c r="AW24" s="168">
        <f>COUNTIF( AV$7:AV24, AV24 )</f>
        <v>1</v>
      </c>
      <c r="AX24" s="208">
        <f t="shared" si="22"/>
        <v>52.1</v>
      </c>
      <c r="AY24" s="168">
        <f t="shared" si="23"/>
        <v>52</v>
      </c>
      <c r="AZ24" s="169"/>
      <c r="BA24" s="169"/>
      <c r="BC24" s="168">
        <f t="shared" ca="1" si="24"/>
        <v>18</v>
      </c>
      <c r="BD24" s="209">
        <f t="shared" ca="1" si="8"/>
        <v>14</v>
      </c>
      <c r="BF24" s="173" t="str">
        <f t="shared" ca="1" si="9"/>
        <v>Duke Energy Corporation</v>
      </c>
      <c r="BG24" s="173" t="str">
        <f t="shared" ca="1" si="9"/>
        <v>BBB+</v>
      </c>
      <c r="BH24" s="173">
        <f t="shared" ca="1" si="9"/>
        <v>19</v>
      </c>
      <c r="BI24" s="173" t="str">
        <f t="shared" ca="1" si="9"/>
        <v>DUK</v>
      </c>
    </row>
    <row r="25" spans="1:61" ht="13.8" x14ac:dyDescent="0.25">
      <c r="A25" s="223" t="s">
        <v>271</v>
      </c>
      <c r="B25" s="224" t="s">
        <v>140</v>
      </c>
      <c r="C25" s="224">
        <v>19</v>
      </c>
      <c r="D25" s="224" t="s">
        <v>272</v>
      </c>
      <c r="E25" s="225" t="str">
        <f t="shared" ca="1" si="1"/>
        <v>D</v>
      </c>
      <c r="F25" s="348"/>
      <c r="G25" s="349">
        <f t="shared" ca="1" si="2"/>
        <v>30</v>
      </c>
      <c r="H25" s="350"/>
      <c r="I25" s="237"/>
      <c r="J25" s="191"/>
      <c r="K25" s="237"/>
      <c r="N25" s="237"/>
      <c r="Q25" s="237"/>
      <c r="T25" s="237"/>
      <c r="W25" s="237"/>
      <c r="AE25" s="184"/>
      <c r="AF25" s="169">
        <f t="shared" si="3"/>
        <v>1</v>
      </c>
      <c r="AG25" s="169" t="str">
        <f t="shared" ca="1" si="4"/>
        <v/>
      </c>
      <c r="AH25" s="169" t="str">
        <f t="shared" ca="1" si="19"/>
        <v/>
      </c>
      <c r="AJ25" s="169">
        <f t="shared" ca="1" si="5"/>
        <v>23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6"/>
        <v/>
      </c>
      <c r="AQ25" s="207" t="s">
        <v>267</v>
      </c>
      <c r="AR25" s="207" t="s">
        <v>141</v>
      </c>
      <c r="AS25" s="207">
        <v>18</v>
      </c>
      <c r="AT25" s="207" t="s">
        <v>268</v>
      </c>
      <c r="AV25" s="168">
        <f t="shared" si="21"/>
        <v>26</v>
      </c>
      <c r="AW25" s="168">
        <f>COUNTIF( AV$7:AV25, AV25 )</f>
        <v>7</v>
      </c>
      <c r="AX25" s="208">
        <f t="shared" si="22"/>
        <v>26.7</v>
      </c>
      <c r="AY25" s="168">
        <f t="shared" si="23"/>
        <v>32</v>
      </c>
      <c r="AZ25" s="169"/>
      <c r="BA25" s="169"/>
      <c r="BC25" s="168">
        <f t="shared" ca="1" si="24"/>
        <v>19</v>
      </c>
      <c r="BD25" s="209">
        <f t="shared" ca="1" si="8"/>
        <v>28</v>
      </c>
      <c r="BF25" s="173" t="str">
        <f t="shared" ca="1" si="9"/>
        <v>MDU Resources Group, Inc.</v>
      </c>
      <c r="BG25" s="173" t="str">
        <f t="shared" ca="1" si="9"/>
        <v>BBB+</v>
      </c>
      <c r="BH25" s="173">
        <f t="shared" ca="1" si="9"/>
        <v>19</v>
      </c>
      <c r="BI25" s="173" t="str">
        <f t="shared" ca="1" si="9"/>
        <v>MDU</v>
      </c>
    </row>
    <row r="26" spans="1:61" ht="13.8" x14ac:dyDescent="0.25">
      <c r="A26" s="223" t="s">
        <v>408</v>
      </c>
      <c r="B26" s="224" t="s">
        <v>140</v>
      </c>
      <c r="C26" s="224">
        <v>19</v>
      </c>
      <c r="D26" s="224" t="s">
        <v>216</v>
      </c>
      <c r="E26" s="225" t="str">
        <f t="shared" ca="1" si="1"/>
        <v>MR</v>
      </c>
      <c r="F26" s="348"/>
      <c r="G26" s="349">
        <f t="shared" ca="1" si="2"/>
        <v>62</v>
      </c>
      <c r="H26" s="350"/>
      <c r="I26" s="237"/>
      <c r="J26" s="191"/>
      <c r="K26" s="237"/>
      <c r="N26" s="237"/>
      <c r="Q26" s="237"/>
      <c r="T26" s="237"/>
      <c r="W26" s="237"/>
      <c r="AE26" s="184"/>
      <c r="AF26" s="169">
        <f t="shared" si="3"/>
        <v>1</v>
      </c>
      <c r="AG26" s="169" t="str">
        <f t="shared" ca="1" si="4"/>
        <v/>
      </c>
      <c r="AH26" s="169" t="str">
        <f t="shared" ca="1" si="19"/>
        <v/>
      </c>
      <c r="AJ26" s="169">
        <f t="shared" ca="1" si="5"/>
        <v>24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6"/>
        <v/>
      </c>
      <c r="AQ26" s="207" t="s">
        <v>269</v>
      </c>
      <c r="AR26" s="207" t="s">
        <v>141</v>
      </c>
      <c r="AS26" s="207">
        <v>18</v>
      </c>
      <c r="AT26" s="207" t="s">
        <v>270</v>
      </c>
      <c r="AV26" s="168">
        <f t="shared" si="21"/>
        <v>26</v>
      </c>
      <c r="AW26" s="168">
        <f>COUNTIF( AV$7:AV26, AV26 )</f>
        <v>8</v>
      </c>
      <c r="AX26" s="208">
        <f t="shared" si="22"/>
        <v>26.8</v>
      </c>
      <c r="AY26" s="168">
        <f t="shared" si="23"/>
        <v>33</v>
      </c>
      <c r="AZ26" s="169"/>
      <c r="BA26" s="169"/>
      <c r="BC26" s="168">
        <f t="shared" ca="1" si="24"/>
        <v>20</v>
      </c>
      <c r="BD26" s="209">
        <f t="shared" ca="1" si="8"/>
        <v>29</v>
      </c>
      <c r="BF26" s="173" t="str">
        <f t="shared" ca="1" si="9"/>
        <v>MidAmerican Energy Holdings Company</v>
      </c>
      <c r="BG26" s="173" t="str">
        <f t="shared" ca="1" si="9"/>
        <v>BBB+</v>
      </c>
      <c r="BH26" s="173">
        <f t="shared" ca="1" si="9"/>
        <v>19</v>
      </c>
      <c r="BI26" s="173" t="str">
        <f t="shared" ca="1" si="9"/>
        <v>**BRK</v>
      </c>
    </row>
    <row r="27" spans="1:61" ht="13.8" x14ac:dyDescent="0.25">
      <c r="A27" s="223" t="s">
        <v>382</v>
      </c>
      <c r="B27" s="224" t="s">
        <v>140</v>
      </c>
      <c r="C27" s="224">
        <v>19</v>
      </c>
      <c r="D27" s="224" t="s">
        <v>383</v>
      </c>
      <c r="E27" s="225" t="str">
        <f t="shared" ca="1" si="1"/>
        <v>MR</v>
      </c>
      <c r="F27" s="348"/>
      <c r="G27" s="349">
        <f t="shared" ca="1" si="2"/>
        <v>39</v>
      </c>
      <c r="H27" s="350"/>
      <c r="I27" s="237"/>
      <c r="J27" s="191"/>
      <c r="K27" s="237"/>
      <c r="N27" s="237"/>
      <c r="Q27" s="237"/>
      <c r="T27" s="237"/>
      <c r="W27" s="237"/>
      <c r="AE27" s="184"/>
      <c r="AF27" s="169">
        <f t="shared" si="3"/>
        <v>1</v>
      </c>
      <c r="AG27" s="169" t="str">
        <f t="shared" ca="1" si="4"/>
        <v/>
      </c>
      <c r="AH27" s="169" t="str">
        <f t="shared" ca="1" si="19"/>
        <v/>
      </c>
      <c r="AJ27" s="169">
        <f t="shared" ca="1" si="5"/>
        <v>25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6"/>
        <v/>
      </c>
      <c r="AQ27" s="207" t="s">
        <v>275</v>
      </c>
      <c r="AR27" s="207" t="s">
        <v>142</v>
      </c>
      <c r="AS27" s="207">
        <v>17</v>
      </c>
      <c r="AT27" s="207" t="s">
        <v>276</v>
      </c>
      <c r="AV27" s="168">
        <f t="shared" si="21"/>
        <v>45</v>
      </c>
      <c r="AW27" s="168">
        <f>COUNTIF( AV$7:AV27, AV27 )</f>
        <v>2</v>
      </c>
      <c r="AX27" s="208">
        <f t="shared" si="22"/>
        <v>45.2</v>
      </c>
      <c r="AY27" s="168">
        <f t="shared" si="23"/>
        <v>46</v>
      </c>
      <c r="AZ27" s="169"/>
      <c r="BA27" s="169"/>
      <c r="BC27" s="168">
        <f t="shared" ca="1" si="24"/>
        <v>21</v>
      </c>
      <c r="BD27" s="209">
        <f t="shared" ca="1" si="8"/>
        <v>36</v>
      </c>
      <c r="BF27" s="173" t="str">
        <f t="shared" ca="1" si="9"/>
        <v>Pepco Holdings, Inc.</v>
      </c>
      <c r="BG27" s="173" t="str">
        <f t="shared" ca="1" si="9"/>
        <v>BBB+</v>
      </c>
      <c r="BH27" s="173">
        <f t="shared" ca="1" si="9"/>
        <v>19</v>
      </c>
      <c r="BI27" s="173" t="str">
        <f t="shared" ca="1" si="9"/>
        <v>POM</v>
      </c>
    </row>
    <row r="28" spans="1:61" ht="13.8" x14ac:dyDescent="0.25">
      <c r="A28" s="223" t="s">
        <v>289</v>
      </c>
      <c r="B28" s="224" t="s">
        <v>140</v>
      </c>
      <c r="C28" s="224">
        <v>19</v>
      </c>
      <c r="D28" s="224" t="s">
        <v>290</v>
      </c>
      <c r="E28" s="225" t="str">
        <f t="shared" ca="1" si="1"/>
        <v>MR</v>
      </c>
      <c r="F28" s="348"/>
      <c r="G28" s="349">
        <f t="shared" ca="1" si="2"/>
        <v>45</v>
      </c>
      <c r="H28" s="350"/>
      <c r="I28" s="237"/>
      <c r="J28" s="191"/>
      <c r="K28" s="237"/>
      <c r="N28" s="237"/>
      <c r="Q28" s="237"/>
      <c r="T28" s="237"/>
      <c r="W28" s="237"/>
      <c r="AE28" s="178"/>
      <c r="AF28" s="169">
        <f t="shared" si="3"/>
        <v>1</v>
      </c>
      <c r="AG28" s="169" t="str">
        <f t="shared" ca="1" si="4"/>
        <v/>
      </c>
      <c r="AH28" s="169" t="str">
        <f t="shared" ca="1" si="19"/>
        <v/>
      </c>
      <c r="AJ28" s="169">
        <f t="shared" ca="1" si="5"/>
        <v>27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6"/>
        <v/>
      </c>
      <c r="AQ28" s="207" t="s">
        <v>352</v>
      </c>
      <c r="AR28" s="207" t="s">
        <v>141</v>
      </c>
      <c r="AS28" s="207">
        <v>18</v>
      </c>
      <c r="AT28" s="207" t="s">
        <v>353</v>
      </c>
      <c r="AV28" s="168">
        <f t="shared" si="21"/>
        <v>26</v>
      </c>
      <c r="AW28" s="168">
        <f>COUNTIF( AV$7:AV28, AV28 )</f>
        <v>9</v>
      </c>
      <c r="AX28" s="208">
        <f t="shared" si="22"/>
        <v>26.9</v>
      </c>
      <c r="AY28" s="168">
        <f t="shared" si="23"/>
        <v>34</v>
      </c>
      <c r="AZ28" s="169"/>
      <c r="BA28" s="169"/>
      <c r="BC28" s="168">
        <f t="shared" ca="1" si="24"/>
        <v>22</v>
      </c>
      <c r="BD28" s="209">
        <f t="shared" ca="1" si="8"/>
        <v>42</v>
      </c>
      <c r="BF28" s="173" t="str">
        <f t="shared" ca="1" si="9"/>
        <v>Public Service Enterprise Group Incorporated</v>
      </c>
      <c r="BG28" s="173" t="str">
        <f t="shared" ca="1" si="9"/>
        <v>BBB+</v>
      </c>
      <c r="BH28" s="173">
        <f t="shared" ca="1" si="9"/>
        <v>19</v>
      </c>
      <c r="BI28" s="173" t="str">
        <f t="shared" ca="1" si="9"/>
        <v>PEG</v>
      </c>
    </row>
    <row r="29" spans="1:61" ht="13.8" x14ac:dyDescent="0.25">
      <c r="A29" s="223" t="s">
        <v>347</v>
      </c>
      <c r="B29" s="224" t="s">
        <v>140</v>
      </c>
      <c r="C29" s="224">
        <v>19</v>
      </c>
      <c r="D29" s="224" t="s">
        <v>348</v>
      </c>
      <c r="E29" s="225" t="str">
        <f t="shared" ca="1" si="1"/>
        <v>MR</v>
      </c>
      <c r="F29" s="348"/>
      <c r="G29" s="349">
        <f t="shared" ca="1" si="2"/>
        <v>46</v>
      </c>
      <c r="H29" s="350"/>
      <c r="I29" s="237"/>
      <c r="J29" s="191"/>
      <c r="K29" s="237"/>
      <c r="N29" s="237"/>
      <c r="Q29" s="237"/>
      <c r="T29" s="237"/>
      <c r="W29" s="237"/>
      <c r="AF29" s="169">
        <f t="shared" si="3"/>
        <v>1</v>
      </c>
      <c r="AG29" s="169" t="str">
        <f t="shared" ca="1" si="4"/>
        <v/>
      </c>
      <c r="AH29" s="169" t="str">
        <f t="shared" ca="1" si="19"/>
        <v/>
      </c>
      <c r="AJ29" s="169">
        <f t="shared" ca="1" si="5"/>
        <v>28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6"/>
        <v/>
      </c>
      <c r="AQ29" s="207" t="s">
        <v>279</v>
      </c>
      <c r="AR29" s="207" t="s">
        <v>142</v>
      </c>
      <c r="AS29" s="207">
        <v>17</v>
      </c>
      <c r="AT29" s="207" t="s">
        <v>280</v>
      </c>
      <c r="AV29" s="168">
        <f t="shared" si="21"/>
        <v>45</v>
      </c>
      <c r="AW29" s="168">
        <f>COUNTIF( AV$7:AV29, AV29 )</f>
        <v>3</v>
      </c>
      <c r="AX29" s="208">
        <f t="shared" si="22"/>
        <v>45.3</v>
      </c>
      <c r="AY29" s="168">
        <f t="shared" si="23"/>
        <v>47</v>
      </c>
      <c r="AZ29" s="169"/>
      <c r="BA29" s="169"/>
      <c r="BC29" s="168">
        <f t="shared" ca="1" si="24"/>
        <v>23</v>
      </c>
      <c r="BD29" s="209">
        <f t="shared" ca="1" si="8"/>
        <v>44</v>
      </c>
      <c r="BF29" s="173" t="str">
        <f t="shared" ca="1" si="9"/>
        <v>SCANA Corporation</v>
      </c>
      <c r="BG29" s="173" t="str">
        <f t="shared" ca="1" si="9"/>
        <v>BBB+</v>
      </c>
      <c r="BH29" s="173">
        <f t="shared" ca="1" si="9"/>
        <v>19</v>
      </c>
      <c r="BI29" s="173" t="str">
        <f t="shared" ca="1" si="9"/>
        <v>SCG</v>
      </c>
    </row>
    <row r="30" spans="1:61" ht="13.8" x14ac:dyDescent="0.25">
      <c r="A30" s="223" t="s">
        <v>291</v>
      </c>
      <c r="B30" s="224" t="s">
        <v>140</v>
      </c>
      <c r="C30" s="224">
        <v>19</v>
      </c>
      <c r="D30" s="224" t="s">
        <v>292</v>
      </c>
      <c r="E30" s="225" t="str">
        <f t="shared" ca="1" si="1"/>
        <v>MR</v>
      </c>
      <c r="F30" s="348"/>
      <c r="G30" s="349">
        <f t="shared" ca="1" si="2"/>
        <v>47</v>
      </c>
      <c r="H30" s="350"/>
      <c r="I30" s="237"/>
      <c r="J30" s="191"/>
      <c r="K30" s="237"/>
      <c r="N30" s="237"/>
      <c r="Q30" s="237"/>
      <c r="T30" s="237"/>
      <c r="W30" s="237"/>
      <c r="AF30" s="169">
        <f t="shared" si="3"/>
        <v>1</v>
      </c>
      <c r="AG30" s="169" t="str">
        <f t="shared" ca="1" si="4"/>
        <v/>
      </c>
      <c r="AH30" s="169" t="str">
        <f t="shared" ca="1" si="19"/>
        <v/>
      </c>
      <c r="AJ30" s="169">
        <f t="shared" ca="1" si="5"/>
        <v>29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6"/>
        <v/>
      </c>
      <c r="AQ30" s="207" t="s">
        <v>387</v>
      </c>
      <c r="AR30" s="207" t="s">
        <v>141</v>
      </c>
      <c r="AS30" s="207">
        <v>18</v>
      </c>
      <c r="AT30" s="207" t="s">
        <v>388</v>
      </c>
      <c r="AV30" s="168">
        <f t="shared" si="21"/>
        <v>26</v>
      </c>
      <c r="AW30" s="168">
        <f>COUNTIF( AV$7:AV30, AV30 )</f>
        <v>10</v>
      </c>
      <c r="AX30" s="208">
        <f t="shared" si="22"/>
        <v>27</v>
      </c>
      <c r="AY30" s="168">
        <f t="shared" si="23"/>
        <v>35</v>
      </c>
      <c r="AZ30" s="169"/>
      <c r="BA30" s="169"/>
      <c r="BC30" s="168">
        <f t="shared" ca="1" si="24"/>
        <v>24</v>
      </c>
      <c r="BD30" s="209">
        <f t="shared" ca="1" si="8"/>
        <v>45</v>
      </c>
      <c r="BF30" s="173" t="str">
        <f t="shared" ca="1" si="9"/>
        <v>Sempra Energy</v>
      </c>
      <c r="BG30" s="173" t="str">
        <f t="shared" ca="1" si="9"/>
        <v>BBB+</v>
      </c>
      <c r="BH30" s="173">
        <f t="shared" ca="1" si="9"/>
        <v>19</v>
      </c>
      <c r="BI30" s="173" t="str">
        <f t="shared" ca="1" si="9"/>
        <v>SRE</v>
      </c>
    </row>
    <row r="31" spans="1:61" ht="13.8" x14ac:dyDescent="0.25">
      <c r="A31" s="223" t="s">
        <v>369</v>
      </c>
      <c r="B31" s="224" t="s">
        <v>140</v>
      </c>
      <c r="C31" s="224">
        <v>19</v>
      </c>
      <c r="D31" s="224" t="s">
        <v>375</v>
      </c>
      <c r="E31" s="225" t="str">
        <f t="shared" ca="1" si="1"/>
        <v>R</v>
      </c>
      <c r="F31" s="348"/>
      <c r="G31" s="349">
        <f t="shared" ca="1" si="2"/>
        <v>49</v>
      </c>
      <c r="H31" s="350"/>
      <c r="I31" s="237"/>
      <c r="J31" s="191"/>
      <c r="K31" s="237"/>
      <c r="N31" s="237"/>
      <c r="O31" s="351"/>
      <c r="Q31" s="237"/>
      <c r="T31" s="237"/>
      <c r="W31" s="237"/>
      <c r="AF31" s="169">
        <f t="shared" si="3"/>
        <v>1</v>
      </c>
      <c r="AG31" s="169" t="str">
        <f t="shared" ca="1" si="4"/>
        <v/>
      </c>
      <c r="AH31" s="169" t="str">
        <f t="shared" ca="1" si="19"/>
        <v/>
      </c>
      <c r="AJ31" s="169">
        <f t="shared" ca="1" si="5"/>
        <v>30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6"/>
        <v/>
      </c>
      <c r="AQ31" s="207" t="s">
        <v>283</v>
      </c>
      <c r="AR31" s="207" t="s">
        <v>141</v>
      </c>
      <c r="AS31" s="207">
        <v>18</v>
      </c>
      <c r="AT31" s="207" t="s">
        <v>284</v>
      </c>
      <c r="AV31" s="168">
        <f t="shared" si="21"/>
        <v>26</v>
      </c>
      <c r="AW31" s="168">
        <f>COUNTIF( AV$7:AV31, AV31 )</f>
        <v>11</v>
      </c>
      <c r="AX31" s="208">
        <f t="shared" si="22"/>
        <v>27.1</v>
      </c>
      <c r="AY31" s="168">
        <f t="shared" si="23"/>
        <v>36</v>
      </c>
      <c r="AZ31" s="169"/>
      <c r="BA31" s="169"/>
      <c r="BC31" s="168">
        <f t="shared" ca="1" si="24"/>
        <v>25</v>
      </c>
      <c r="BD31" s="209">
        <f t="shared" ca="1" si="8"/>
        <v>47</v>
      </c>
      <c r="BF31" s="173" t="str">
        <f t="shared" ca="1" si="9"/>
        <v>TECO Energy, Inc.</v>
      </c>
      <c r="BG31" s="173" t="str">
        <f t="shared" ca="1" si="9"/>
        <v>BBB+</v>
      </c>
      <c r="BH31" s="173">
        <f t="shared" ca="1" si="9"/>
        <v>19</v>
      </c>
      <c r="BI31" s="173" t="str">
        <f t="shared" ca="1" si="9"/>
        <v>TE</v>
      </c>
    </row>
    <row r="32" spans="1:61" ht="13.8" x14ac:dyDescent="0.25">
      <c r="A32" s="223" t="s">
        <v>222</v>
      </c>
      <c r="B32" s="224" t="s">
        <v>141</v>
      </c>
      <c r="C32" s="224">
        <v>18</v>
      </c>
      <c r="D32" s="224" t="s">
        <v>223</v>
      </c>
      <c r="E32" s="225" t="str">
        <f t="shared" ca="1" si="1"/>
        <v>R</v>
      </c>
      <c r="F32" s="348"/>
      <c r="G32" s="349">
        <f t="shared" ca="1" si="2"/>
        <v>10</v>
      </c>
      <c r="H32" s="350"/>
      <c r="I32" s="237"/>
      <c r="J32" s="191"/>
      <c r="K32" s="237"/>
      <c r="N32" s="237"/>
      <c r="Q32" s="237"/>
      <c r="T32" s="237"/>
      <c r="W32" s="237"/>
      <c r="AF32" s="169">
        <f t="shared" si="3"/>
        <v>0</v>
      </c>
      <c r="AG32" s="169" t="str">
        <f t="shared" ca="1" si="4"/>
        <v/>
      </c>
      <c r="AH32" s="169" t="str">
        <f t="shared" ca="1" si="19"/>
        <v/>
      </c>
      <c r="AJ32" s="169">
        <f t="shared" ca="1" si="5"/>
        <v>32</v>
      </c>
      <c r="AK32" s="169" t="str">
        <f t="shared" ca="1" si="20"/>
        <v>BBB</v>
      </c>
      <c r="AL32" s="169">
        <f t="shared" ca="1" si="20"/>
        <v>18</v>
      </c>
      <c r="AM32" s="169" t="str">
        <f t="shared" ca="1" si="6"/>
        <v/>
      </c>
      <c r="AQ32" s="207" t="s">
        <v>395</v>
      </c>
      <c r="AR32" s="207" t="s">
        <v>139</v>
      </c>
      <c r="AS32" s="207">
        <v>20</v>
      </c>
      <c r="AT32" s="207" t="s">
        <v>396</v>
      </c>
      <c r="AV32" s="168">
        <f t="shared" si="21"/>
        <v>2</v>
      </c>
      <c r="AW32" s="168">
        <f>COUNTIF( AV$7:AV32, AV32 )</f>
        <v>5</v>
      </c>
      <c r="AX32" s="208">
        <f t="shared" si="22"/>
        <v>2.5</v>
      </c>
      <c r="AY32" s="168">
        <f t="shared" si="23"/>
        <v>6</v>
      </c>
      <c r="AZ32" s="169"/>
      <c r="BA32" s="169"/>
      <c r="BC32" s="168">
        <f t="shared" ca="1" si="24"/>
        <v>26</v>
      </c>
      <c r="BD32" s="209">
        <f t="shared" ca="1" si="8"/>
        <v>4</v>
      </c>
      <c r="BF32" s="173" t="str">
        <f t="shared" ca="1" si="9"/>
        <v>American Electric Power Company, Inc.</v>
      </c>
      <c r="BG32" s="173" t="str">
        <f t="shared" ca="1" si="9"/>
        <v>BBB</v>
      </c>
      <c r="BH32" s="173">
        <f t="shared" ca="1" si="9"/>
        <v>18</v>
      </c>
      <c r="BI32" s="173" t="str">
        <f t="shared" ca="1" si="9"/>
        <v>AEP</v>
      </c>
    </row>
    <row r="33" spans="1:61" ht="13.8" x14ac:dyDescent="0.25">
      <c r="A33" s="223" t="s">
        <v>238</v>
      </c>
      <c r="B33" s="224" t="s">
        <v>141</v>
      </c>
      <c r="C33" s="224">
        <v>18</v>
      </c>
      <c r="D33" s="224" t="s">
        <v>239</v>
      </c>
      <c r="E33" s="225" t="str">
        <f t="shared" ca="1" si="1"/>
        <v>R</v>
      </c>
      <c r="F33" s="348"/>
      <c r="G33" s="349">
        <f t="shared" ca="1" si="2"/>
        <v>11</v>
      </c>
      <c r="H33" s="350"/>
      <c r="I33" s="237"/>
      <c r="J33" s="191"/>
      <c r="K33" s="237"/>
      <c r="N33" s="237"/>
      <c r="Q33" s="237"/>
      <c r="T33" s="237"/>
      <c r="W33" s="237"/>
      <c r="AF33" s="169">
        <f t="shared" si="3"/>
        <v>0</v>
      </c>
      <c r="AG33" s="169" t="str">
        <f t="shared" ca="1" si="4"/>
        <v/>
      </c>
      <c r="AH33" s="169" t="str">
        <f t="shared" ca="1" si="19"/>
        <v/>
      </c>
      <c r="AJ33" s="169">
        <f t="shared" ca="1" si="5"/>
        <v>33</v>
      </c>
      <c r="AK33" s="169" t="str">
        <f t="shared" ca="1" si="20"/>
        <v>BBB</v>
      </c>
      <c r="AL33" s="169">
        <f t="shared" ca="1" si="20"/>
        <v>18</v>
      </c>
      <c r="AM33" s="169" t="str">
        <f t="shared" ca="1" si="6"/>
        <v/>
      </c>
      <c r="AQ33" s="207" t="s">
        <v>287</v>
      </c>
      <c r="AR33" s="207" t="s">
        <v>173</v>
      </c>
      <c r="AS33" s="207">
        <v>16</v>
      </c>
      <c r="AT33" s="207" t="s">
        <v>288</v>
      </c>
      <c r="AV33" s="168">
        <f t="shared" si="21"/>
        <v>50</v>
      </c>
      <c r="AW33" s="168">
        <f>COUNTIF( AV$7:AV33, AV33 )</f>
        <v>1</v>
      </c>
      <c r="AX33" s="208">
        <f t="shared" si="22"/>
        <v>50.1</v>
      </c>
      <c r="AY33" s="168">
        <f t="shared" si="23"/>
        <v>50</v>
      </c>
      <c r="AZ33" s="169"/>
      <c r="BA33" s="169"/>
      <c r="BC33" s="168">
        <f t="shared" ca="1" si="24"/>
        <v>27</v>
      </c>
      <c r="BD33" s="209">
        <f t="shared" ca="1" si="8"/>
        <v>5</v>
      </c>
      <c r="BF33" s="173" t="str">
        <f t="shared" ca="1" si="9"/>
        <v>Avista Corporation</v>
      </c>
      <c r="BG33" s="173" t="str">
        <f t="shared" ca="1" si="9"/>
        <v>BBB</v>
      </c>
      <c r="BH33" s="173">
        <f t="shared" ca="1" si="9"/>
        <v>18</v>
      </c>
      <c r="BI33" s="173" t="str">
        <f t="shared" ca="1" si="9"/>
        <v>AVA</v>
      </c>
    </row>
    <row r="34" spans="1:61" ht="13.8" x14ac:dyDescent="0.25">
      <c r="A34" s="223" t="s">
        <v>245</v>
      </c>
      <c r="B34" s="224" t="s">
        <v>141</v>
      </c>
      <c r="C34" s="224">
        <v>18</v>
      </c>
      <c r="D34" s="224" t="s">
        <v>246</v>
      </c>
      <c r="E34" s="225" t="str">
        <f t="shared" ca="1" si="1"/>
        <v>R</v>
      </c>
      <c r="F34" s="348"/>
      <c r="G34" s="349">
        <f t="shared" ca="1" si="2"/>
        <v>12</v>
      </c>
      <c r="H34" s="350"/>
      <c r="I34" s="237"/>
      <c r="J34" s="191"/>
      <c r="K34" s="237"/>
      <c r="N34" s="237"/>
      <c r="Q34" s="237"/>
      <c r="T34" s="237"/>
      <c r="W34" s="237"/>
      <c r="AF34" s="169">
        <f t="shared" si="3"/>
        <v>0</v>
      </c>
      <c r="AG34" s="169" t="str">
        <f t="shared" ca="1" si="4"/>
        <v/>
      </c>
      <c r="AH34" s="169" t="str">
        <f t="shared" ca="1" si="19"/>
        <v/>
      </c>
      <c r="AJ34" s="169">
        <f t="shared" ca="1" si="5"/>
        <v>34</v>
      </c>
      <c r="AK34" s="169" t="str">
        <f t="shared" ca="1" si="20"/>
        <v>BBB</v>
      </c>
      <c r="AL34" s="169">
        <f t="shared" ca="1" si="20"/>
        <v>18</v>
      </c>
      <c r="AM34" s="169" t="str">
        <f t="shared" ca="1" si="6"/>
        <v/>
      </c>
      <c r="AQ34" s="207" t="s">
        <v>271</v>
      </c>
      <c r="AR34" s="207" t="s">
        <v>140</v>
      </c>
      <c r="AS34" s="207">
        <v>19</v>
      </c>
      <c r="AT34" s="207" t="s">
        <v>272</v>
      </c>
      <c r="AV34" s="168">
        <f t="shared" si="21"/>
        <v>14</v>
      </c>
      <c r="AW34" s="168">
        <f>COUNTIF( AV$7:AV34, AV34 )</f>
        <v>6</v>
      </c>
      <c r="AX34" s="208">
        <f t="shared" si="22"/>
        <v>14.6</v>
      </c>
      <c r="AY34" s="168">
        <f t="shared" si="23"/>
        <v>19</v>
      </c>
      <c r="AZ34" s="169"/>
      <c r="BA34" s="169"/>
      <c r="BC34" s="168">
        <f t="shared" ca="1" si="24"/>
        <v>28</v>
      </c>
      <c r="BD34" s="209">
        <f t="shared" ca="1" si="8"/>
        <v>6</v>
      </c>
      <c r="BF34" s="173" t="str">
        <f t="shared" ca="1" si="9"/>
        <v>Black Hills Corporation</v>
      </c>
      <c r="BG34" s="173" t="str">
        <f t="shared" ca="1" si="9"/>
        <v>BBB</v>
      </c>
      <c r="BH34" s="173">
        <f t="shared" ca="1" si="9"/>
        <v>18</v>
      </c>
      <c r="BI34" s="173" t="str">
        <f t="shared" ca="1" si="9"/>
        <v>BKH</v>
      </c>
    </row>
    <row r="35" spans="1:61" ht="13.8" x14ac:dyDescent="0.25">
      <c r="A35" s="223" t="s">
        <v>256</v>
      </c>
      <c r="B35" s="224" t="s">
        <v>141</v>
      </c>
      <c r="C35" s="224">
        <v>18</v>
      </c>
      <c r="D35" s="224" t="s">
        <v>257</v>
      </c>
      <c r="E35" s="225" t="str">
        <f t="shared" ca="1" si="1"/>
        <v>R</v>
      </c>
      <c r="F35" s="348"/>
      <c r="G35" s="349">
        <f t="shared" ca="1" si="2"/>
        <v>15</v>
      </c>
      <c r="H35" s="350"/>
      <c r="I35" s="237"/>
      <c r="K35" s="237"/>
      <c r="N35" s="237"/>
      <c r="Q35" s="237"/>
      <c r="T35" s="237"/>
      <c r="W35" s="237"/>
      <c r="AF35" s="169">
        <f t="shared" si="3"/>
        <v>0</v>
      </c>
      <c r="AG35" s="169" t="str">
        <f t="shared" ca="1" si="4"/>
        <v/>
      </c>
      <c r="AH35" s="169" t="str">
        <f t="shared" ca="1" si="19"/>
        <v/>
      </c>
      <c r="AJ35" s="169">
        <f t="shared" ca="1" si="5"/>
        <v>35</v>
      </c>
      <c r="AK35" s="169" t="str">
        <f t="shared" ca="1" si="20"/>
        <v>BBB</v>
      </c>
      <c r="AL35" s="169">
        <f t="shared" ca="1" si="20"/>
        <v>18</v>
      </c>
      <c r="AM35" s="169" t="str">
        <f t="shared" ca="1" si="6"/>
        <v/>
      </c>
      <c r="AQ35" s="207" t="s">
        <v>408</v>
      </c>
      <c r="AR35" s="207" t="s">
        <v>140</v>
      </c>
      <c r="AS35" s="207">
        <v>19</v>
      </c>
      <c r="AT35" s="207" t="s">
        <v>216</v>
      </c>
      <c r="AV35" s="168">
        <f t="shared" si="21"/>
        <v>14</v>
      </c>
      <c r="AW35" s="168">
        <f>COUNTIF( AV$7:AV35, AV35 )</f>
        <v>7</v>
      </c>
      <c r="AX35" s="208">
        <f t="shared" si="22"/>
        <v>14.7</v>
      </c>
      <c r="AY35" s="168">
        <f t="shared" si="23"/>
        <v>20</v>
      </c>
      <c r="AZ35" s="169"/>
      <c r="BA35" s="169"/>
      <c r="BC35" s="168">
        <f t="shared" ca="1" si="24"/>
        <v>29</v>
      </c>
      <c r="BD35" s="209">
        <f t="shared" ca="1" si="8"/>
        <v>9</v>
      </c>
      <c r="BF35" s="173" t="str">
        <f t="shared" ca="1" si="9"/>
        <v>CMS Energy Corporation</v>
      </c>
      <c r="BG35" s="173" t="str">
        <f t="shared" ca="1" si="9"/>
        <v>BBB</v>
      </c>
      <c r="BH35" s="173">
        <f t="shared" ca="1" si="9"/>
        <v>18</v>
      </c>
      <c r="BI35" s="173" t="str">
        <f t="shared" ca="1" si="9"/>
        <v>CMS</v>
      </c>
    </row>
    <row r="36" spans="1:61" ht="13.8" x14ac:dyDescent="0.25">
      <c r="A36" s="223" t="s">
        <v>328</v>
      </c>
      <c r="B36" s="224" t="s">
        <v>141</v>
      </c>
      <c r="C36" s="224">
        <v>18</v>
      </c>
      <c r="D36" s="224" t="s">
        <v>331</v>
      </c>
      <c r="E36" s="225" t="str">
        <f t="shared" ca="1" si="1"/>
        <v>R</v>
      </c>
      <c r="F36" s="348"/>
      <c r="G36" s="349">
        <f t="shared" ca="1" si="2"/>
        <v>21</v>
      </c>
      <c r="H36" s="350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3"/>
        <v>0</v>
      </c>
      <c r="AG36" s="169" t="str">
        <f t="shared" ca="1" si="4"/>
        <v/>
      </c>
      <c r="AH36" s="169" t="str">
        <f t="shared" ca="1" si="19"/>
        <v/>
      </c>
      <c r="AJ36" s="169">
        <f t="shared" ca="1" si="5"/>
        <v>36</v>
      </c>
      <c r="AK36" s="169" t="str">
        <f t="shared" ca="1" si="20"/>
        <v>BBB</v>
      </c>
      <c r="AL36" s="169">
        <f t="shared" ca="1" si="20"/>
        <v>18</v>
      </c>
      <c r="AM36" s="169" t="str">
        <f t="shared" ca="1" si="6"/>
        <v/>
      </c>
      <c r="AQ36" s="207" t="s">
        <v>240</v>
      </c>
      <c r="AR36" s="207" t="s">
        <v>139</v>
      </c>
      <c r="AS36" s="207">
        <v>20</v>
      </c>
      <c r="AT36" s="207" t="s">
        <v>241</v>
      </c>
      <c r="AV36" s="168">
        <f t="shared" si="21"/>
        <v>2</v>
      </c>
      <c r="AW36" s="168">
        <f>COUNTIF( AV$7:AV36, AV36 )</f>
        <v>6</v>
      </c>
      <c r="AX36" s="208">
        <f t="shared" si="22"/>
        <v>2.6</v>
      </c>
      <c r="AY36" s="168">
        <f t="shared" si="23"/>
        <v>7</v>
      </c>
      <c r="AZ36" s="169"/>
      <c r="BA36" s="169"/>
      <c r="BC36" s="168">
        <f t="shared" ca="1" si="24"/>
        <v>30</v>
      </c>
      <c r="BD36" s="209">
        <f t="shared" ca="1" si="8"/>
        <v>16</v>
      </c>
      <c r="BF36" s="173" t="str">
        <f t="shared" ca="1" si="9"/>
        <v>El Paso Electric Company</v>
      </c>
      <c r="BG36" s="173" t="str">
        <f t="shared" ca="1" si="9"/>
        <v>BBB</v>
      </c>
      <c r="BH36" s="173">
        <f t="shared" ca="1" si="9"/>
        <v>18</v>
      </c>
      <c r="BI36" s="173" t="str">
        <f t="shared" ca="1" si="9"/>
        <v>EE</v>
      </c>
    </row>
    <row r="37" spans="1:61" ht="13.8" x14ac:dyDescent="0.25">
      <c r="A37" s="223" t="s">
        <v>367</v>
      </c>
      <c r="B37" s="224" t="s">
        <v>141</v>
      </c>
      <c r="C37" s="224">
        <v>18</v>
      </c>
      <c r="D37" s="224" t="s">
        <v>368</v>
      </c>
      <c r="E37" s="225" t="str">
        <f t="shared" ca="1" si="1"/>
        <v>R</v>
      </c>
      <c r="F37" s="348"/>
      <c r="G37" s="349">
        <f t="shared" ca="1" si="2"/>
        <v>22</v>
      </c>
      <c r="H37" s="350"/>
      <c r="I37" s="237"/>
      <c r="K37" s="237"/>
      <c r="L37" s="173"/>
      <c r="N37" s="237"/>
      <c r="Q37" s="237"/>
      <c r="T37" s="237"/>
      <c r="W37" s="237"/>
      <c r="AF37" s="169">
        <f t="shared" si="3"/>
        <v>0</v>
      </c>
      <c r="AG37" s="169" t="str">
        <f t="shared" ca="1" si="4"/>
        <v/>
      </c>
      <c r="AH37" s="169" t="str">
        <f t="shared" ca="1" si="19"/>
        <v/>
      </c>
      <c r="AJ37" s="169">
        <f t="shared" ca="1" si="5"/>
        <v>37</v>
      </c>
      <c r="AK37" s="169" t="str">
        <f t="shared" ca="1" si="20"/>
        <v>BBB</v>
      </c>
      <c r="AL37" s="169">
        <f t="shared" ca="1" si="20"/>
        <v>18</v>
      </c>
      <c r="AM37" s="169" t="str">
        <f t="shared" ca="1" si="6"/>
        <v/>
      </c>
      <c r="AQ37" s="207" t="s">
        <v>273</v>
      </c>
      <c r="AR37" s="207" t="s">
        <v>142</v>
      </c>
      <c r="AS37" s="207">
        <v>17</v>
      </c>
      <c r="AT37" s="207" t="s">
        <v>274</v>
      </c>
      <c r="AV37" s="168">
        <f t="shared" si="21"/>
        <v>45</v>
      </c>
      <c r="AW37" s="168">
        <f>COUNTIF( AV$7:AV37, AV37 )</f>
        <v>4</v>
      </c>
      <c r="AX37" s="208">
        <f t="shared" si="22"/>
        <v>45.4</v>
      </c>
      <c r="AY37" s="168">
        <f t="shared" si="23"/>
        <v>48</v>
      </c>
      <c r="AZ37" s="169"/>
      <c r="BA37" s="169"/>
      <c r="BC37" s="168">
        <f t="shared" ca="1" si="24"/>
        <v>31</v>
      </c>
      <c r="BD37" s="209">
        <f t="shared" ca="1" si="8"/>
        <v>17</v>
      </c>
      <c r="BF37" s="173" t="str">
        <f t="shared" ca="1" si="9"/>
        <v>Empire District Electric Company</v>
      </c>
      <c r="BG37" s="173" t="str">
        <f t="shared" ca="1" si="9"/>
        <v>BBB</v>
      </c>
      <c r="BH37" s="173">
        <f t="shared" ca="1" si="9"/>
        <v>18</v>
      </c>
      <c r="BI37" s="173" t="str">
        <f t="shared" ca="1" si="9"/>
        <v>EDE</v>
      </c>
    </row>
    <row r="38" spans="1:61" ht="13.8" x14ac:dyDescent="0.25">
      <c r="A38" s="223" t="s">
        <v>267</v>
      </c>
      <c r="B38" s="224" t="s">
        <v>141</v>
      </c>
      <c r="C38" s="224">
        <v>18</v>
      </c>
      <c r="D38" s="224" t="s">
        <v>268</v>
      </c>
      <c r="E38" s="225" t="str">
        <f t="shared" ca="1" si="1"/>
        <v>R</v>
      </c>
      <c r="F38" s="348"/>
      <c r="G38" s="349">
        <f t="shared" ca="1" si="2"/>
        <v>23</v>
      </c>
      <c r="H38" s="350"/>
      <c r="I38" s="237"/>
      <c r="J38" s="191"/>
      <c r="K38" s="237"/>
      <c r="L38" s="173"/>
      <c r="N38" s="237"/>
      <c r="Q38" s="237"/>
      <c r="T38" s="237"/>
      <c r="W38" s="237"/>
      <c r="AF38" s="169">
        <f t="shared" si="3"/>
        <v>0</v>
      </c>
      <c r="AG38" s="169" t="str">
        <f t="shared" ca="1" si="4"/>
        <v/>
      </c>
      <c r="AH38" s="169" t="str">
        <f t="shared" ca="1" si="19"/>
        <v/>
      </c>
      <c r="AJ38" s="169">
        <f t="shared" ca="1" si="5"/>
        <v>38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6"/>
        <v/>
      </c>
      <c r="AQ38" s="207" t="s">
        <v>394</v>
      </c>
      <c r="AR38" s="207" t="s">
        <v>139</v>
      </c>
      <c r="AS38" s="207">
        <v>20</v>
      </c>
      <c r="AT38" s="207" t="s">
        <v>236</v>
      </c>
      <c r="AV38" s="168">
        <f t="shared" si="21"/>
        <v>2</v>
      </c>
      <c r="AW38" s="168">
        <f>COUNTIF( AV$7:AV38, AV38 )</f>
        <v>7</v>
      </c>
      <c r="AX38" s="208">
        <f t="shared" si="22"/>
        <v>2.7</v>
      </c>
      <c r="AY38" s="168">
        <f t="shared" si="23"/>
        <v>8</v>
      </c>
      <c r="AZ38" s="169"/>
      <c r="BA38" s="169"/>
      <c r="BC38" s="168">
        <f t="shared" ca="1" si="24"/>
        <v>32</v>
      </c>
      <c r="BD38" s="209">
        <f t="shared" ca="1" si="8"/>
        <v>19</v>
      </c>
      <c r="BF38" s="173" t="str">
        <f t="shared" ca="1" si="9"/>
        <v>Entergy Corporation</v>
      </c>
      <c r="BG38" s="173" t="str">
        <f t="shared" ca="1" si="9"/>
        <v>BBB</v>
      </c>
      <c r="BH38" s="173">
        <f t="shared" ca="1" si="9"/>
        <v>18</v>
      </c>
      <c r="BI38" s="173" t="str">
        <f t="shared" ca="1" si="9"/>
        <v>ETR</v>
      </c>
    </row>
    <row r="39" spans="1:61" ht="13.8" x14ac:dyDescent="0.25">
      <c r="A39" s="223" t="s">
        <v>269</v>
      </c>
      <c r="B39" s="224" t="s">
        <v>141</v>
      </c>
      <c r="C39" s="224">
        <v>18</v>
      </c>
      <c r="D39" s="224" t="s">
        <v>270</v>
      </c>
      <c r="E39" s="225" t="str">
        <f t="shared" ca="1" si="1"/>
        <v>MR</v>
      </c>
      <c r="F39" s="348"/>
      <c r="G39" s="349">
        <f t="shared" ca="1" si="2"/>
        <v>24</v>
      </c>
      <c r="H39" s="350"/>
      <c r="I39" s="237"/>
      <c r="K39" s="237"/>
      <c r="L39" s="173"/>
      <c r="N39" s="237"/>
      <c r="Q39" s="237"/>
      <c r="T39" s="237"/>
      <c r="W39" s="237"/>
      <c r="AF39" s="169">
        <f t="shared" si="3"/>
        <v>0</v>
      </c>
      <c r="AG39" s="169" t="str">
        <f t="shared" ca="1" si="4"/>
        <v/>
      </c>
      <c r="AH39" s="169" t="str">
        <f t="shared" ca="1" si="19"/>
        <v/>
      </c>
      <c r="AJ39" s="169">
        <f t="shared" ca="1" si="5"/>
        <v>39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6"/>
        <v/>
      </c>
      <c r="AQ39" s="207" t="s">
        <v>297</v>
      </c>
      <c r="AR39" s="207" t="s">
        <v>141</v>
      </c>
      <c r="AS39" s="207">
        <v>18</v>
      </c>
      <c r="AT39" s="207" t="s">
        <v>298</v>
      </c>
      <c r="AV39" s="168">
        <f t="shared" si="21"/>
        <v>26</v>
      </c>
      <c r="AW39" s="168">
        <f>COUNTIF( AV$7:AV39, AV39 )</f>
        <v>12</v>
      </c>
      <c r="AX39" s="208">
        <f t="shared" si="22"/>
        <v>27.2</v>
      </c>
      <c r="AY39" s="168">
        <f t="shared" si="23"/>
        <v>37</v>
      </c>
      <c r="AZ39" s="169"/>
      <c r="BA39" s="169"/>
      <c r="BC39" s="168">
        <f t="shared" ca="1" si="24"/>
        <v>33</v>
      </c>
      <c r="BD39" s="209">
        <f t="shared" ca="1" si="8"/>
        <v>20</v>
      </c>
      <c r="BF39" s="173" t="str">
        <f t="shared" ref="BF39:BI63" ca="1" si="25">OFFSET( AQ$6, $BD39, 0 )</f>
        <v>Exelon Corporation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EXC</v>
      </c>
    </row>
    <row r="40" spans="1:61" ht="13.8" x14ac:dyDescent="0.25">
      <c r="A40" s="223" t="s">
        <v>352</v>
      </c>
      <c r="B40" s="224" t="s">
        <v>141</v>
      </c>
      <c r="C40" s="224">
        <v>18</v>
      </c>
      <c r="D40" s="224" t="s">
        <v>353</v>
      </c>
      <c r="E40" s="225" t="str">
        <f t="shared" ca="1" si="1"/>
        <v>R</v>
      </c>
      <c r="F40" s="348"/>
      <c r="G40" s="349">
        <f t="shared" ca="1" si="2"/>
        <v>26</v>
      </c>
      <c r="H40" s="350"/>
      <c r="I40" s="237"/>
      <c r="J40" s="191"/>
      <c r="K40" s="237"/>
      <c r="L40" s="173"/>
      <c r="N40" s="237"/>
      <c r="Q40" s="237"/>
      <c r="T40" s="237"/>
      <c r="W40" s="237"/>
      <c r="AF40" s="169">
        <f t="shared" si="3"/>
        <v>0</v>
      </c>
      <c r="AG40" s="169" t="str">
        <f t="shared" ca="1" si="4"/>
        <v/>
      </c>
      <c r="AH40" s="169" t="str">
        <f t="shared" ca="1" si="19"/>
        <v/>
      </c>
      <c r="AJ40" s="169">
        <f t="shared" ca="1" si="5"/>
        <v>40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6"/>
        <v/>
      </c>
      <c r="AQ40" s="207" t="s">
        <v>277</v>
      </c>
      <c r="AR40" s="207" t="s">
        <v>139</v>
      </c>
      <c r="AS40" s="207">
        <v>20</v>
      </c>
      <c r="AT40" s="207" t="s">
        <v>278</v>
      </c>
      <c r="AV40" s="168">
        <f t="shared" si="21"/>
        <v>2</v>
      </c>
      <c r="AW40" s="168">
        <f>COUNTIF( AV$7:AV40, AV40 )</f>
        <v>8</v>
      </c>
      <c r="AX40" s="208">
        <f t="shared" si="22"/>
        <v>2.8</v>
      </c>
      <c r="AY40" s="168">
        <f t="shared" si="23"/>
        <v>9</v>
      </c>
      <c r="AZ40" s="169"/>
      <c r="BA40" s="169"/>
      <c r="BC40" s="168">
        <f t="shared" ca="1" si="24"/>
        <v>34</v>
      </c>
      <c r="BD40" s="209">
        <f t="shared" ca="1" si="8"/>
        <v>22</v>
      </c>
      <c r="BF40" s="173" t="str">
        <f t="shared" ca="1" si="25"/>
        <v>Great Plains Energy Inc.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GXP</v>
      </c>
    </row>
    <row r="41" spans="1:61" ht="13.8" x14ac:dyDescent="0.25">
      <c r="A41" s="223" t="s">
        <v>387</v>
      </c>
      <c r="B41" s="224" t="s">
        <v>141</v>
      </c>
      <c r="C41" s="224">
        <v>18</v>
      </c>
      <c r="D41" s="224" t="s">
        <v>388</v>
      </c>
      <c r="E41" s="225" t="str">
        <f t="shared" ca="1" si="1"/>
        <v>R</v>
      </c>
      <c r="F41" s="348"/>
      <c r="G41" s="349">
        <f t="shared" ca="1" si="2"/>
        <v>58</v>
      </c>
      <c r="H41" s="350"/>
      <c r="I41" s="237"/>
      <c r="J41" s="191"/>
      <c r="K41" s="237"/>
      <c r="L41" s="173"/>
      <c r="N41" s="237"/>
      <c r="Q41" s="237"/>
      <c r="T41" s="237"/>
      <c r="W41" s="237"/>
      <c r="AF41" s="169">
        <f t="shared" si="3"/>
        <v>0</v>
      </c>
      <c r="AG41" s="169" t="str">
        <f t="shared" ca="1" si="4"/>
        <v/>
      </c>
      <c r="AH41" s="169" t="str">
        <f t="shared" ca="1" si="19"/>
        <v/>
      </c>
      <c r="AJ41" s="169">
        <f t="shared" ca="1" si="5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6"/>
        <v/>
      </c>
      <c r="AQ41" s="207" t="s">
        <v>299</v>
      </c>
      <c r="AR41" s="207" t="s">
        <v>141</v>
      </c>
      <c r="AS41" s="207">
        <v>18</v>
      </c>
      <c r="AT41" s="207" t="s">
        <v>300</v>
      </c>
      <c r="AV41" s="168">
        <f t="shared" si="21"/>
        <v>26</v>
      </c>
      <c r="AW41" s="168">
        <f>COUNTIF( AV$7:AV41, AV41 )</f>
        <v>13</v>
      </c>
      <c r="AX41" s="208">
        <f t="shared" si="22"/>
        <v>27.3</v>
      </c>
      <c r="AY41" s="168">
        <f t="shared" si="23"/>
        <v>38</v>
      </c>
      <c r="AZ41" s="169"/>
      <c r="BA41" s="169"/>
      <c r="BC41" s="168">
        <f t="shared" ca="1" si="24"/>
        <v>35</v>
      </c>
      <c r="BD41" s="209">
        <f t="shared" ca="1" si="8"/>
        <v>24</v>
      </c>
      <c r="BF41" s="173" t="str">
        <f t="shared" ca="1" si="25"/>
        <v>Iberdrola USA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**EAST</v>
      </c>
    </row>
    <row r="42" spans="1:61" ht="13.8" x14ac:dyDescent="0.25">
      <c r="A42" s="223" t="s">
        <v>283</v>
      </c>
      <c r="B42" s="224" t="s">
        <v>141</v>
      </c>
      <c r="C42" s="224">
        <v>18</v>
      </c>
      <c r="D42" s="224" t="s">
        <v>284</v>
      </c>
      <c r="E42" s="225" t="str">
        <f t="shared" ca="1" si="1"/>
        <v>R</v>
      </c>
      <c r="F42" s="348"/>
      <c r="G42" s="349">
        <f t="shared" ca="1" si="2"/>
        <v>28</v>
      </c>
      <c r="H42" s="350"/>
      <c r="I42" s="237"/>
      <c r="J42" s="191"/>
      <c r="K42" s="237"/>
      <c r="L42" s="173"/>
      <c r="N42" s="237"/>
      <c r="Q42" s="237"/>
      <c r="T42" s="237"/>
      <c r="W42" s="237"/>
      <c r="AF42" s="169">
        <f t="shared" si="3"/>
        <v>0</v>
      </c>
      <c r="AG42" s="169" t="str">
        <f t="shared" ca="1" si="4"/>
        <v/>
      </c>
      <c r="AH42" s="169" t="str">
        <f t="shared" ca="1" si="19"/>
        <v/>
      </c>
      <c r="AJ42" s="169">
        <f t="shared" ca="1" si="5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6"/>
        <v/>
      </c>
      <c r="AQ42" s="207" t="s">
        <v>382</v>
      </c>
      <c r="AR42" s="207" t="s">
        <v>140</v>
      </c>
      <c r="AS42" s="207">
        <v>19</v>
      </c>
      <c r="AT42" s="207" t="s">
        <v>383</v>
      </c>
      <c r="AV42" s="168">
        <f t="shared" si="21"/>
        <v>14</v>
      </c>
      <c r="AW42" s="168">
        <f>COUNTIF( AV$7:AV42, AV42 )</f>
        <v>8</v>
      </c>
      <c r="AX42" s="208">
        <f t="shared" si="22"/>
        <v>14.8</v>
      </c>
      <c r="AY42" s="168">
        <f t="shared" si="23"/>
        <v>21</v>
      </c>
      <c r="AZ42" s="169"/>
      <c r="BA42" s="169"/>
      <c r="BC42" s="168">
        <f t="shared" ca="1" si="24"/>
        <v>36</v>
      </c>
      <c r="BD42" s="209">
        <f t="shared" ca="1" si="8"/>
        <v>25</v>
      </c>
      <c r="BF42" s="173" t="str">
        <f t="shared" ca="1" si="25"/>
        <v>IDACORP, Inc.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IDA</v>
      </c>
    </row>
    <row r="43" spans="1:61" ht="13.8" x14ac:dyDescent="0.25">
      <c r="A43" s="223" t="s">
        <v>297</v>
      </c>
      <c r="B43" s="224" t="s">
        <v>141</v>
      </c>
      <c r="C43" s="224">
        <v>18</v>
      </c>
      <c r="D43" s="224" t="s">
        <v>298</v>
      </c>
      <c r="E43" s="225" t="str">
        <f t="shared" ca="1" si="1"/>
        <v>R</v>
      </c>
      <c r="F43" s="348"/>
      <c r="G43" s="349">
        <f t="shared" ca="1" si="2"/>
        <v>35</v>
      </c>
      <c r="H43" s="350"/>
      <c r="I43" s="237"/>
      <c r="J43" s="191"/>
      <c r="K43" s="237"/>
      <c r="N43" s="237"/>
      <c r="Q43" s="237"/>
      <c r="T43" s="237"/>
      <c r="W43" s="237"/>
      <c r="AF43" s="169">
        <f t="shared" si="3"/>
        <v>0</v>
      </c>
      <c r="AG43" s="169" t="str">
        <f t="shared" ca="1" si="4"/>
        <v/>
      </c>
      <c r="AH43" s="169" t="str">
        <f t="shared" ca="1" si="19"/>
        <v/>
      </c>
      <c r="AJ43" s="169">
        <f t="shared" ca="1" si="5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6"/>
        <v/>
      </c>
      <c r="AQ43" s="207" t="s">
        <v>301</v>
      </c>
      <c r="AR43" s="207" t="s">
        <v>141</v>
      </c>
      <c r="AS43" s="207">
        <v>18</v>
      </c>
      <c r="AT43" s="207" t="s">
        <v>302</v>
      </c>
      <c r="AV43" s="168">
        <f t="shared" si="21"/>
        <v>26</v>
      </c>
      <c r="AW43" s="168">
        <f>COUNTIF( AV$7:AV43, AV43 )</f>
        <v>14</v>
      </c>
      <c r="AX43" s="208">
        <f t="shared" si="22"/>
        <v>27.4</v>
      </c>
      <c r="AY43" s="168">
        <f t="shared" si="23"/>
        <v>39</v>
      </c>
      <c r="AZ43" s="169"/>
      <c r="BA43" s="169"/>
      <c r="BC43" s="168">
        <f t="shared" ca="1" si="24"/>
        <v>37</v>
      </c>
      <c r="BD43" s="209">
        <f t="shared" ca="1" si="8"/>
        <v>33</v>
      </c>
      <c r="BF43" s="173" t="str">
        <f t="shared" ca="1" si="25"/>
        <v>NorthWestern Corporation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NWE</v>
      </c>
    </row>
    <row r="44" spans="1:61" ht="13.8" x14ac:dyDescent="0.25">
      <c r="A44" s="223" t="s">
        <v>299</v>
      </c>
      <c r="B44" s="224" t="s">
        <v>141</v>
      </c>
      <c r="C44" s="224">
        <v>18</v>
      </c>
      <c r="D44" s="224" t="s">
        <v>300</v>
      </c>
      <c r="E44" s="225" t="str">
        <f t="shared" ca="1" si="1"/>
        <v>MR</v>
      </c>
      <c r="F44" s="348"/>
      <c r="G44" s="349">
        <f t="shared" ca="1" si="2"/>
        <v>38</v>
      </c>
      <c r="H44" s="350"/>
      <c r="I44" s="237"/>
      <c r="J44" s="191"/>
      <c r="K44" s="237"/>
      <c r="N44" s="237"/>
      <c r="Q44" s="237"/>
      <c r="T44" s="237"/>
      <c r="W44" s="237"/>
      <c r="AF44" s="169">
        <f t="shared" si="3"/>
        <v>0</v>
      </c>
      <c r="AG44" s="169" t="str">
        <f t="shared" ca="1" si="4"/>
        <v/>
      </c>
      <c r="AH44" s="169" t="str">
        <f t="shared" ca="1" si="19"/>
        <v/>
      </c>
      <c r="AJ44" s="169">
        <f t="shared" ca="1" si="5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6"/>
        <v/>
      </c>
      <c r="AQ44" s="207" t="s">
        <v>281</v>
      </c>
      <c r="AR44" s="207" t="s">
        <v>139</v>
      </c>
      <c r="AS44" s="207">
        <v>20</v>
      </c>
      <c r="AT44" s="207" t="s">
        <v>282</v>
      </c>
      <c r="AV44" s="168">
        <f t="shared" si="21"/>
        <v>2</v>
      </c>
      <c r="AW44" s="168">
        <f>COUNTIF( AV$7:AV44, AV44 )</f>
        <v>9</v>
      </c>
      <c r="AX44" s="208">
        <f t="shared" si="22"/>
        <v>2.9</v>
      </c>
      <c r="AY44" s="168">
        <f t="shared" si="23"/>
        <v>10</v>
      </c>
      <c r="AZ44" s="169"/>
      <c r="BA44" s="169"/>
      <c r="BC44" s="168">
        <f t="shared" ca="1" si="24"/>
        <v>38</v>
      </c>
      <c r="BD44" s="209">
        <f t="shared" ca="1" si="8"/>
        <v>35</v>
      </c>
      <c r="BF44" s="173" t="str">
        <f t="shared" ca="1" si="25"/>
        <v>Otter Tail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OTTR</v>
      </c>
    </row>
    <row r="45" spans="1:61" ht="13.8" x14ac:dyDescent="0.25">
      <c r="A45" s="223" t="s">
        <v>301</v>
      </c>
      <c r="B45" s="224" t="s">
        <v>141</v>
      </c>
      <c r="C45" s="224">
        <v>18</v>
      </c>
      <c r="D45" s="224" t="s">
        <v>302</v>
      </c>
      <c r="E45" s="225" t="str">
        <f t="shared" ca="1" si="1"/>
        <v>R</v>
      </c>
      <c r="F45" s="348"/>
      <c r="G45" s="349">
        <f t="shared" ca="1" si="2"/>
        <v>40</v>
      </c>
      <c r="H45" s="350"/>
      <c r="I45" s="237"/>
      <c r="J45" s="191"/>
      <c r="K45" s="237"/>
      <c r="N45" s="237"/>
      <c r="Q45" s="237"/>
      <c r="T45" s="237"/>
      <c r="W45" s="237"/>
      <c r="AF45" s="169">
        <f t="shared" si="3"/>
        <v>0</v>
      </c>
      <c r="AG45" s="169" t="str">
        <f t="shared" ca="1" si="4"/>
        <v/>
      </c>
      <c r="AH45" s="169" t="str">
        <f t="shared" ca="1" si="19"/>
        <v/>
      </c>
      <c r="AJ45" s="169">
        <f t="shared" ca="1" si="5"/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6"/>
        <v/>
      </c>
      <c r="AQ45" s="207" t="s">
        <v>303</v>
      </c>
      <c r="AR45" s="207" t="s">
        <v>141</v>
      </c>
      <c r="AS45" s="207">
        <v>18</v>
      </c>
      <c r="AT45" s="207" t="s">
        <v>304</v>
      </c>
      <c r="AV45" s="168">
        <f t="shared" si="21"/>
        <v>26</v>
      </c>
      <c r="AW45" s="168">
        <f>COUNTIF( AV$7:AV45, AV45 )</f>
        <v>15</v>
      </c>
      <c r="AX45" s="208">
        <f t="shared" si="22"/>
        <v>27.5</v>
      </c>
      <c r="AY45" s="168">
        <f t="shared" si="23"/>
        <v>40</v>
      </c>
      <c r="AZ45" s="169"/>
      <c r="BA45" s="169"/>
      <c r="BC45" s="168">
        <f t="shared" ca="1" si="24"/>
        <v>39</v>
      </c>
      <c r="BD45" s="209">
        <f t="shared" ca="1" si="8"/>
        <v>37</v>
      </c>
      <c r="BF45" s="173" t="str">
        <f t="shared" ca="1" si="25"/>
        <v>PG&amp;E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PCG</v>
      </c>
    </row>
    <row r="46" spans="1:61" ht="13.8" x14ac:dyDescent="0.25">
      <c r="A46" s="223" t="s">
        <v>303</v>
      </c>
      <c r="B46" s="224" t="s">
        <v>141</v>
      </c>
      <c r="C46" s="224">
        <v>18</v>
      </c>
      <c r="D46" s="224" t="s">
        <v>304</v>
      </c>
      <c r="E46" s="225" t="str">
        <f t="shared" ca="1" si="1"/>
        <v>R</v>
      </c>
      <c r="F46" s="348"/>
      <c r="G46" s="349">
        <f t="shared" ca="1" si="2"/>
        <v>42</v>
      </c>
      <c r="H46" s="350"/>
      <c r="I46" s="191"/>
      <c r="K46" s="191"/>
      <c r="N46" s="351"/>
      <c r="W46" s="191"/>
      <c r="AF46" s="169">
        <f t="shared" si="3"/>
        <v>0</v>
      </c>
      <c r="AG46" s="169" t="str">
        <f t="shared" ca="1" si="4"/>
        <v/>
      </c>
      <c r="AH46" s="169" t="str">
        <f t="shared" ca="1" si="19"/>
        <v/>
      </c>
      <c r="AJ46" s="169">
        <f t="shared" ca="1" si="5"/>
        <v>46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6"/>
        <v/>
      </c>
      <c r="AQ46" s="207" t="s">
        <v>285</v>
      </c>
      <c r="AR46" s="207" t="s">
        <v>141</v>
      </c>
      <c r="AS46" s="207">
        <v>18</v>
      </c>
      <c r="AT46" s="207" t="s">
        <v>286</v>
      </c>
      <c r="AV46" s="168">
        <f t="shared" si="21"/>
        <v>26</v>
      </c>
      <c r="AW46" s="168">
        <f>COUNTIF( AV$7:AV46, AV46 )</f>
        <v>16</v>
      </c>
      <c r="AX46" s="208">
        <f t="shared" si="22"/>
        <v>27.6</v>
      </c>
      <c r="AY46" s="168">
        <f t="shared" si="23"/>
        <v>41</v>
      </c>
      <c r="AZ46" s="169"/>
      <c r="BA46" s="169"/>
      <c r="BC46" s="168">
        <f t="shared" ca="1" si="24"/>
        <v>40</v>
      </c>
      <c r="BD46" s="209">
        <f t="shared" ca="1" si="8"/>
        <v>39</v>
      </c>
      <c r="BF46" s="173" t="str">
        <f t="shared" ca="1" si="25"/>
        <v>PNM Resources, Inc.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PNM</v>
      </c>
    </row>
    <row r="47" spans="1:61" ht="13.8" x14ac:dyDescent="0.25">
      <c r="A47" s="223" t="s">
        <v>285</v>
      </c>
      <c r="B47" s="224" t="s">
        <v>141</v>
      </c>
      <c r="C47" s="224">
        <v>18</v>
      </c>
      <c r="D47" s="224" t="s">
        <v>286</v>
      </c>
      <c r="E47" s="225" t="str">
        <f t="shared" ca="1" si="1"/>
        <v>R</v>
      </c>
      <c r="F47" s="348"/>
      <c r="G47" s="349">
        <f t="shared" ca="1" si="2"/>
        <v>43</v>
      </c>
      <c r="H47" s="350"/>
      <c r="I47" s="350"/>
      <c r="J47" s="187" t="s">
        <v>373</v>
      </c>
      <c r="K47" s="191"/>
      <c r="M47" s="351"/>
      <c r="N47" s="351"/>
      <c r="AF47" s="169">
        <f t="shared" si="3"/>
        <v>0</v>
      </c>
      <c r="AG47" s="169" t="str">
        <f t="shared" ca="1" si="4"/>
        <v/>
      </c>
      <c r="AH47" s="169" t="str">
        <f t="shared" ca="1" si="19"/>
        <v/>
      </c>
      <c r="AJ47" s="169">
        <f t="shared" ca="1" si="5"/>
        <v>47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6"/>
        <v/>
      </c>
      <c r="AQ47" s="207" t="s">
        <v>243</v>
      </c>
      <c r="AR47" s="207" t="s">
        <v>141</v>
      </c>
      <c r="AS47" s="207">
        <v>18</v>
      </c>
      <c r="AT47" s="207" t="s">
        <v>244</v>
      </c>
      <c r="AV47" s="168">
        <f t="shared" si="21"/>
        <v>26</v>
      </c>
      <c r="AW47" s="168">
        <f>COUNTIF( AV$7:AV47, AV47 )</f>
        <v>17</v>
      </c>
      <c r="AX47" s="208">
        <f t="shared" si="22"/>
        <v>27.7</v>
      </c>
      <c r="AY47" s="168">
        <f t="shared" si="23"/>
        <v>42</v>
      </c>
      <c r="AZ47" s="169"/>
      <c r="BA47" s="169"/>
      <c r="BC47" s="168">
        <f t="shared" ca="1" si="24"/>
        <v>41</v>
      </c>
      <c r="BD47" s="209">
        <f t="shared" ca="1" si="8"/>
        <v>40</v>
      </c>
      <c r="BF47" s="173" t="str">
        <f t="shared" ca="1" si="25"/>
        <v>Portland General Electric Company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POR</v>
      </c>
    </row>
    <row r="48" spans="1:61" ht="13.8" x14ac:dyDescent="0.25">
      <c r="A48" s="223" t="s">
        <v>243</v>
      </c>
      <c r="B48" s="224" t="s">
        <v>141</v>
      </c>
      <c r="C48" s="224">
        <v>18</v>
      </c>
      <c r="D48" s="224" t="s">
        <v>244</v>
      </c>
      <c r="E48" s="225" t="str">
        <f t="shared" ca="1" si="1"/>
        <v>MR</v>
      </c>
      <c r="F48" s="348"/>
      <c r="G48" s="349">
        <f t="shared" ca="1" si="2"/>
        <v>44</v>
      </c>
      <c r="H48" s="350"/>
      <c r="I48" s="350"/>
      <c r="K48" s="191"/>
      <c r="M48" s="351"/>
      <c r="N48" s="351"/>
      <c r="AF48" s="169">
        <f t="shared" si="3"/>
        <v>0</v>
      </c>
      <c r="AG48" s="169" t="str">
        <f t="shared" ca="1" si="4"/>
        <v/>
      </c>
      <c r="AH48" s="169" t="str">
        <f t="shared" ca="1" si="19"/>
        <v/>
      </c>
      <c r="AJ48" s="169">
        <f t="shared" ca="1" si="5"/>
        <v>48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6"/>
        <v/>
      </c>
      <c r="AQ48" s="207" t="s">
        <v>289</v>
      </c>
      <c r="AR48" s="207" t="s">
        <v>140</v>
      </c>
      <c r="AS48" s="207">
        <v>19</v>
      </c>
      <c r="AT48" s="207" t="s">
        <v>290</v>
      </c>
      <c r="AV48" s="168">
        <f t="shared" si="21"/>
        <v>14</v>
      </c>
      <c r="AW48" s="168">
        <f>COUNTIF( AV$7:AV48, AV48 )</f>
        <v>9</v>
      </c>
      <c r="AX48" s="208">
        <f t="shared" si="22"/>
        <v>14.9</v>
      </c>
      <c r="AY48" s="168">
        <f t="shared" si="23"/>
        <v>22</v>
      </c>
      <c r="AZ48" s="169"/>
      <c r="BA48" s="169"/>
      <c r="BC48" s="168">
        <f t="shared" ca="1" si="24"/>
        <v>42</v>
      </c>
      <c r="BD48" s="209">
        <f t="shared" ca="1" si="8"/>
        <v>41</v>
      </c>
      <c r="BF48" s="173" t="str">
        <f t="shared" ca="1" si="25"/>
        <v>PPL Corporation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PPL</v>
      </c>
    </row>
    <row r="49" spans="1:61" ht="13.8" x14ac:dyDescent="0.25">
      <c r="A49" s="223" t="s">
        <v>389</v>
      </c>
      <c r="B49" s="224" t="s">
        <v>141</v>
      </c>
      <c r="C49" s="224">
        <v>18</v>
      </c>
      <c r="D49" s="224" t="s">
        <v>390</v>
      </c>
      <c r="E49" s="225" t="str">
        <f t="shared" ca="1" si="1"/>
        <v>R</v>
      </c>
      <c r="F49" s="348"/>
      <c r="G49" s="349">
        <f t="shared" ca="1" si="2"/>
        <v>50</v>
      </c>
      <c r="H49" s="350"/>
      <c r="I49" s="350"/>
      <c r="J49" s="191"/>
      <c r="K49" s="191"/>
      <c r="M49" s="351"/>
      <c r="N49" s="351"/>
      <c r="AF49" s="169">
        <f t="shared" si="3"/>
        <v>0</v>
      </c>
      <c r="AG49" s="169" t="str">
        <f t="shared" ca="1" si="4"/>
        <v/>
      </c>
      <c r="AH49" s="169" t="str">
        <f t="shared" ca="1" si="19"/>
        <v/>
      </c>
      <c r="AJ49" s="169">
        <f t="shared" ca="1" si="5"/>
        <v>49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6"/>
        <v/>
      </c>
      <c r="AQ49" s="207" t="s">
        <v>305</v>
      </c>
      <c r="AR49" s="207" t="s">
        <v>142</v>
      </c>
      <c r="AS49" s="207">
        <v>17</v>
      </c>
      <c r="AT49" s="207" t="s">
        <v>306</v>
      </c>
      <c r="AV49" s="168">
        <f t="shared" si="21"/>
        <v>45</v>
      </c>
      <c r="AW49" s="168">
        <f>COUNTIF( AV$7:AV49, AV49 )</f>
        <v>5</v>
      </c>
      <c r="AX49" s="208">
        <f t="shared" si="22"/>
        <v>45.5</v>
      </c>
      <c r="AY49" s="168">
        <f t="shared" si="23"/>
        <v>49</v>
      </c>
      <c r="AZ49" s="169"/>
      <c r="BA49" s="169"/>
      <c r="BC49" s="168">
        <f t="shared" ca="1" si="24"/>
        <v>43</v>
      </c>
      <c r="BD49" s="209">
        <f t="shared" ca="1" si="8"/>
        <v>48</v>
      </c>
      <c r="BF49" s="173" t="str">
        <f t="shared" ca="1" si="25"/>
        <v>UIL Holdings Corporation</v>
      </c>
      <c r="BG49" s="173" t="str">
        <f t="shared" ca="1" si="25"/>
        <v>BBB</v>
      </c>
      <c r="BH49" s="173">
        <f t="shared" ca="1" si="25"/>
        <v>18</v>
      </c>
      <c r="BI49" s="173" t="str">
        <f t="shared" ca="1" si="25"/>
        <v>UIL</v>
      </c>
    </row>
    <row r="50" spans="1:61" ht="13.8" x14ac:dyDescent="0.25">
      <c r="A50" s="223" t="s">
        <v>354</v>
      </c>
      <c r="B50" s="224" t="s">
        <v>141</v>
      </c>
      <c r="C50" s="224">
        <v>18</v>
      </c>
      <c r="D50" s="224" t="s">
        <v>355</v>
      </c>
      <c r="E50" s="225" t="str">
        <f t="shared" ca="1" si="1"/>
        <v>R</v>
      </c>
      <c r="F50" s="348"/>
      <c r="G50" s="349">
        <f t="shared" ca="1" si="2"/>
        <v>54</v>
      </c>
      <c r="H50" s="350"/>
      <c r="I50" s="350"/>
      <c r="J50" s="191"/>
      <c r="K50" s="191"/>
      <c r="M50" s="351"/>
      <c r="N50" s="351"/>
      <c r="AF50" s="169">
        <f t="shared" si="3"/>
        <v>0</v>
      </c>
      <c r="AG50" s="169" t="str">
        <f t="shared" ca="1" si="4"/>
        <v/>
      </c>
      <c r="AH50" s="169" t="str">
        <f t="shared" ca="1" si="19"/>
        <v/>
      </c>
      <c r="AJ50" s="169">
        <f t="shared" ca="1" si="5"/>
        <v>50</v>
      </c>
      <c r="AK50" s="169" t="str">
        <f t="shared" ca="1" si="20"/>
        <v>BBB</v>
      </c>
      <c r="AL50" s="169">
        <f t="shared" ca="1" si="20"/>
        <v>18</v>
      </c>
      <c r="AM50" s="169" t="str">
        <f t="shared" ca="1" si="6"/>
        <v/>
      </c>
      <c r="AQ50" s="207" t="s">
        <v>347</v>
      </c>
      <c r="AR50" s="207" t="s">
        <v>140</v>
      </c>
      <c r="AS50" s="207">
        <v>19</v>
      </c>
      <c r="AT50" s="207" t="s">
        <v>348</v>
      </c>
      <c r="AV50" s="168">
        <f t="shared" si="21"/>
        <v>14</v>
      </c>
      <c r="AW50" s="168">
        <f>COUNTIF( AV$7:AV50, AV50 )</f>
        <v>10</v>
      </c>
      <c r="AX50" s="208">
        <f t="shared" si="22"/>
        <v>15</v>
      </c>
      <c r="AY50" s="168">
        <f t="shared" si="23"/>
        <v>23</v>
      </c>
      <c r="AZ50" s="169"/>
      <c r="BA50" s="169"/>
      <c r="BC50" s="168">
        <f t="shared" ca="1" si="24"/>
        <v>44</v>
      </c>
      <c r="BD50" s="209">
        <f t="shared" ca="1" si="8"/>
        <v>50</v>
      </c>
      <c r="BF50" s="173" t="str">
        <f t="shared" ca="1" si="25"/>
        <v>Westar Energy, Inc.</v>
      </c>
      <c r="BG50" s="173" t="str">
        <f t="shared" ca="1" si="25"/>
        <v>BBB</v>
      </c>
      <c r="BH50" s="173">
        <f t="shared" ca="1" si="25"/>
        <v>18</v>
      </c>
      <c r="BI50" s="173" t="str">
        <f t="shared" ca="1" si="25"/>
        <v>WR</v>
      </c>
    </row>
    <row r="51" spans="1:61" ht="13.8" x14ac:dyDescent="0.25">
      <c r="A51" s="223" t="s">
        <v>265</v>
      </c>
      <c r="B51" s="224" t="s">
        <v>142</v>
      </c>
      <c r="C51" s="224">
        <v>17</v>
      </c>
      <c r="D51" s="224" t="s">
        <v>266</v>
      </c>
      <c r="E51" s="225" t="str">
        <f t="shared" ca="1" si="1"/>
        <v>R</v>
      </c>
      <c r="F51" s="348"/>
      <c r="G51" s="349">
        <f t="shared" ca="1" si="2"/>
        <v>20</v>
      </c>
      <c r="H51" s="350"/>
      <c r="I51" s="350"/>
      <c r="J51" s="191"/>
      <c r="K51" s="191"/>
      <c r="M51" s="351"/>
      <c r="N51" s="351"/>
      <c r="AF51" s="169">
        <f t="shared" si="3"/>
        <v>1</v>
      </c>
      <c r="AG51" s="169" t="str">
        <f t="shared" ca="1" si="4"/>
        <v/>
      </c>
      <c r="AH51" s="169" t="str">
        <f t="shared" ca="1" si="19"/>
        <v/>
      </c>
      <c r="AJ51" s="169">
        <f t="shared" ca="1" si="5"/>
        <v>51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6"/>
        <v/>
      </c>
      <c r="AQ51" s="207" t="s">
        <v>291</v>
      </c>
      <c r="AR51" s="207" t="s">
        <v>140</v>
      </c>
      <c r="AS51" s="207">
        <v>19</v>
      </c>
      <c r="AT51" s="207" t="s">
        <v>292</v>
      </c>
      <c r="AV51" s="168">
        <f t="shared" si="21"/>
        <v>14</v>
      </c>
      <c r="AW51" s="168">
        <f>COUNTIF( AV$7:AV51, AV51 )</f>
        <v>11</v>
      </c>
      <c r="AX51" s="208">
        <f t="shared" si="22"/>
        <v>15.1</v>
      </c>
      <c r="AY51" s="168">
        <f t="shared" si="23"/>
        <v>24</v>
      </c>
      <c r="AZ51" s="169"/>
      <c r="BA51" s="169"/>
      <c r="BC51" s="168">
        <f t="shared" ca="1" si="24"/>
        <v>45</v>
      </c>
      <c r="BD51" s="209">
        <f t="shared" ca="1" si="8"/>
        <v>15</v>
      </c>
      <c r="BF51" s="173" t="str">
        <f t="shared" ca="1" si="25"/>
        <v>Edison International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EIX</v>
      </c>
    </row>
    <row r="52" spans="1:61" ht="13.8" x14ac:dyDescent="0.25">
      <c r="A52" s="223" t="s">
        <v>275</v>
      </c>
      <c r="B52" s="224" t="s">
        <v>142</v>
      </c>
      <c r="C52" s="224">
        <v>17</v>
      </c>
      <c r="D52" s="224" t="s">
        <v>276</v>
      </c>
      <c r="E52" s="225" t="str">
        <f t="shared" ca="1" si="1"/>
        <v>MR</v>
      </c>
      <c r="F52" s="348"/>
      <c r="G52" s="349">
        <f t="shared" ca="1" si="2"/>
        <v>25</v>
      </c>
      <c r="H52" s="350"/>
      <c r="I52" s="350"/>
      <c r="J52" s="191"/>
      <c r="K52" s="191"/>
      <c r="AF52" s="169">
        <f t="shared" si="3"/>
        <v>1</v>
      </c>
      <c r="AG52" s="169" t="str">
        <f t="shared" ca="1" si="4"/>
        <v/>
      </c>
      <c r="AH52" s="169" t="str">
        <f t="shared" ca="1" si="19"/>
        <v/>
      </c>
      <c r="AJ52" s="169">
        <f t="shared" ca="1" si="5"/>
        <v>52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6"/>
        <v/>
      </c>
      <c r="AQ52" s="207" t="s">
        <v>293</v>
      </c>
      <c r="AR52" s="207" t="s">
        <v>166</v>
      </c>
      <c r="AS52" s="207">
        <v>21</v>
      </c>
      <c r="AT52" s="207" t="s">
        <v>294</v>
      </c>
      <c r="AV52" s="168">
        <f t="shared" si="21"/>
        <v>1</v>
      </c>
      <c r="AW52" s="168">
        <f>COUNTIF( AV$7:AV52, AV52 )</f>
        <v>1</v>
      </c>
      <c r="AX52" s="208">
        <f t="shared" si="22"/>
        <v>1.1000000000000001</v>
      </c>
      <c r="AY52" s="168">
        <f t="shared" si="23"/>
        <v>1</v>
      </c>
      <c r="AZ52" s="169"/>
      <c r="BA52" s="169"/>
      <c r="BC52" s="168">
        <f t="shared" ca="1" si="24"/>
        <v>46</v>
      </c>
      <c r="BD52" s="209">
        <f t="shared" ca="1" si="8"/>
        <v>21</v>
      </c>
      <c r="BF52" s="173" t="str">
        <f t="shared" ca="1" si="25"/>
        <v>FirstEnergy Corp.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FE</v>
      </c>
    </row>
    <row r="53" spans="1:61" ht="13.8" x14ac:dyDescent="0.25">
      <c r="A53" s="223" t="s">
        <v>279</v>
      </c>
      <c r="B53" s="224" t="s">
        <v>142</v>
      </c>
      <c r="C53" s="224">
        <v>17</v>
      </c>
      <c r="D53" s="224" t="s">
        <v>280</v>
      </c>
      <c r="E53" s="225" t="str">
        <f t="shared" ca="1" si="1"/>
        <v>MR</v>
      </c>
      <c r="F53" s="348"/>
      <c r="G53" s="349">
        <f t="shared" ca="1" si="2"/>
        <v>27</v>
      </c>
      <c r="H53" s="350"/>
      <c r="I53" s="350"/>
      <c r="J53" s="191"/>
      <c r="K53" s="191"/>
      <c r="AF53" s="169">
        <f t="shared" si="3"/>
        <v>1</v>
      </c>
      <c r="AG53" s="169" t="str">
        <f t="shared" ca="1" si="4"/>
        <v/>
      </c>
      <c r="AH53" s="169" t="str">
        <f t="shared" ca="1" si="19"/>
        <v/>
      </c>
      <c r="AJ53" s="169">
        <f t="shared" ca="1" si="5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6"/>
        <v/>
      </c>
      <c r="AQ53" s="207" t="s">
        <v>369</v>
      </c>
      <c r="AR53" s="207" t="s">
        <v>140</v>
      </c>
      <c r="AS53" s="207">
        <v>19</v>
      </c>
      <c r="AT53" s="207" t="s">
        <v>375</v>
      </c>
      <c r="AV53" s="168">
        <f t="shared" si="21"/>
        <v>14</v>
      </c>
      <c r="AW53" s="168">
        <f>COUNTIF( AV$7:AV53, AV53 )</f>
        <v>12</v>
      </c>
      <c r="AX53" s="208">
        <f t="shared" si="22"/>
        <v>15.2</v>
      </c>
      <c r="AY53" s="168">
        <f t="shared" si="23"/>
        <v>25</v>
      </c>
      <c r="AZ53" s="169"/>
      <c r="BA53" s="169"/>
      <c r="BC53" s="168">
        <f t="shared" ca="1" si="24"/>
        <v>47</v>
      </c>
      <c r="BD53" s="209">
        <f t="shared" ca="1" si="8"/>
        <v>23</v>
      </c>
      <c r="BF53" s="173" t="str">
        <f t="shared" ca="1" si="25"/>
        <v>Hawaiian Electric Industries,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HE</v>
      </c>
    </row>
    <row r="54" spans="1:61" ht="13.8" x14ac:dyDescent="0.25">
      <c r="A54" s="223" t="s">
        <v>273</v>
      </c>
      <c r="B54" s="224" t="s">
        <v>142</v>
      </c>
      <c r="C54" s="224">
        <v>17</v>
      </c>
      <c r="D54" s="224" t="s">
        <v>274</v>
      </c>
      <c r="E54" s="225" t="str">
        <f t="shared" ca="1" si="1"/>
        <v>MR</v>
      </c>
      <c r="F54" s="348"/>
      <c r="G54" s="349">
        <f t="shared" ca="1" si="2"/>
        <v>33</v>
      </c>
      <c r="H54" s="350"/>
      <c r="I54" s="350"/>
      <c r="J54" s="191"/>
      <c r="K54" s="191"/>
      <c r="AF54" s="169">
        <f t="shared" si="3"/>
        <v>1</v>
      </c>
      <c r="AG54" s="169" t="str">
        <f t="shared" ca="1" si="4"/>
        <v/>
      </c>
      <c r="AH54" s="169" t="str">
        <f t="shared" ca="1" si="19"/>
        <v/>
      </c>
      <c r="AJ54" s="169">
        <f t="shared" ca="1" si="5"/>
        <v>55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6"/>
        <v/>
      </c>
      <c r="AQ54" s="207" t="s">
        <v>389</v>
      </c>
      <c r="AR54" s="207" t="s">
        <v>141</v>
      </c>
      <c r="AS54" s="207">
        <v>18</v>
      </c>
      <c r="AT54" s="207" t="s">
        <v>390</v>
      </c>
      <c r="AV54" s="168">
        <f t="shared" si="21"/>
        <v>26</v>
      </c>
      <c r="AW54" s="168">
        <f>COUNTIF( AV$7:AV54, AV54 )</f>
        <v>18</v>
      </c>
      <c r="AX54" s="208">
        <f t="shared" si="22"/>
        <v>27.8</v>
      </c>
      <c r="AY54" s="168">
        <f t="shared" si="23"/>
        <v>43</v>
      </c>
      <c r="AZ54" s="169"/>
      <c r="BA54" s="169"/>
      <c r="BC54" s="168">
        <f t="shared" ca="1" si="24"/>
        <v>48</v>
      </c>
      <c r="BD54" s="209">
        <f t="shared" ca="1" si="8"/>
        <v>31</v>
      </c>
      <c r="BF54" s="173" t="str">
        <f t="shared" ca="1" si="25"/>
        <v>NiSource Inc.</v>
      </c>
      <c r="BG54" s="173" t="str">
        <f t="shared" ca="1" si="25"/>
        <v>BBB-</v>
      </c>
      <c r="BH54" s="173">
        <f t="shared" ca="1" si="25"/>
        <v>17</v>
      </c>
      <c r="BI54" s="173" t="str">
        <f t="shared" ca="1" si="25"/>
        <v>NI</v>
      </c>
    </row>
    <row r="55" spans="1:61" ht="13.8" x14ac:dyDescent="0.25">
      <c r="A55" s="223" t="s">
        <v>305</v>
      </c>
      <c r="B55" s="224" t="s">
        <v>142</v>
      </c>
      <c r="C55" s="224">
        <v>17</v>
      </c>
      <c r="D55" s="224" t="s">
        <v>306</v>
      </c>
      <c r="E55" s="225" t="str">
        <f t="shared" ca="1" si="1"/>
        <v>R</v>
      </c>
      <c r="F55" s="348"/>
      <c r="G55" s="349">
        <f t="shared" ca="1" si="2"/>
        <v>63</v>
      </c>
      <c r="H55" s="350"/>
      <c r="I55" s="350"/>
      <c r="J55" s="191"/>
      <c r="K55" s="191"/>
      <c r="AF55" s="169">
        <f t="shared" si="3"/>
        <v>1</v>
      </c>
      <c r="AG55" s="169">
        <f t="shared" ca="1" si="4"/>
        <v>1</v>
      </c>
      <c r="AH55" s="169" t="str">
        <f t="shared" ca="1" si="19"/>
        <v/>
      </c>
      <c r="AJ55" s="169">
        <f t="shared" ca="1" si="5"/>
        <v>57</v>
      </c>
      <c r="AK55" s="169" t="str">
        <f t="shared" ca="1" si="20"/>
        <v>BB+</v>
      </c>
      <c r="AL55" s="169">
        <f t="shared" ca="1" si="20"/>
        <v>16</v>
      </c>
      <c r="AM55" s="169" t="str">
        <f t="shared" ca="1" si="6"/>
        <v>Change</v>
      </c>
      <c r="AQ55" s="207" t="s">
        <v>345</v>
      </c>
      <c r="AR55" s="207" t="s">
        <v>139</v>
      </c>
      <c r="AS55" s="207">
        <v>20</v>
      </c>
      <c r="AT55" s="207" t="s">
        <v>346</v>
      </c>
      <c r="AV55" s="168">
        <f t="shared" si="21"/>
        <v>2</v>
      </c>
      <c r="AW55" s="168">
        <f>COUNTIF( AV$7:AV55, AV55 )</f>
        <v>10</v>
      </c>
      <c r="AX55" s="208">
        <f t="shared" si="22"/>
        <v>3</v>
      </c>
      <c r="AY55" s="168">
        <f t="shared" si="23"/>
        <v>11</v>
      </c>
      <c r="AZ55" s="169"/>
      <c r="BA55" s="169"/>
      <c r="BC55" s="168">
        <f t="shared" ca="1" si="24"/>
        <v>49</v>
      </c>
      <c r="BD55" s="209">
        <f t="shared" ca="1" si="8"/>
        <v>43</v>
      </c>
      <c r="BF55" s="173" t="str">
        <f t="shared" ca="1" si="25"/>
        <v>Puget Energy, Inc.</v>
      </c>
      <c r="BG55" s="173" t="str">
        <f t="shared" ca="1" si="25"/>
        <v>BBB-</v>
      </c>
      <c r="BH55" s="173">
        <f t="shared" ca="1" si="25"/>
        <v>17</v>
      </c>
      <c r="BI55" s="173" t="str">
        <f t="shared" ca="1" si="25"/>
        <v>**PSD</v>
      </c>
    </row>
    <row r="56" spans="1:61" ht="13.8" x14ac:dyDescent="0.25">
      <c r="A56" s="223" t="s">
        <v>287</v>
      </c>
      <c r="B56" s="224" t="s">
        <v>173</v>
      </c>
      <c r="C56" s="224">
        <v>16</v>
      </c>
      <c r="D56" s="224" t="s">
        <v>288</v>
      </c>
      <c r="E56" s="225" t="str">
        <f t="shared" ca="1" si="1"/>
        <v>R</v>
      </c>
      <c r="F56" s="348"/>
      <c r="G56" s="349">
        <f t="shared" ca="1" si="2"/>
        <v>61</v>
      </c>
      <c r="H56" s="350"/>
      <c r="I56" s="350"/>
      <c r="J56" s="191"/>
      <c r="K56" s="191"/>
      <c r="AF56" s="169">
        <f t="shared" si="3"/>
        <v>0</v>
      </c>
      <c r="AG56" s="169" t="str">
        <f t="shared" ca="1" si="4"/>
        <v/>
      </c>
      <c r="AH56" s="169">
        <f t="shared" ca="1" si="19"/>
        <v>1</v>
      </c>
      <c r="AJ56" s="169">
        <f t="shared" ca="1" si="5"/>
        <v>54</v>
      </c>
      <c r="AK56" s="169" t="str">
        <f t="shared" ca="1" si="20"/>
        <v>BBB-</v>
      </c>
      <c r="AL56" s="169">
        <f t="shared" ca="1" si="20"/>
        <v>17</v>
      </c>
      <c r="AM56" s="169" t="str">
        <f t="shared" ca="1" si="6"/>
        <v>Change</v>
      </c>
      <c r="AQ56" s="207" t="s">
        <v>354</v>
      </c>
      <c r="AR56" s="207" t="s">
        <v>141</v>
      </c>
      <c r="AS56" s="207">
        <v>18</v>
      </c>
      <c r="AT56" s="207" t="s">
        <v>355</v>
      </c>
      <c r="AV56" s="168">
        <f t="shared" si="21"/>
        <v>26</v>
      </c>
      <c r="AW56" s="168">
        <f>COUNTIF( AV$7:AV56, AV56 )</f>
        <v>19</v>
      </c>
      <c r="AX56" s="208">
        <f t="shared" si="22"/>
        <v>27.9</v>
      </c>
      <c r="AY56" s="168">
        <f t="shared" si="23"/>
        <v>44</v>
      </c>
      <c r="AZ56" s="169"/>
      <c r="BA56" s="169"/>
      <c r="BC56" s="168">
        <f t="shared" ca="1" si="24"/>
        <v>50</v>
      </c>
      <c r="BD56" s="209">
        <f t="shared" ca="1" si="8"/>
        <v>27</v>
      </c>
      <c r="BF56" s="173" t="str">
        <f t="shared" ca="1" si="25"/>
        <v>IPALCO Enterprises, Inc.</v>
      </c>
      <c r="BG56" s="173" t="str">
        <f t="shared" ca="1" si="25"/>
        <v>BB+</v>
      </c>
      <c r="BH56" s="173">
        <f t="shared" ca="1" si="25"/>
        <v>16</v>
      </c>
      <c r="BI56" s="173" t="str">
        <f t="shared" ca="1" si="25"/>
        <v>**IPALCO</v>
      </c>
    </row>
    <row r="57" spans="1:61" ht="13.8" x14ac:dyDescent="0.25">
      <c r="A57" s="223" t="s">
        <v>259</v>
      </c>
      <c r="B57" s="224" t="s">
        <v>175</v>
      </c>
      <c r="C57" s="224">
        <v>15</v>
      </c>
      <c r="D57" s="224" t="s">
        <v>260</v>
      </c>
      <c r="E57" s="225" t="str">
        <f t="shared" ca="1" si="1"/>
        <v>R</v>
      </c>
      <c r="F57" s="348"/>
      <c r="G57" s="349">
        <f t="shared" ca="1" si="2"/>
        <v>59</v>
      </c>
      <c r="H57" s="350"/>
      <c r="I57" s="350"/>
      <c r="J57" s="191"/>
      <c r="K57" s="191"/>
      <c r="AF57" s="169">
        <f t="shared" si="3"/>
        <v>1</v>
      </c>
      <c r="AG57" s="169" t="str">
        <f t="shared" ca="1" si="4"/>
        <v/>
      </c>
      <c r="AH57" s="169" t="str">
        <f t="shared" ca="1" si="19"/>
        <v/>
      </c>
      <c r="AJ57" s="169">
        <f t="shared" ca="1" si="5"/>
        <v>58</v>
      </c>
      <c r="AK57" s="169" t="str">
        <f t="shared" ca="1" si="20"/>
        <v>BB</v>
      </c>
      <c r="AL57" s="169">
        <f t="shared" ca="1" si="20"/>
        <v>15</v>
      </c>
      <c r="AM57" s="169" t="str">
        <f t="shared" ca="1" si="6"/>
        <v/>
      </c>
      <c r="AQ57" s="207" t="s">
        <v>247</v>
      </c>
      <c r="AR57" s="207" t="s">
        <v>139</v>
      </c>
      <c r="AS57" s="207">
        <v>20</v>
      </c>
      <c r="AT57" s="207" t="s">
        <v>248</v>
      </c>
      <c r="AV57" s="168">
        <f t="shared" si="21"/>
        <v>2</v>
      </c>
      <c r="AW57" s="168">
        <f>COUNTIF( AV$7:AV57, AV57 )</f>
        <v>11</v>
      </c>
      <c r="AX57" s="208">
        <f t="shared" si="22"/>
        <v>3.1</v>
      </c>
      <c r="AY57" s="168">
        <f t="shared" si="23"/>
        <v>12</v>
      </c>
      <c r="AZ57" s="169"/>
      <c r="BA57" s="169"/>
      <c r="BC57" s="168">
        <f t="shared" ca="1" si="24"/>
        <v>51</v>
      </c>
      <c r="BD57" s="209">
        <f t="shared" ca="1" si="8"/>
        <v>12</v>
      </c>
      <c r="BF57" s="173" t="str">
        <f t="shared" ca="1" si="25"/>
        <v>DPL Inc.</v>
      </c>
      <c r="BG57" s="173" t="str">
        <f t="shared" ca="1" si="25"/>
        <v>BB</v>
      </c>
      <c r="BH57" s="173">
        <f t="shared" ca="1" si="25"/>
        <v>15</v>
      </c>
      <c r="BI57" s="173" t="str">
        <f t="shared" ca="1" si="25"/>
        <v>**DPL</v>
      </c>
    </row>
    <row r="58" spans="1:61" ht="13.8" x14ac:dyDescent="0.25">
      <c r="A58" s="223" t="s">
        <v>371</v>
      </c>
      <c r="B58" s="224" t="s">
        <v>189</v>
      </c>
      <c r="C58" s="224">
        <v>8</v>
      </c>
      <c r="D58" s="224" t="s">
        <v>359</v>
      </c>
      <c r="E58" s="225" t="str">
        <f t="shared" ca="1" si="1"/>
        <v>D</v>
      </c>
      <c r="F58" s="348"/>
      <c r="G58" s="349">
        <f t="shared" ca="1" si="2"/>
        <v>60</v>
      </c>
      <c r="H58" s="350"/>
      <c r="I58" s="350"/>
      <c r="J58" s="191"/>
      <c r="K58" s="191"/>
      <c r="AF58" s="169">
        <f t="shared" si="3"/>
        <v>0</v>
      </c>
      <c r="AG58" s="169" t="str">
        <f t="shared" ca="1" si="4"/>
        <v/>
      </c>
      <c r="AH58" s="169">
        <f t="shared" ca="1" si="19"/>
        <v>1</v>
      </c>
      <c r="AJ58" s="169">
        <f t="shared" ca="1" si="5"/>
        <v>59</v>
      </c>
      <c r="AK58" s="169" t="str">
        <f t="shared" ca="1" si="20"/>
        <v>CCC</v>
      </c>
      <c r="AL58" s="169">
        <f t="shared" ca="1" si="20"/>
        <v>9</v>
      </c>
      <c r="AM58" s="169" t="str">
        <f t="shared" ca="1" si="6"/>
        <v>Change</v>
      </c>
      <c r="AQ58" s="207" t="s">
        <v>251</v>
      </c>
      <c r="AR58" s="207" t="s">
        <v>139</v>
      </c>
      <c r="AS58" s="207">
        <v>20</v>
      </c>
      <c r="AT58" s="207" t="s">
        <v>252</v>
      </c>
      <c r="AV58" s="168">
        <f t="shared" si="21"/>
        <v>2</v>
      </c>
      <c r="AW58" s="168">
        <f>COUNTIF( AV$7:AV58, AV58 )</f>
        <v>12</v>
      </c>
      <c r="AX58" s="208">
        <f t="shared" si="22"/>
        <v>3.2</v>
      </c>
      <c r="AY58" s="168">
        <f t="shared" si="23"/>
        <v>13</v>
      </c>
      <c r="AZ58" s="169"/>
      <c r="BA58" s="169"/>
      <c r="BC58" s="168">
        <f t="shared" ca="1" si="24"/>
        <v>52</v>
      </c>
      <c r="BD58" s="209">
        <f t="shared" ca="1" si="8"/>
        <v>18</v>
      </c>
      <c r="BF58" s="173" t="str">
        <f t="shared" ca="1" si="25"/>
        <v>Energy Future Holdings Corp.</v>
      </c>
      <c r="BG58" s="173" t="str">
        <f t="shared" ca="1" si="25"/>
        <v>CCC-</v>
      </c>
      <c r="BH58" s="173">
        <f t="shared" ca="1" si="25"/>
        <v>8</v>
      </c>
      <c r="BI58" s="173" t="str">
        <f t="shared" ca="1" si="25"/>
        <v>**EFH</v>
      </c>
    </row>
    <row r="59" spans="1:61" ht="13.8" x14ac:dyDescent="0.25">
      <c r="A59" s="223"/>
      <c r="B59" s="224"/>
      <c r="C59" s="224"/>
      <c r="D59" s="224"/>
      <c r="E59" s="225"/>
      <c r="F59" s="348"/>
      <c r="G59" s="349" t="str">
        <f t="shared" ca="1" si="2"/>
        <v/>
      </c>
      <c r="H59" s="350"/>
      <c r="I59" s="350"/>
      <c r="J59" s="191"/>
      <c r="K59" s="191"/>
      <c r="AF59" s="169">
        <f t="shared" si="3"/>
        <v>0</v>
      </c>
      <c r="AG59" s="169" t="str">
        <f t="shared" si="4"/>
        <v/>
      </c>
      <c r="AH59" s="169" t="str">
        <f t="shared" si="19"/>
        <v/>
      </c>
      <c r="AJ59" s="169" t="e">
        <f t="shared" ca="1" si="5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6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1</v>
      </c>
      <c r="AX59" s="208">
        <f t="shared" si="22"/>
        <v>99.1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8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3.8" x14ac:dyDescent="0.25">
      <c r="A60" s="180"/>
      <c r="B60" s="181"/>
      <c r="C60" s="181"/>
      <c r="D60" s="181"/>
      <c r="E60" s="182"/>
      <c r="F60" s="350"/>
      <c r="G60" s="353" t="str">
        <f t="shared" ca="1" si="2"/>
        <v/>
      </c>
      <c r="H60" s="350"/>
      <c r="I60" s="350"/>
      <c r="AF60" s="169">
        <f t="shared" si="3"/>
        <v>0</v>
      </c>
      <c r="AG60" s="169" t="str">
        <f t="shared" si="4"/>
        <v/>
      </c>
      <c r="AH60" s="169" t="str">
        <f t="shared" si="19"/>
        <v/>
      </c>
      <c r="AJ60" s="169" t="e">
        <f t="shared" ca="1" si="5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6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2</v>
      </c>
      <c r="AX60" s="208">
        <f t="shared" si="22"/>
        <v>99.2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8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4.4" thickBot="1" x14ac:dyDescent="0.3">
      <c r="A61" s="192"/>
      <c r="B61" s="193"/>
      <c r="C61" s="193"/>
      <c r="D61" s="193"/>
      <c r="E61" s="194"/>
      <c r="F61" s="350"/>
      <c r="G61" s="353" t="str">
        <f t="shared" ca="1" si="2"/>
        <v/>
      </c>
      <c r="H61" s="350"/>
      <c r="I61" s="350"/>
      <c r="AF61" s="169">
        <f t="shared" si="3"/>
        <v>0</v>
      </c>
      <c r="AG61" s="169" t="str">
        <f t="shared" si="4"/>
        <v/>
      </c>
      <c r="AH61" s="169" t="str">
        <f t="shared" si="19"/>
        <v/>
      </c>
      <c r="AJ61" s="169" t="e">
        <f t="shared" ca="1" si="5"/>
        <v>#N/A</v>
      </c>
      <c r="AK61" s="169" t="str">
        <f t="shared" ca="1" si="20"/>
        <v/>
      </c>
      <c r="AL61" s="169" t="str">
        <f t="shared" ca="1" si="20"/>
        <v/>
      </c>
      <c r="AM61" s="169" t="str">
        <f t="shared" ca="1" si="6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3</v>
      </c>
      <c r="AX61" s="208">
        <f t="shared" si="22"/>
        <v>99.3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8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ht="13.8" x14ac:dyDescent="0.25">
      <c r="A62" s="226" t="s">
        <v>384</v>
      </c>
      <c r="B62" s="227" t="s">
        <v>162</v>
      </c>
      <c r="C62" s="227">
        <v>23</v>
      </c>
      <c r="D62" s="227" t="s">
        <v>309</v>
      </c>
      <c r="E62" s="228" t="str">
        <f ca="1">OFFSET( INDIRECT( E$3 &amp; E$4 ), $G62 - 1, 0 )</f>
        <v>MR</v>
      </c>
      <c r="F62" s="354"/>
      <c r="G62" s="355">
        <f t="shared" ca="1" si="2"/>
        <v>31</v>
      </c>
      <c r="H62" s="350"/>
      <c r="I62" s="350"/>
      <c r="AF62" s="169">
        <f t="shared" si="3"/>
        <v>1</v>
      </c>
      <c r="AG62" s="169" t="str">
        <f t="shared" ca="1" si="4"/>
        <v/>
      </c>
      <c r="AH62" s="169" t="str">
        <f t="shared" ca="1" si="19"/>
        <v/>
      </c>
      <c r="AJ62" s="169">
        <f t="shared" ca="1" si="5"/>
        <v>62</v>
      </c>
      <c r="AK62" s="169" t="str">
        <f t="shared" ca="1" si="20"/>
        <v>AA-</v>
      </c>
      <c r="AL62" s="169">
        <f t="shared" ca="1" si="20"/>
        <v>23</v>
      </c>
      <c r="AM62" s="169" t="str">
        <f t="shared" ca="1" si="6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4</v>
      </c>
      <c r="AX62" s="208">
        <f t="shared" si="22"/>
        <v>99.4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8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 t="s">
        <v>399</v>
      </c>
      <c r="B63" s="224" t="s">
        <v>141</v>
      </c>
      <c r="C63" s="224">
        <v>18</v>
      </c>
      <c r="D63" s="224" t="s">
        <v>400</v>
      </c>
      <c r="E63" s="225" t="str">
        <f ca="1">OFFSET( INDIRECT( E$3 &amp; E$4 ), $G63 - 1, 0 )</f>
        <v>R</v>
      </c>
      <c r="F63" s="348"/>
      <c r="G63" s="349">
        <f t="shared" ca="1" si="2"/>
        <v>52</v>
      </c>
      <c r="H63" s="350"/>
      <c r="I63" s="350"/>
      <c r="AF63" s="169">
        <f t="shared" si="3"/>
        <v>0</v>
      </c>
      <c r="AG63" s="169" t="str">
        <f t="shared" ca="1" si="4"/>
        <v/>
      </c>
      <c r="AH63" s="169" t="str">
        <f t="shared" ca="1" si="19"/>
        <v/>
      </c>
      <c r="AJ63" s="169">
        <f t="shared" ca="1" si="5"/>
        <v>63</v>
      </c>
      <c r="AK63" s="169" t="str">
        <f t="shared" ca="1" si="20"/>
        <v>BBB</v>
      </c>
      <c r="AL63" s="169">
        <f t="shared" ca="1" si="20"/>
        <v>18</v>
      </c>
      <c r="AM63" s="169" t="str">
        <f t="shared" ca="1" si="6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5</v>
      </c>
      <c r="AX63" s="208">
        <f t="shared" si="22"/>
        <v>99.5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 t="s">
        <v>401</v>
      </c>
      <c r="B64" s="224"/>
      <c r="C64" s="224"/>
      <c r="D64" s="224" t="s">
        <v>376</v>
      </c>
      <c r="E64" s="225" t="str">
        <f ca="1">OFFSET( INDIRECT( E$3 &amp; E$4 ), $G64 - 1, 0 )</f>
        <v>R</v>
      </c>
      <c r="F64" s="348"/>
      <c r="G64" s="349">
        <f t="shared" ca="1" si="2"/>
        <v>51</v>
      </c>
      <c r="H64" s="350"/>
      <c r="I64" s="350"/>
      <c r="AF64" s="169">
        <f t="shared" si="3"/>
        <v>0</v>
      </c>
      <c r="AG64" s="169" t="str">
        <f t="shared" si="4"/>
        <v/>
      </c>
      <c r="AH64" s="169" t="str">
        <f t="shared" si="19"/>
        <v/>
      </c>
      <c r="AJ64" s="169">
        <f t="shared" ca="1" si="5"/>
        <v>64</v>
      </c>
      <c r="AK64" s="169">
        <f t="shared" ca="1" si="20"/>
        <v>0</v>
      </c>
      <c r="AL64" s="169">
        <f t="shared" ca="1" si="20"/>
        <v>0</v>
      </c>
      <c r="AM64" s="169" t="str">
        <f t="shared" ca="1" si="6"/>
        <v/>
      </c>
      <c r="AQ64" s="207"/>
      <c r="AR64" s="207"/>
      <c r="AS64" s="207"/>
      <c r="AT64" s="207"/>
      <c r="AU64" s="207"/>
      <c r="AZ64" s="169"/>
      <c r="BA64" s="169"/>
      <c r="BF64" s="169"/>
    </row>
    <row r="65" spans="1:58" ht="13.8" x14ac:dyDescent="0.25">
      <c r="A65" s="223"/>
      <c r="B65" s="229"/>
      <c r="C65" s="224"/>
      <c r="D65" s="224"/>
      <c r="E65" s="225"/>
      <c r="F65" s="348"/>
      <c r="G65" s="349"/>
      <c r="H65" s="350"/>
      <c r="I65" s="350"/>
      <c r="N65" s="168" t="s">
        <v>310</v>
      </c>
      <c r="AF65" s="169">
        <f t="shared" si="3"/>
        <v>0</v>
      </c>
      <c r="AG65" s="169" t="str">
        <f>IF( LEN( $C65 ) = 0, "", IF( $C65 &gt; $AL65, 1, "" ) )</f>
        <v/>
      </c>
      <c r="AH65" s="169" t="str">
        <f t="shared" si="19"/>
        <v/>
      </c>
      <c r="AJ65" s="169" t="e">
        <f t="shared" ca="1" si="5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6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3.8" x14ac:dyDescent="0.25">
      <c r="A66" s="195"/>
      <c r="B66" s="196"/>
      <c r="C66" s="185"/>
      <c r="D66" s="185"/>
      <c r="E66" s="182"/>
      <c r="F66" s="350"/>
      <c r="H66" s="350"/>
      <c r="I66" s="350"/>
      <c r="AF66" s="169">
        <f t="shared" si="3"/>
        <v>0</v>
      </c>
      <c r="AG66" s="169" t="str">
        <f t="shared" ref="AG66:AG67" si="26">IF( LEN( $C66 ) = 0, "", IF( $C66 &gt; $AL66, 1, "" ) )</f>
        <v/>
      </c>
      <c r="AH66" s="169" t="str">
        <f t="shared" si="19"/>
        <v/>
      </c>
      <c r="AJ66" s="169" t="e">
        <f t="shared" ca="1" si="5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6"/>
        <v/>
      </c>
      <c r="AQ66" s="207" t="s">
        <v>384</v>
      </c>
      <c r="AR66" s="207" t="s">
        <v>162</v>
      </c>
      <c r="AS66" s="207">
        <v>23</v>
      </c>
      <c r="AT66" s="207" t="s">
        <v>309</v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50"/>
      <c r="H67" s="350"/>
      <c r="I67" s="350"/>
      <c r="AF67" s="169">
        <f t="shared" si="3"/>
        <v>0</v>
      </c>
      <c r="AG67" s="169" t="str">
        <f t="shared" si="26"/>
        <v/>
      </c>
      <c r="AH67" s="169" t="str">
        <f t="shared" si="19"/>
        <v/>
      </c>
      <c r="AJ67" s="169" t="e">
        <f t="shared" ca="1" si="5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6"/>
        <v/>
      </c>
      <c r="AQ67" s="207" t="s">
        <v>402</v>
      </c>
      <c r="AR67" s="207" t="s">
        <v>141</v>
      </c>
      <c r="AS67" s="207">
        <v>18</v>
      </c>
      <c r="AT67" s="207" t="s">
        <v>400</v>
      </c>
      <c r="AX67" s="208"/>
      <c r="AZ67" s="169"/>
      <c r="BA67" s="169"/>
      <c r="BD67" s="209"/>
      <c r="BF67" s="169"/>
    </row>
    <row r="68" spans="1:58" ht="13.8" x14ac:dyDescent="0.25">
      <c r="A68" s="200" t="s">
        <v>311</v>
      </c>
      <c r="B68" s="189" t="s">
        <v>141</v>
      </c>
      <c r="C68" s="201">
        <f>AVERAGE(C7:C65)</f>
        <v>18.444444444444443</v>
      </c>
      <c r="D68" s="201"/>
      <c r="E68" s="201"/>
      <c r="F68" s="350"/>
      <c r="H68" s="350"/>
      <c r="I68" s="350"/>
      <c r="J68" s="351"/>
      <c r="K68" s="351"/>
      <c r="AQ68" s="207" t="s">
        <v>401</v>
      </c>
      <c r="AR68" s="207"/>
      <c r="AS68" s="207"/>
      <c r="AT68" s="207" t="s">
        <v>376</v>
      </c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50"/>
      <c r="H69" s="350"/>
      <c r="I69" s="350"/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1"/>
      <c r="K70" s="351"/>
    </row>
    <row r="71" spans="1:58" x14ac:dyDescent="0.25">
      <c r="A71" s="203" t="s">
        <v>312</v>
      </c>
      <c r="F71" s="173"/>
      <c r="H71" s="173"/>
      <c r="I71" s="173"/>
    </row>
    <row r="72" spans="1:58" x14ac:dyDescent="0.25">
      <c r="A72" s="203" t="s">
        <v>313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314</v>
      </c>
      <c r="B73" s="173"/>
      <c r="D73" s="173"/>
      <c r="E73" s="173"/>
      <c r="F73" s="204"/>
      <c r="H73" s="204"/>
      <c r="I73" s="204"/>
    </row>
    <row r="74" spans="1:58" x14ac:dyDescent="0.25">
      <c r="A74" s="205" t="s">
        <v>403</v>
      </c>
      <c r="D74" s="204"/>
      <c r="F74" s="206"/>
      <c r="H74" s="206"/>
      <c r="I74" s="206"/>
    </row>
    <row r="75" spans="1:58" x14ac:dyDescent="0.25">
      <c r="A75" s="203" t="s">
        <v>315</v>
      </c>
      <c r="D75" s="204"/>
      <c r="F75" s="206"/>
      <c r="H75" s="206"/>
      <c r="I75" s="206"/>
      <c r="AQ75" s="207"/>
      <c r="AR75" s="207"/>
      <c r="AS75" s="207"/>
    </row>
    <row r="76" spans="1:58" x14ac:dyDescent="0.25">
      <c r="A76" s="203"/>
      <c r="D76" s="204"/>
      <c r="F76" s="206"/>
      <c r="H76" s="206"/>
      <c r="I76" s="206"/>
      <c r="AQ76" s="207"/>
      <c r="AR76" s="207"/>
      <c r="AS76" s="207"/>
    </row>
    <row r="77" spans="1:58" x14ac:dyDescent="0.25">
      <c r="A77" s="203"/>
      <c r="AQ77" s="207"/>
      <c r="AR77" s="207"/>
      <c r="AS77" s="207"/>
    </row>
    <row r="78" spans="1:58" x14ac:dyDescent="0.25">
      <c r="C78" s="190">
        <f>SUMPRODUCT( L8:L13, Y8:Y13 ) / L14</f>
        <v>18.574074074074073</v>
      </c>
      <c r="E78" s="191"/>
      <c r="G78" s="353"/>
      <c r="J78" s="173"/>
      <c r="K78" s="173"/>
      <c r="AQ78" s="207"/>
      <c r="AR78" s="207"/>
      <c r="AS78" s="207"/>
    </row>
    <row r="79" spans="1:58" s="173" customFormat="1" ht="13.8" x14ac:dyDescent="0.25">
      <c r="A79" s="195"/>
      <c r="B79" s="185"/>
      <c r="C79" s="185"/>
      <c r="D79" s="185"/>
      <c r="E79" s="182"/>
      <c r="F79" s="168"/>
      <c r="G79" s="169"/>
      <c r="H79" s="168"/>
      <c r="I79" s="168"/>
      <c r="Q79" s="168"/>
      <c r="T79" s="169"/>
      <c r="U79" s="169"/>
      <c r="V79" s="169"/>
      <c r="AF79" s="169"/>
      <c r="AG79" s="169"/>
      <c r="AH79" s="169"/>
      <c r="AJ79" s="169"/>
      <c r="AK79" s="169"/>
      <c r="AL79" s="169"/>
      <c r="AM79" s="169"/>
      <c r="AN79" s="169"/>
      <c r="AQ79" s="207"/>
      <c r="AR79" s="207"/>
      <c r="AS79" s="207"/>
    </row>
  </sheetData>
  <sortState ref="AQ7:AT58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7:E59 E62:E65">
    <cfRule type="expression" dxfId="410" priority="28" stopIfTrue="1">
      <formula>IF( $AH7 = 1, TRUE, FALSE )</formula>
    </cfRule>
    <cfRule type="expression" dxfId="409" priority="29" stopIfTrue="1">
      <formula>IF( $AG7 = 1, TRUE, FALSE )</formula>
    </cfRule>
    <cfRule type="expression" dxfId="408" priority="30" stopIfTrue="1">
      <formula>IF( $AF7 = 1, TRUE, FALSE )</formula>
    </cfRule>
  </conditionalFormatting>
  <conditionalFormatting sqref="A67:E67">
    <cfRule type="expression" dxfId="407" priority="31" stopIfTrue="1">
      <formula>IF( $AH67 = 1, TRUE, FALSE )</formula>
    </cfRule>
    <cfRule type="expression" dxfId="406" priority="32" stopIfTrue="1">
      <formula>IF( $AG67 = 1, TRUE, FALSE )</formula>
    </cfRule>
    <cfRule type="expression" dxfId="405" priority="33" stopIfTrue="1">
      <formula>IF( $AF67 = 1, TRUE, FALSE )</formula>
    </cfRule>
  </conditionalFormatting>
  <conditionalFormatting sqref="A66:E66">
    <cfRule type="expression" dxfId="404" priority="25" stopIfTrue="1">
      <formula>IF( $AH66 = 1, TRUE, FALSE )</formula>
    </cfRule>
    <cfRule type="expression" dxfId="403" priority="26" stopIfTrue="1">
      <formula>IF( $AG66 = 1, TRUE, FALSE )</formula>
    </cfRule>
    <cfRule type="expression" dxfId="402" priority="27" stopIfTrue="1">
      <formula>IF( $AF66 = 1, TRUE, FALSE )</formula>
    </cfRule>
  </conditionalFormatting>
  <conditionalFormatting sqref="A8:D58 B7:D7">
    <cfRule type="expression" dxfId="401" priority="22" stopIfTrue="1">
      <formula>IF( $AH7 = 1, TRUE, FALSE )</formula>
    </cfRule>
    <cfRule type="expression" dxfId="400" priority="23" stopIfTrue="1">
      <formula>IF( $AG7 = 1, TRUE, FALSE )</formula>
    </cfRule>
    <cfRule type="expression" dxfId="399" priority="24" stopIfTrue="1">
      <formula>IF( $AF7 = 1, TRUE, FALSE )</formula>
    </cfRule>
  </conditionalFormatting>
  <conditionalFormatting sqref="A59:D59">
    <cfRule type="expression" dxfId="398" priority="19" stopIfTrue="1">
      <formula>IF( $AH59 = 1, TRUE, FALSE )</formula>
    </cfRule>
    <cfRule type="expression" dxfId="397" priority="20" stopIfTrue="1">
      <formula>IF( $AG59 = 1, TRUE, FALSE )</formula>
    </cfRule>
    <cfRule type="expression" dxfId="396" priority="21" stopIfTrue="1">
      <formula>IF( $AF59 = 1, TRUE, FALSE )</formula>
    </cfRule>
  </conditionalFormatting>
  <conditionalFormatting sqref="A62:D65">
    <cfRule type="expression" dxfId="395" priority="16" stopIfTrue="1">
      <formula>IF( $AH62 = 1, TRUE, FALSE )</formula>
    </cfRule>
    <cfRule type="expression" dxfId="394" priority="17" stopIfTrue="1">
      <formula>IF( $AG62 = 1, TRUE, FALSE )</formula>
    </cfRule>
    <cfRule type="expression" dxfId="393" priority="18" stopIfTrue="1">
      <formula>IF( $AF62 = 1, TRUE, FALSE )</formula>
    </cfRule>
  </conditionalFormatting>
  <conditionalFormatting sqref="U8:U12">
    <cfRule type="cellIs" dxfId="392" priority="15" operator="equal">
      <formula>0</formula>
    </cfRule>
  </conditionalFormatting>
  <conditionalFormatting sqref="O8:O12 Q8:Q12">
    <cfRule type="cellIs" dxfId="391" priority="14" operator="equal">
      <formula>0</formula>
    </cfRule>
  </conditionalFormatting>
  <conditionalFormatting sqref="V8:V12">
    <cfRule type="cellIs" dxfId="390" priority="13" operator="equal">
      <formula>0</formula>
    </cfRule>
  </conditionalFormatting>
  <conditionalFormatting sqref="S8:S12">
    <cfRule type="cellIs" dxfId="389" priority="11" operator="equal">
      <formula>0</formula>
    </cfRule>
  </conditionalFormatting>
  <conditionalFormatting sqref="R8:R12">
    <cfRule type="cellIs" dxfId="388" priority="12" operator="equal">
      <formula>0</formula>
    </cfRule>
  </conditionalFormatting>
  <conditionalFormatting sqref="P8:P12">
    <cfRule type="cellIs" dxfId="387" priority="10" operator="equal">
      <formula>0</formula>
    </cfRule>
  </conditionalFormatting>
  <conditionalFormatting sqref="M8:M12">
    <cfRule type="cellIs" dxfId="386" priority="9" operator="equal">
      <formula>0</formula>
    </cfRule>
  </conditionalFormatting>
  <conditionalFormatting sqref="T8:T12">
    <cfRule type="cellIs" dxfId="385" priority="8" operator="equal">
      <formula>0</formula>
    </cfRule>
  </conditionalFormatting>
  <conditionalFormatting sqref="N8:N12">
    <cfRule type="cellIs" dxfId="384" priority="7" operator="equal">
      <formula>0</formula>
    </cfRule>
  </conditionalFormatting>
  <conditionalFormatting sqref="K8:K12">
    <cfRule type="cellIs" dxfId="383" priority="6" operator="equal">
      <formula>0</formula>
    </cfRule>
  </conditionalFormatting>
  <conditionalFormatting sqref="I8:I12">
    <cfRule type="cellIs" dxfId="382" priority="5" operator="equal">
      <formula>0</formula>
    </cfRule>
  </conditionalFormatting>
  <conditionalFormatting sqref="W8:W12">
    <cfRule type="cellIs" dxfId="381" priority="4" operator="equal">
      <formula>0</formula>
    </cfRule>
  </conditionalFormatting>
  <conditionalFormatting sqref="A7">
    <cfRule type="expression" dxfId="380" priority="1" stopIfTrue="1">
      <formula>IF( $AH7 = 1, TRUE, FALSE )</formula>
    </cfRule>
    <cfRule type="expression" dxfId="379" priority="2" stopIfTrue="1">
      <formula>IF( $AG7 = 1, TRUE, FALSE )</formula>
    </cfRule>
    <cfRule type="expression" dxfId="378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tabColor rgb="FF92D050"/>
    <pageSetUpPr fitToPage="1"/>
  </sheetPr>
  <dimension ref="C1:CN40"/>
  <sheetViews>
    <sheetView showGridLines="0" zoomScale="90" zoomScaleNormal="90" workbookViewId="0"/>
  </sheetViews>
  <sheetFormatPr defaultColWidth="9.109375" defaultRowHeight="13.8" outlineLevelCol="2" x14ac:dyDescent="0.25"/>
  <cols>
    <col min="1" max="2" width="2.88671875" style="187" customWidth="1"/>
    <col min="3" max="3" width="2.6640625" style="187" customWidth="1"/>
    <col min="4" max="4" width="24.6640625" style="187" customWidth="1"/>
    <col min="5" max="5" width="6.6640625" style="187" hidden="1" customWidth="1" outlineLevel="1"/>
    <col min="6" max="6" width="5.88671875" style="187" hidden="1" customWidth="1" outlineLevel="1"/>
    <col min="7" max="7" width="4.5546875" style="187" hidden="1" customWidth="1" outlineLevel="1"/>
    <col min="8" max="8" width="6.6640625" style="187" hidden="1" customWidth="1" outlineLevel="1"/>
    <col min="9" max="9" width="5.88671875" style="187" hidden="1" customWidth="1" outlineLevel="1"/>
    <col min="10" max="10" width="4.5546875" style="187" hidden="1" customWidth="1" outlineLevel="1"/>
    <col min="11" max="11" width="6.6640625" style="187" hidden="1" customWidth="1" outlineLevel="1"/>
    <col min="12" max="12" width="5.88671875" style="187" hidden="1" customWidth="1" outlineLevel="1"/>
    <col min="13" max="13" width="4.5546875" style="187" hidden="1" customWidth="1" outlineLevel="1"/>
    <col min="14" max="14" width="6.6640625" style="187" hidden="1" customWidth="1" outlineLevel="1"/>
    <col min="15" max="15" width="5.88671875" style="187" hidden="1" customWidth="1" outlineLevel="1"/>
    <col min="16" max="16" width="4.5546875" style="187" hidden="1" customWidth="1" outlineLevel="1"/>
    <col min="17" max="17" width="6.6640625" style="187" hidden="1" customWidth="1" outlineLevel="1"/>
    <col min="18" max="18" width="5.88671875" style="187" hidden="1" customWidth="1" outlineLevel="1"/>
    <col min="19" max="19" width="4.5546875" style="187" hidden="1" customWidth="1" outlineLevel="1"/>
    <col min="20" max="20" width="6.6640625" style="187" hidden="1" customWidth="1" outlineLevel="1"/>
    <col min="21" max="21" width="5.88671875" style="187" hidden="1" customWidth="1" outlineLevel="1"/>
    <col min="22" max="22" width="4.5546875" style="187" hidden="1" customWidth="1" outlineLevel="1"/>
    <col min="23" max="23" width="6.6640625" style="187" hidden="1" customWidth="1" outlineLevel="1"/>
    <col min="24" max="24" width="5.88671875" style="187" hidden="1" customWidth="1" outlineLevel="1"/>
    <col min="25" max="25" width="4.5546875" style="187" hidden="1" customWidth="1" outlineLevel="1"/>
    <col min="26" max="26" width="6.6640625" style="187" hidden="1" customWidth="1" outlineLevel="1"/>
    <col min="27" max="27" width="5.88671875" style="187" hidden="1" customWidth="1" outlineLevel="1"/>
    <col min="28" max="28" width="4.5546875" style="187" hidden="1" customWidth="1" outlineLevel="1"/>
    <col min="29" max="29" width="6.6640625" style="187" hidden="1" customWidth="1" outlineLevel="1"/>
    <col min="30" max="30" width="5.88671875" style="187" hidden="1" customWidth="1" outlineLevel="1"/>
    <col min="31" max="31" width="4.5546875" style="187" hidden="1" customWidth="1" outlineLevel="1"/>
    <col min="32" max="32" width="6.6640625" style="187" hidden="1" customWidth="1" outlineLevel="1"/>
    <col min="33" max="33" width="5.88671875" style="187" hidden="1" customWidth="1" outlineLevel="1"/>
    <col min="34" max="34" width="4.5546875" style="187" hidden="1" customWidth="1" outlineLevel="1"/>
    <col min="35" max="35" width="6.6640625" style="187" hidden="1" customWidth="1" outlineLevel="1"/>
    <col min="36" max="36" width="5.88671875" style="187" hidden="1" customWidth="1" outlineLevel="1"/>
    <col min="37" max="37" width="1.5546875" style="187" hidden="1" customWidth="1" outlineLevel="1"/>
    <col min="38" max="38" width="6.6640625" style="187" customWidth="1" collapsed="1"/>
    <col min="39" max="39" width="5.88671875" style="187" customWidth="1"/>
    <col min="40" max="40" width="4.5546875" style="187" customWidth="1"/>
    <col min="41" max="41" width="6.6640625" style="187" customWidth="1"/>
    <col min="42" max="42" width="5.88671875" style="187" customWidth="1"/>
    <col min="43" max="43" width="4.5546875" style="187" customWidth="1"/>
    <col min="44" max="44" width="6.6640625" style="187" customWidth="1"/>
    <col min="45" max="45" width="5.88671875" style="187" customWidth="1"/>
    <col min="46" max="46" width="4.5546875" style="187" customWidth="1"/>
    <col min="47" max="47" width="6.6640625" style="187" customWidth="1"/>
    <col min="48" max="48" width="5.88671875" style="187" customWidth="1"/>
    <col min="49" max="49" width="4.5546875" style="187" customWidth="1"/>
    <col min="50" max="50" width="6.6640625" style="187" customWidth="1"/>
    <col min="51" max="51" width="5.88671875" style="187" customWidth="1"/>
    <col min="52" max="52" width="4.5546875" style="187" customWidth="1"/>
    <col min="53" max="53" width="6.6640625" style="187" customWidth="1"/>
    <col min="54" max="54" width="5.88671875" style="187" customWidth="1"/>
    <col min="55" max="55" width="4.5546875" style="187" customWidth="1"/>
    <col min="56" max="56" width="6.6640625" style="187" customWidth="1"/>
    <col min="57" max="58" width="5.88671875" style="187" customWidth="1"/>
    <col min="59" max="59" width="6.6640625" style="187" customWidth="1"/>
    <col min="60" max="61" width="5.88671875" style="187" customWidth="1"/>
    <col min="62" max="62" width="6.6640625" style="187" customWidth="1"/>
    <col min="63" max="64" width="5.88671875" style="187" customWidth="1"/>
    <col min="65" max="65" width="6.6640625" style="187" customWidth="1"/>
    <col min="66" max="66" width="5.88671875" style="187" customWidth="1"/>
    <col min="67" max="67" width="4.5546875" style="187" customWidth="1"/>
    <col min="68" max="68" width="3.5546875" style="187" hidden="1" customWidth="1" outlineLevel="1"/>
    <col min="69" max="69" width="3.88671875" style="187" hidden="1" customWidth="1" outlineLevel="2"/>
    <col min="70" max="70" width="6.44140625" style="185" hidden="1" customWidth="1" outlineLevel="2"/>
    <col min="71" max="71" width="16.6640625" style="187" hidden="1" customWidth="1" outlineLevel="2"/>
    <col min="72" max="72" width="6.5546875" style="187" hidden="1" customWidth="1" outlineLevel="2"/>
    <col min="73" max="73" width="16.6640625" style="187" hidden="1" customWidth="1" outlineLevel="2"/>
    <col min="74" max="74" width="6.5546875" style="187" hidden="1" customWidth="1" outlineLevel="2"/>
    <col min="75" max="75" width="16.6640625" style="187" hidden="1" customWidth="1" outlineLevel="2"/>
    <col min="76" max="76" width="6.5546875" style="187" hidden="1" customWidth="1" outlineLevel="2"/>
    <col min="77" max="77" width="16.6640625" style="187" hidden="1" customWidth="1" outlineLevel="2"/>
    <col min="78" max="78" width="6.5546875" style="187" hidden="1" customWidth="1" outlineLevel="2"/>
    <col min="79" max="79" width="16.6640625" style="187" hidden="1" customWidth="1" outlineLevel="2"/>
    <col min="80" max="80" width="6.5546875" style="187" hidden="1" customWidth="1" outlineLevel="2"/>
    <col min="81" max="81" width="16.6640625" style="187" hidden="1" customWidth="1" outlineLevel="2"/>
    <col min="82" max="82" width="6.5546875" style="187" hidden="1" customWidth="1" outlineLevel="2"/>
    <col min="83" max="83" width="16.6640625" style="187" hidden="1" customWidth="1" outlineLevel="2"/>
    <col min="84" max="84" width="6.5546875" style="187" hidden="1" customWidth="1" outlineLevel="2"/>
    <col min="85" max="85" width="16.6640625" style="187" hidden="1" customWidth="1" outlineLevel="2"/>
    <col min="86" max="86" width="6.5546875" style="187" hidden="1" customWidth="1" outlineLevel="2"/>
    <col min="87" max="87" width="16.6640625" style="187" hidden="1" customWidth="1" outlineLevel="2"/>
    <col min="88" max="88" width="6.5546875" style="187" hidden="1" customWidth="1" outlineLevel="2"/>
    <col min="89" max="89" width="16.6640625" style="187" hidden="1" customWidth="1" outlineLevel="2"/>
    <col min="90" max="90" width="6.5546875" style="187" hidden="1" customWidth="1" outlineLevel="2"/>
    <col min="91" max="91" width="16.6640625" style="187" hidden="1" customWidth="1" outlineLevel="1" collapsed="1"/>
    <col min="92" max="92" width="9.109375" style="187" collapsed="1"/>
    <col min="93" max="16384" width="9.109375" style="187"/>
  </cols>
  <sheetData>
    <row r="1" spans="3:91" ht="18" x14ac:dyDescent="0.25">
      <c r="C1" s="167"/>
      <c r="D1" s="167" t="s">
        <v>119</v>
      </c>
    </row>
    <row r="4" spans="3:91" x14ac:dyDescent="0.25">
      <c r="C4" s="250"/>
      <c r="D4" s="250"/>
    </row>
    <row r="5" spans="3:91" ht="27" customHeight="1" x14ac:dyDescent="0.25">
      <c r="C5" s="384" t="s">
        <v>120</v>
      </c>
      <c r="D5" s="385"/>
      <c r="E5" s="385"/>
      <c r="F5" s="385"/>
      <c r="G5" s="385"/>
      <c r="H5" s="385"/>
      <c r="I5" s="385"/>
      <c r="J5" s="385"/>
      <c r="K5" s="385"/>
      <c r="L5" s="385"/>
      <c r="M5" s="385"/>
      <c r="N5" s="385"/>
      <c r="O5" s="385"/>
      <c r="P5" s="385"/>
      <c r="Q5" s="385"/>
      <c r="R5" s="385"/>
      <c r="S5" s="251"/>
      <c r="T5" s="251"/>
      <c r="U5" s="251"/>
      <c r="V5" s="251"/>
      <c r="W5" s="252"/>
      <c r="X5" s="252"/>
      <c r="Y5" s="251"/>
      <c r="Z5" s="252"/>
      <c r="AA5" s="252"/>
      <c r="AB5" s="252"/>
      <c r="AC5" s="252"/>
      <c r="AD5" s="252"/>
      <c r="AE5" s="252"/>
      <c r="AF5" s="252"/>
      <c r="AG5" s="252"/>
      <c r="AH5" s="252"/>
      <c r="AI5" s="252"/>
      <c r="AJ5" s="252"/>
      <c r="AK5" s="252"/>
      <c r="AL5" s="252"/>
      <c r="AM5" s="252"/>
      <c r="AN5" s="252"/>
      <c r="AO5" s="252"/>
      <c r="AP5" s="252"/>
      <c r="AQ5" s="252"/>
      <c r="AR5" s="252"/>
      <c r="AS5" s="252"/>
      <c r="AT5" s="252"/>
      <c r="AU5" s="252"/>
      <c r="AV5" s="252"/>
      <c r="AW5" s="252"/>
      <c r="AX5" s="252"/>
      <c r="AY5" s="252"/>
      <c r="AZ5" s="252"/>
      <c r="BA5" s="252"/>
      <c r="BB5" s="252"/>
      <c r="BC5" s="252"/>
      <c r="BD5" s="252"/>
      <c r="BE5" s="252"/>
      <c r="BF5" s="252"/>
      <c r="BG5" s="252"/>
      <c r="BH5" s="252"/>
      <c r="BI5" s="252"/>
      <c r="BJ5" s="252"/>
      <c r="BK5" s="252"/>
      <c r="BL5" s="252"/>
      <c r="BM5" s="253"/>
      <c r="BN5" s="253"/>
      <c r="BS5" s="256" t="s">
        <v>121</v>
      </c>
      <c r="BT5" s="256"/>
      <c r="BU5" s="256" t="s">
        <v>122</v>
      </c>
      <c r="BV5" s="256"/>
      <c r="BW5" s="256" t="s">
        <v>123</v>
      </c>
      <c r="BX5" s="256"/>
      <c r="BY5" s="256" t="s">
        <v>124</v>
      </c>
      <c r="BZ5" s="256"/>
      <c r="CA5" s="256" t="s">
        <v>125</v>
      </c>
      <c r="CB5" s="256"/>
      <c r="CC5" s="256" t="s">
        <v>126</v>
      </c>
      <c r="CD5" s="256"/>
      <c r="CE5" s="256" t="s">
        <v>127</v>
      </c>
      <c r="CF5" s="256"/>
      <c r="CG5" s="256" t="s">
        <v>128</v>
      </c>
      <c r="CH5" s="256"/>
      <c r="CI5" s="256" t="s">
        <v>129</v>
      </c>
      <c r="CJ5" s="256"/>
      <c r="CK5" s="256" t="s">
        <v>130</v>
      </c>
      <c r="CL5" s="256"/>
      <c r="CM5" s="256" t="s">
        <v>624</v>
      </c>
    </row>
    <row r="6" spans="3:91" x14ac:dyDescent="0.25">
      <c r="BJ6" s="357"/>
      <c r="BK6" s="357"/>
      <c r="BM6" s="254"/>
      <c r="BN6" s="254"/>
    </row>
    <row r="7" spans="3:91" s="203" customFormat="1" x14ac:dyDescent="0.25">
      <c r="E7" s="381">
        <v>37621</v>
      </c>
      <c r="F7" s="382"/>
      <c r="G7" s="298"/>
      <c r="H7" s="381">
        <v>37986</v>
      </c>
      <c r="I7" s="382"/>
      <c r="J7" s="250"/>
      <c r="K7" s="381">
        <v>38352</v>
      </c>
      <c r="L7" s="382"/>
      <c r="M7" s="298"/>
      <c r="N7" s="381">
        <v>38717</v>
      </c>
      <c r="O7" s="382"/>
      <c r="P7" s="189"/>
      <c r="Q7" s="381">
        <v>39082</v>
      </c>
      <c r="R7" s="382"/>
      <c r="S7" s="189"/>
      <c r="T7" s="381" t="s">
        <v>131</v>
      </c>
      <c r="U7" s="382"/>
      <c r="V7" s="189"/>
      <c r="W7" s="381" t="s">
        <v>132</v>
      </c>
      <c r="X7" s="382"/>
      <c r="Y7" s="189"/>
      <c r="Z7" s="381">
        <v>40178</v>
      </c>
      <c r="AA7" s="382"/>
      <c r="AB7" s="189"/>
      <c r="AC7" s="381">
        <v>40543</v>
      </c>
      <c r="AD7" s="382"/>
      <c r="AE7" s="189"/>
      <c r="AF7" s="381">
        <v>40908</v>
      </c>
      <c r="AG7" s="382"/>
      <c r="AH7" s="189"/>
      <c r="AI7" s="381">
        <v>41274</v>
      </c>
      <c r="AJ7" s="382"/>
      <c r="AK7" s="189"/>
      <c r="AL7" s="381" t="str">
        <f ca="1">INDIRECT( BU7 )</f>
        <v>2013 Q4</v>
      </c>
      <c r="AM7" s="382"/>
      <c r="AN7" s="189"/>
      <c r="AO7" s="381" t="str">
        <f ca="1">INDIRECT( BW7 )</f>
        <v>2014 Q4</v>
      </c>
      <c r="AP7" s="382"/>
      <c r="AQ7" s="189"/>
      <c r="AR7" s="381" t="str">
        <f ca="1">INDIRECT( BY7 )</f>
        <v>2015 Q4</v>
      </c>
      <c r="AS7" s="382"/>
      <c r="AT7" s="189"/>
      <c r="AU7" s="381" t="str">
        <f ca="1">INDIRECT( CA7 )</f>
        <v>2016 Q4</v>
      </c>
      <c r="AV7" s="382"/>
      <c r="AW7" s="189"/>
      <c r="AX7" s="381" t="str">
        <f ca="1">INDIRECT( CC7 )</f>
        <v>2017 Q4</v>
      </c>
      <c r="AY7" s="382"/>
      <c r="AZ7" s="189"/>
      <c r="BA7" s="381" t="str">
        <f ca="1">INDIRECT( CE7 )</f>
        <v>2018 Q4</v>
      </c>
      <c r="BB7" s="382"/>
      <c r="BC7" s="189"/>
      <c r="BD7" s="381" t="str">
        <f ca="1">INDIRECT( CG7 )</f>
        <v>2019 Q4</v>
      </c>
      <c r="BE7" s="382"/>
      <c r="BF7" s="189"/>
      <c r="BG7" s="381" t="str">
        <f ca="1">INDIRECT( CI7 )</f>
        <v>2020 Q4</v>
      </c>
      <c r="BH7" s="382"/>
      <c r="BI7" s="189"/>
      <c r="BJ7" s="380" t="str">
        <f ca="1">INDIRECT( CK7 )</f>
        <v>2021 Q4</v>
      </c>
      <c r="BK7" s="380"/>
      <c r="BL7" s="347"/>
      <c r="BM7" s="383" t="str">
        <f ca="1">INDIRECT( CM7 )</f>
        <v>2022 Q1</v>
      </c>
      <c r="BN7" s="383"/>
      <c r="BR7" s="262" t="s">
        <v>133</v>
      </c>
      <c r="BS7" s="187" t="str">
        <f ca="1">BS$5 &amp; "!" &amp;$BR7</f>
        <v>'Credit_2012Q4'!b6</v>
      </c>
      <c r="BU7" s="187" t="str">
        <f ca="1">BU$5 &amp; "!" &amp;$BR7</f>
        <v>'Credit_2013Q4'!b6</v>
      </c>
      <c r="BW7" s="187" t="str">
        <f ca="1">BW$5 &amp; "!" &amp;$BR7</f>
        <v>'Credit_2014Q4'!b6</v>
      </c>
      <c r="BY7" s="187" t="str">
        <f ca="1">BY$5 &amp; "!" &amp;$BR7</f>
        <v>'Credit_2015Q4'!b6</v>
      </c>
      <c r="CA7" s="187" t="str">
        <f ca="1">CA$5 &amp; "!" &amp;$BR7</f>
        <v>'Credit_2016Q4'!b6</v>
      </c>
      <c r="CC7" s="187" t="str">
        <f ca="1">CC$5 &amp; "!" &amp;$BR7</f>
        <v>'Credit_2017Q4'!b6</v>
      </c>
      <c r="CE7" s="187" t="str">
        <f ca="1">CE$5 &amp; "!" &amp;$BR7</f>
        <v>'Credit_2018Q4'!b6</v>
      </c>
      <c r="CG7" s="187" t="str">
        <f ca="1">CG$5 &amp; "!" &amp;$BR7</f>
        <v>'Credit_2019Q4'!b6</v>
      </c>
      <c r="CI7" s="187" t="str">
        <f ca="1">CI$5 &amp; "!" &amp;$BR7</f>
        <v>'Credit_2020Q4'!b6</v>
      </c>
      <c r="CK7" s="187" t="str">
        <f ca="1">CK$5 &amp; "!" &amp;$BR7</f>
        <v>'Credit_2021Q4'!b6</v>
      </c>
      <c r="CM7" s="187" t="str">
        <f ca="1">CM$5 &amp; "!" &amp;$BR7</f>
        <v>'Credit_2022Q1'!b6</v>
      </c>
    </row>
    <row r="8" spans="3:91" s="203" customFormat="1" x14ac:dyDescent="0.25">
      <c r="E8" s="185" t="s">
        <v>134</v>
      </c>
      <c r="F8" s="272" t="s">
        <v>135</v>
      </c>
      <c r="G8" s="185"/>
      <c r="H8" s="185" t="s">
        <v>134</v>
      </c>
      <c r="I8" s="272" t="s">
        <v>135</v>
      </c>
      <c r="J8" s="185"/>
      <c r="K8" s="185" t="s">
        <v>134</v>
      </c>
      <c r="L8" s="272" t="s">
        <v>135</v>
      </c>
      <c r="M8" s="185"/>
      <c r="N8" s="185" t="s">
        <v>134</v>
      </c>
      <c r="O8" s="272" t="s">
        <v>135</v>
      </c>
      <c r="P8" s="272"/>
      <c r="Q8" s="185" t="s">
        <v>134</v>
      </c>
      <c r="R8" s="185" t="s">
        <v>135</v>
      </c>
      <c r="S8" s="272"/>
      <c r="T8" s="185" t="s">
        <v>134</v>
      </c>
      <c r="U8" s="185" t="s">
        <v>135</v>
      </c>
      <c r="V8" s="272"/>
      <c r="W8" s="185" t="s">
        <v>134</v>
      </c>
      <c r="X8" s="255" t="s">
        <v>135</v>
      </c>
      <c r="Y8" s="272"/>
      <c r="Z8" s="185" t="s">
        <v>134</v>
      </c>
      <c r="AA8" s="255" t="s">
        <v>135</v>
      </c>
      <c r="AB8" s="272"/>
      <c r="AC8" s="185" t="s">
        <v>134</v>
      </c>
      <c r="AD8" s="255" t="s">
        <v>135</v>
      </c>
      <c r="AE8" s="272"/>
      <c r="AF8" s="185" t="s">
        <v>134</v>
      </c>
      <c r="AG8" s="255" t="s">
        <v>135</v>
      </c>
      <c r="AH8" s="272"/>
      <c r="AI8" s="185" t="s">
        <v>134</v>
      </c>
      <c r="AJ8" s="255" t="s">
        <v>135</v>
      </c>
      <c r="AK8" s="272"/>
      <c r="AL8" s="185" t="s">
        <v>134</v>
      </c>
      <c r="AM8" s="255" t="s">
        <v>135</v>
      </c>
      <c r="AN8" s="272"/>
      <c r="AO8" s="185" t="s">
        <v>134</v>
      </c>
      <c r="AP8" s="255" t="s">
        <v>135</v>
      </c>
      <c r="AQ8" s="272"/>
      <c r="AR8" s="185" t="s">
        <v>134</v>
      </c>
      <c r="AS8" s="255" t="s">
        <v>135</v>
      </c>
      <c r="AT8" s="272"/>
      <c r="AU8" s="185" t="s">
        <v>134</v>
      </c>
      <c r="AV8" s="255" t="s">
        <v>135</v>
      </c>
      <c r="AW8" s="272"/>
      <c r="AX8" s="185" t="s">
        <v>134</v>
      </c>
      <c r="AY8" s="255" t="s">
        <v>135</v>
      </c>
      <c r="AZ8" s="272"/>
      <c r="BA8" s="185" t="s">
        <v>134</v>
      </c>
      <c r="BB8" s="255" t="s">
        <v>135</v>
      </c>
      <c r="BC8" s="272"/>
      <c r="BD8" s="185" t="s">
        <v>134</v>
      </c>
      <c r="BE8" s="255" t="s">
        <v>135</v>
      </c>
      <c r="BF8" s="255"/>
      <c r="BG8" s="185" t="s">
        <v>134</v>
      </c>
      <c r="BH8" s="255" t="s">
        <v>135</v>
      </c>
      <c r="BI8" s="255"/>
      <c r="BJ8" s="358" t="s">
        <v>134</v>
      </c>
      <c r="BK8" s="359" t="s">
        <v>135</v>
      </c>
      <c r="BL8" s="255"/>
      <c r="BM8" s="280" t="s">
        <v>134</v>
      </c>
      <c r="BN8" s="281" t="s">
        <v>135</v>
      </c>
      <c r="BR8" s="255"/>
    </row>
    <row r="9" spans="3:91" s="203" customFormat="1" x14ac:dyDescent="0.25">
      <c r="E9" s="185"/>
      <c r="F9" s="272"/>
      <c r="G9" s="185"/>
      <c r="H9" s="185"/>
      <c r="I9" s="272"/>
      <c r="J9" s="185"/>
      <c r="K9" s="185"/>
      <c r="L9" s="272"/>
      <c r="M9" s="185"/>
      <c r="N9" s="185"/>
      <c r="O9" s="272"/>
      <c r="P9" s="272"/>
      <c r="Q9" s="185"/>
      <c r="R9" s="185"/>
      <c r="S9" s="272"/>
      <c r="T9" s="185"/>
      <c r="U9" s="185"/>
      <c r="V9" s="272"/>
      <c r="W9" s="185"/>
      <c r="X9" s="255"/>
      <c r="Y9" s="272"/>
      <c r="Z9" s="185"/>
      <c r="AA9" s="255"/>
      <c r="AB9" s="272"/>
      <c r="AC9" s="185"/>
      <c r="AD9" s="255"/>
      <c r="AE9" s="272"/>
      <c r="AF9" s="185"/>
      <c r="AG9" s="255"/>
      <c r="AH9" s="272"/>
      <c r="AI9" s="185"/>
      <c r="AJ9" s="255"/>
      <c r="AK9" s="272"/>
      <c r="AL9" s="185"/>
      <c r="AM9" s="255"/>
      <c r="AN9" s="272"/>
      <c r="AO9" s="185"/>
      <c r="AP9" s="255"/>
      <c r="AQ9" s="272"/>
      <c r="AR9" s="185"/>
      <c r="AS9" s="255"/>
      <c r="AT9" s="272"/>
      <c r="AU9" s="185"/>
      <c r="AV9" s="255"/>
      <c r="AW9" s="272"/>
      <c r="AX9" s="185"/>
      <c r="AY9" s="255"/>
      <c r="AZ9" s="272"/>
      <c r="BA9" s="185"/>
      <c r="BB9" s="255"/>
      <c r="BC9" s="272"/>
      <c r="BD9" s="185"/>
      <c r="BE9" s="255"/>
      <c r="BF9" s="255"/>
      <c r="BG9" s="185"/>
      <c r="BH9" s="255"/>
      <c r="BI9" s="255"/>
      <c r="BJ9" s="358"/>
      <c r="BK9" s="359"/>
      <c r="BL9" s="255"/>
      <c r="BM9" s="280"/>
      <c r="BN9" s="281"/>
      <c r="BR9" s="255"/>
      <c r="BS9" s="256"/>
      <c r="BT9" s="256"/>
      <c r="BU9" s="256"/>
      <c r="BV9" s="256"/>
      <c r="BW9" s="256"/>
      <c r="BX9" s="256"/>
      <c r="BY9" s="256"/>
      <c r="BZ9" s="256"/>
      <c r="CA9" s="256"/>
      <c r="CB9" s="256"/>
      <c r="CC9" s="256"/>
      <c r="CD9" s="256"/>
      <c r="CE9" s="256"/>
      <c r="CF9" s="256"/>
      <c r="CG9" s="256"/>
      <c r="CH9" s="256"/>
      <c r="CI9" s="256"/>
      <c r="CJ9" s="256"/>
      <c r="CK9" s="256"/>
      <c r="CL9" s="256"/>
      <c r="CM9" s="256"/>
    </row>
    <row r="10" spans="3:91" x14ac:dyDescent="0.25">
      <c r="C10" s="257"/>
      <c r="D10" s="257" t="s">
        <v>136</v>
      </c>
      <c r="E10" s="282"/>
      <c r="F10" s="273"/>
      <c r="G10" s="258"/>
      <c r="H10" s="282"/>
      <c r="I10" s="273"/>
      <c r="J10" s="258"/>
      <c r="K10" s="282"/>
      <c r="L10" s="273"/>
      <c r="M10" s="258"/>
      <c r="N10" s="282"/>
      <c r="O10" s="273"/>
      <c r="P10" s="273"/>
      <c r="Q10" s="283"/>
      <c r="R10" s="282"/>
      <c r="S10" s="273"/>
      <c r="T10" s="283"/>
      <c r="U10" s="282"/>
      <c r="V10" s="273"/>
      <c r="W10" s="284"/>
      <c r="X10" s="284"/>
      <c r="Y10" s="273"/>
      <c r="Z10" s="284"/>
      <c r="AA10" s="284"/>
      <c r="AB10" s="273"/>
      <c r="AC10" s="284"/>
      <c r="AD10" s="284"/>
      <c r="AE10" s="273"/>
      <c r="AF10" s="284"/>
      <c r="AG10" s="284"/>
      <c r="AH10" s="273"/>
      <c r="AI10" s="284"/>
      <c r="AJ10" s="284"/>
      <c r="AK10" s="273"/>
      <c r="AL10" s="284"/>
      <c r="AM10" s="284"/>
      <c r="AN10" s="273"/>
      <c r="AO10" s="284"/>
      <c r="AP10" s="284"/>
      <c r="AQ10" s="273"/>
      <c r="AR10" s="284"/>
      <c r="AS10" s="284"/>
      <c r="AT10" s="273"/>
      <c r="AU10" s="284"/>
      <c r="AV10" s="284"/>
      <c r="AW10" s="273"/>
      <c r="AX10" s="284"/>
      <c r="AY10" s="284"/>
      <c r="AZ10" s="273"/>
      <c r="BA10" s="284"/>
      <c r="BB10" s="284"/>
      <c r="BC10" s="273"/>
      <c r="BD10" s="284"/>
      <c r="BE10" s="284"/>
      <c r="BF10" s="284"/>
      <c r="BG10" s="284"/>
      <c r="BH10" s="284"/>
      <c r="BI10" s="284"/>
      <c r="BJ10" s="284"/>
      <c r="BK10" s="284"/>
      <c r="BL10" s="284"/>
      <c r="BM10" s="285"/>
      <c r="BN10" s="285"/>
    </row>
    <row r="11" spans="3:91" x14ac:dyDescent="0.25">
      <c r="C11" s="259"/>
      <c r="D11" s="259" t="s">
        <v>137</v>
      </c>
      <c r="E11" s="213">
        <v>6</v>
      </c>
      <c r="F11" s="274">
        <f t="shared" ref="F11:F16" ca="1" si="0">E11/$E$17</f>
        <v>0.1875</v>
      </c>
      <c r="G11" s="260"/>
      <c r="H11" s="213">
        <v>6</v>
      </c>
      <c r="I11" s="274">
        <f t="shared" ref="I11:I16" ca="1" si="1">H11/$H$17</f>
        <v>0.16666666666666666</v>
      </c>
      <c r="J11" s="260"/>
      <c r="K11" s="213">
        <v>7</v>
      </c>
      <c r="L11" s="274">
        <f t="shared" ref="L11:L16" ca="1" si="2">K11/$K$17</f>
        <v>0.19444444444444445</v>
      </c>
      <c r="M11" s="260"/>
      <c r="N11" s="213">
        <v>7</v>
      </c>
      <c r="O11" s="274">
        <f t="shared" ref="O11:O16" ca="1" si="3">N11/$N$17</f>
        <v>0.19444444444444445</v>
      </c>
      <c r="P11" s="274"/>
      <c r="Q11" s="213">
        <v>6</v>
      </c>
      <c r="R11" s="274">
        <f t="shared" ref="R11:R16" ca="1" si="4">Q11/$Q$17</f>
        <v>0.1875</v>
      </c>
      <c r="S11" s="274"/>
      <c r="T11" s="213">
        <v>5</v>
      </c>
      <c r="U11" s="274">
        <f t="shared" ref="U11:U16" ca="1" si="5">T11/$T$17</f>
        <v>0.13157894736842105</v>
      </c>
      <c r="V11" s="274"/>
      <c r="W11" s="213">
        <v>3</v>
      </c>
      <c r="X11" s="274">
        <f t="shared" ref="X11:X16" ca="1" si="6">W11/$W$17</f>
        <v>7.6923076923076927E-2</v>
      </c>
      <c r="Y11" s="274"/>
      <c r="Z11" s="213">
        <v>3</v>
      </c>
      <c r="AA11" s="274">
        <f t="shared" ref="AA11:AA16" ca="1" si="7">Z11/Z$17</f>
        <v>7.3170731707317069E-2</v>
      </c>
      <c r="AB11" s="274"/>
      <c r="AC11" s="213">
        <f ca="1">Credit_2010Q4!$AD8</f>
        <v>3</v>
      </c>
      <c r="AD11" s="274">
        <f t="shared" ref="AD11:AD16" ca="1" si="8">AC11/AC$17</f>
        <v>8.5714285714285715E-2</v>
      </c>
      <c r="AE11" s="274"/>
      <c r="AF11" s="213">
        <f ca="1">Credit_2011Q4!$AD8</f>
        <v>3</v>
      </c>
      <c r="AG11" s="274">
        <f t="shared" ref="AG11:AG16" ca="1" si="9">AF11/AF$17</f>
        <v>8.1081081081081086E-2</v>
      </c>
      <c r="AH11" s="274"/>
      <c r="AI11" s="213">
        <f t="shared" ref="AI11:AI16" ca="1" si="10">INDIRECT( BS11 &amp; $BQ11 )</f>
        <v>2</v>
      </c>
      <c r="AJ11" s="274">
        <f t="shared" ref="AJ11:AJ16" ca="1" si="11">AI11/AI$17</f>
        <v>5.5555555555555552E-2</v>
      </c>
      <c r="AK11" s="274"/>
      <c r="AL11" s="213">
        <f t="shared" ref="AL11:AL16" ca="1" si="12">INDIRECT( BU11 &amp; $BQ11 )</f>
        <v>1</v>
      </c>
      <c r="AM11" s="274">
        <f t="shared" ref="AM11:AM16" ca="1" si="13">AL11/AL$17</f>
        <v>2.8571428571428571E-2</v>
      </c>
      <c r="AN11" s="274"/>
      <c r="AO11" s="213">
        <f ca="1">INDIRECT( BW11 &amp; $BQ11 )</f>
        <v>1</v>
      </c>
      <c r="AP11" s="274">
        <f t="shared" ref="AP11:AP16" ca="1" si="14">AO11/AO$17</f>
        <v>2.6315789473684209E-2</v>
      </c>
      <c r="AQ11" s="274"/>
      <c r="AR11" s="213">
        <f t="shared" ref="AR11:AR16" ca="1" si="15">INDIRECT( BY11 &amp; $BQ11 )</f>
        <v>1</v>
      </c>
      <c r="AS11" s="274">
        <f t="shared" ref="AS11:AS16" ca="1" si="16">AR11/AR$17</f>
        <v>2.7777777777777776E-2</v>
      </c>
      <c r="AT11" s="274"/>
      <c r="AU11" s="213">
        <f t="shared" ref="AU11:AU16" ca="1" si="17">INDIRECT( CA11 &amp; $BQ11 )</f>
        <v>2</v>
      </c>
      <c r="AV11" s="274">
        <f t="shared" ref="AV11:AV16" ca="1" si="18">AU11/AU$17</f>
        <v>5.5555555555555552E-2</v>
      </c>
      <c r="AW11" s="274"/>
      <c r="AX11" s="213">
        <f t="shared" ref="AX11:AX16" ca="1" si="19">INDIRECT( CC11 &amp; $BQ11 )</f>
        <v>2</v>
      </c>
      <c r="AY11" s="274">
        <f t="shared" ref="AY11:AY16" ca="1" si="20">AX11/AX$17</f>
        <v>5.7142857142857141E-2</v>
      </c>
      <c r="AZ11" s="274"/>
      <c r="BA11" s="213">
        <f ca="1">INDIRECT( CE11 &amp; $BQ11 )</f>
        <v>1</v>
      </c>
      <c r="BB11" s="274">
        <f t="shared" ref="BB11:BB16" ca="1" si="21">BA11/BA$17</f>
        <v>2.9411764705882353E-2</v>
      </c>
      <c r="BC11" s="274"/>
      <c r="BD11" s="213">
        <f t="shared" ref="BD11:BD16" ca="1" si="22">INDIRECT( CG11 &amp; $BQ11 )</f>
        <v>1</v>
      </c>
      <c r="BE11" s="274">
        <f t="shared" ref="BE11:BE16" ca="1" si="23">BD11/BD$17</f>
        <v>2.8571428571428571E-2</v>
      </c>
      <c r="BF11" s="274"/>
      <c r="BG11" s="213">
        <f t="shared" ref="BG11:BG16" ca="1" si="24">INDIRECT( CI11 &amp; $BQ11 )</f>
        <v>1</v>
      </c>
      <c r="BH11" s="274">
        <f t="shared" ref="BH11:BH16" ca="1" si="25">BG11/BG$17</f>
        <v>2.9411764705882353E-2</v>
      </c>
      <c r="BI11" s="274"/>
      <c r="BJ11" s="360">
        <f t="shared" ref="BJ11:BJ16" ca="1" si="26">INDIRECT( CK11 &amp; $BQ11 )</f>
        <v>1</v>
      </c>
      <c r="BK11" s="361">
        <f t="shared" ref="BK11:BK16" ca="1" si="27">BJ11/BJ$17</f>
        <v>2.8571428571428571E-2</v>
      </c>
      <c r="BL11" s="274"/>
      <c r="BM11" s="286">
        <f t="shared" ref="BM11:BM16" ca="1" si="28">INDIRECT( CM11 &amp; $BQ11 )</f>
        <v>1</v>
      </c>
      <c r="BN11" s="292">
        <f t="shared" ref="BN11:BN16" ca="1" si="29">BM11/BM$17</f>
        <v>2.7777777777777776E-2</v>
      </c>
      <c r="BQ11" s="261">
        <v>8</v>
      </c>
      <c r="BR11" s="262" t="s">
        <v>138</v>
      </c>
      <c r="BS11" s="187" t="str">
        <f t="shared" ref="BS11:BS16" ca="1" si="30">BS$5 &amp; "!" &amp;$BR11</f>
        <v>'Credit_2012Q4'!o</v>
      </c>
      <c r="BU11" s="187" t="str">
        <f t="shared" ref="BU11:BU16" ca="1" si="31">BU$5 &amp; "!" &amp;$BR11</f>
        <v>'Credit_2013Q4'!o</v>
      </c>
      <c r="BW11" s="187" t="str">
        <f t="shared" ref="BW11:CM16" ca="1" si="32">BW$5 &amp; "!" &amp;$BR11</f>
        <v>'Credit_2014Q4'!o</v>
      </c>
      <c r="BY11" s="187" t="str">
        <f t="shared" ca="1" si="32"/>
        <v>'Credit_2015Q4'!o</v>
      </c>
      <c r="CA11" s="187" t="str">
        <f t="shared" ca="1" si="32"/>
        <v>'Credit_2016Q4'!o</v>
      </c>
      <c r="CC11" s="187" t="str">
        <f t="shared" ca="1" si="32"/>
        <v>'Credit_2017Q4'!o</v>
      </c>
      <c r="CE11" s="187" t="str">
        <f t="shared" ca="1" si="32"/>
        <v>'Credit_2018Q4'!o</v>
      </c>
      <c r="CG11" s="187" t="str">
        <f t="shared" ca="1" si="32"/>
        <v>'Credit_2019Q4'!o</v>
      </c>
      <c r="CI11" s="187" t="str">
        <f t="shared" ca="1" si="32"/>
        <v>'Credit_2020Q4'!o</v>
      </c>
      <c r="CK11" s="187" t="str">
        <f t="shared" ca="1" si="32"/>
        <v>'Credit_2021Q4'!o</v>
      </c>
      <c r="CM11" s="187" t="str">
        <f t="shared" ca="1" si="32"/>
        <v>'Credit_2022Q1'!o</v>
      </c>
    </row>
    <row r="12" spans="3:91" x14ac:dyDescent="0.25">
      <c r="C12" s="263"/>
      <c r="D12" s="263" t="s">
        <v>139</v>
      </c>
      <c r="E12" s="215">
        <v>7</v>
      </c>
      <c r="F12" s="275">
        <f t="shared" ca="1" si="0"/>
        <v>0.21875</v>
      </c>
      <c r="G12" s="264"/>
      <c r="H12" s="215">
        <v>5</v>
      </c>
      <c r="I12" s="275">
        <f t="shared" ca="1" si="1"/>
        <v>0.1388888888888889</v>
      </c>
      <c r="J12" s="264"/>
      <c r="K12" s="215">
        <v>4</v>
      </c>
      <c r="L12" s="275">
        <f t="shared" ca="1" si="2"/>
        <v>0.1111111111111111</v>
      </c>
      <c r="M12" s="264"/>
      <c r="N12" s="215">
        <v>3</v>
      </c>
      <c r="O12" s="275">
        <f t="shared" ca="1" si="3"/>
        <v>8.3333333333333329E-2</v>
      </c>
      <c r="P12" s="275"/>
      <c r="Q12" s="215">
        <v>1</v>
      </c>
      <c r="R12" s="275">
        <f t="shared" ca="1" si="4"/>
        <v>3.125E-2</v>
      </c>
      <c r="S12" s="275"/>
      <c r="T12" s="215">
        <v>2</v>
      </c>
      <c r="U12" s="275">
        <f t="shared" ca="1" si="5"/>
        <v>5.2631578947368418E-2</v>
      </c>
      <c r="V12" s="275"/>
      <c r="W12" s="215">
        <v>4</v>
      </c>
      <c r="X12" s="275">
        <f t="shared" ca="1" si="6"/>
        <v>0.10256410256410256</v>
      </c>
      <c r="Y12" s="275"/>
      <c r="Z12" s="215">
        <v>6</v>
      </c>
      <c r="AA12" s="275">
        <f t="shared" ca="1" si="7"/>
        <v>0.14634146341463414</v>
      </c>
      <c r="AB12" s="275"/>
      <c r="AC12" s="215">
        <f ca="1">Credit_2010Q4!$AD9</f>
        <v>5</v>
      </c>
      <c r="AD12" s="275">
        <f t="shared" ca="1" si="8"/>
        <v>0.14285714285714285</v>
      </c>
      <c r="AE12" s="275"/>
      <c r="AF12" s="215">
        <f ca="1">Credit_2011Q4!$AD9</f>
        <v>5</v>
      </c>
      <c r="AG12" s="275">
        <f t="shared" ca="1" si="9"/>
        <v>0.13513513513513514</v>
      </c>
      <c r="AH12" s="275"/>
      <c r="AI12" s="215">
        <f t="shared" ca="1" si="10"/>
        <v>6</v>
      </c>
      <c r="AJ12" s="275">
        <f t="shared" ca="1" si="11"/>
        <v>0.16666666666666666</v>
      </c>
      <c r="AK12" s="275"/>
      <c r="AL12" s="215">
        <f t="shared" ca="1" si="12"/>
        <v>7</v>
      </c>
      <c r="AM12" s="275">
        <f t="shared" ca="1" si="13"/>
        <v>0.2</v>
      </c>
      <c r="AN12" s="275"/>
      <c r="AO12" s="215">
        <f t="shared" ref="AO12:AO16" ca="1" si="33">INDIRECT( BW12 &amp; $BQ12 )</f>
        <v>8</v>
      </c>
      <c r="AP12" s="275">
        <f t="shared" ca="1" si="14"/>
        <v>0.21052631578947367</v>
      </c>
      <c r="AQ12" s="275"/>
      <c r="AR12" s="215">
        <f t="shared" ca="1" si="15"/>
        <v>8</v>
      </c>
      <c r="AS12" s="275">
        <f t="shared" ca="1" si="16"/>
        <v>0.22222222222222221</v>
      </c>
      <c r="AT12" s="275"/>
      <c r="AU12" s="215">
        <f t="shared" ca="1" si="17"/>
        <v>10</v>
      </c>
      <c r="AV12" s="275">
        <f t="shared" ca="1" si="18"/>
        <v>0.27777777777777779</v>
      </c>
      <c r="AW12" s="275"/>
      <c r="AX12" s="215">
        <f t="shared" ca="1" si="19"/>
        <v>12</v>
      </c>
      <c r="AY12" s="275">
        <f t="shared" ca="1" si="20"/>
        <v>0.34285714285714286</v>
      </c>
      <c r="AZ12" s="275"/>
      <c r="BA12" s="215">
        <f t="shared" ref="BA12:BA26" ca="1" si="34">INDIRECT( CE12 &amp; $BQ12 )</f>
        <v>11</v>
      </c>
      <c r="BB12" s="275">
        <f t="shared" ca="1" si="21"/>
        <v>0.3235294117647059</v>
      </c>
      <c r="BC12" s="275"/>
      <c r="BD12" s="215">
        <f t="shared" ca="1" si="22"/>
        <v>11</v>
      </c>
      <c r="BE12" s="275">
        <f t="shared" ca="1" si="23"/>
        <v>0.31428571428571428</v>
      </c>
      <c r="BF12" s="275"/>
      <c r="BG12" s="215">
        <f t="shared" ca="1" si="24"/>
        <v>11</v>
      </c>
      <c r="BH12" s="275">
        <f t="shared" ca="1" si="25"/>
        <v>0.3235294117647059</v>
      </c>
      <c r="BI12" s="275"/>
      <c r="BJ12" s="362">
        <f t="shared" ca="1" si="26"/>
        <v>8</v>
      </c>
      <c r="BK12" s="363">
        <f t="shared" ca="1" si="27"/>
        <v>0.22857142857142856</v>
      </c>
      <c r="BL12" s="275"/>
      <c r="BM12" s="287">
        <f t="shared" ca="1" si="28"/>
        <v>8</v>
      </c>
      <c r="BN12" s="293">
        <f t="shared" ca="1" si="29"/>
        <v>0.22222222222222221</v>
      </c>
      <c r="BQ12" s="187">
        <f ca="1">BQ11+1</f>
        <v>9</v>
      </c>
      <c r="BR12" s="185" t="str">
        <f ca="1">BR11</f>
        <v>o</v>
      </c>
      <c r="BS12" s="187" t="str">
        <f t="shared" ca="1" si="30"/>
        <v>'Credit_2012Q4'!o</v>
      </c>
      <c r="BU12" s="187" t="str">
        <f t="shared" ca="1" si="31"/>
        <v>'Credit_2013Q4'!o</v>
      </c>
      <c r="BW12" s="187" t="str">
        <f t="shared" ca="1" si="32"/>
        <v>'Credit_2014Q4'!o</v>
      </c>
      <c r="BY12" s="187" t="str">
        <f t="shared" ca="1" si="32"/>
        <v>'Credit_2015Q4'!o</v>
      </c>
      <c r="CA12" s="187" t="str">
        <f t="shared" ca="1" si="32"/>
        <v>'Credit_2016Q4'!o</v>
      </c>
      <c r="CC12" s="187" t="str">
        <f t="shared" ca="1" si="32"/>
        <v>'Credit_2017Q4'!o</v>
      </c>
      <c r="CE12" s="187" t="str">
        <f t="shared" ca="1" si="32"/>
        <v>'Credit_2018Q4'!o</v>
      </c>
      <c r="CG12" s="187" t="str">
        <f t="shared" ca="1" si="32"/>
        <v>'Credit_2019Q4'!o</v>
      </c>
      <c r="CI12" s="187" t="str">
        <f t="shared" ca="1" si="32"/>
        <v>'Credit_2020Q4'!o</v>
      </c>
      <c r="CK12" s="187" t="str">
        <f t="shared" ca="1" si="32"/>
        <v>'Credit_2021Q4'!o</v>
      </c>
      <c r="CM12" s="187" t="str">
        <f t="shared" ca="1" si="32"/>
        <v>'Credit_2022Q1'!o</v>
      </c>
    </row>
    <row r="13" spans="3:91" x14ac:dyDescent="0.25">
      <c r="C13" s="263"/>
      <c r="D13" s="263" t="s">
        <v>140</v>
      </c>
      <c r="E13" s="215">
        <v>3</v>
      </c>
      <c r="F13" s="275">
        <f t="shared" ca="1" si="0"/>
        <v>9.375E-2</v>
      </c>
      <c r="G13" s="264"/>
      <c r="H13" s="215">
        <v>6</v>
      </c>
      <c r="I13" s="275">
        <f t="shared" ca="1" si="1"/>
        <v>0.16666666666666666</v>
      </c>
      <c r="J13" s="264"/>
      <c r="K13" s="215">
        <v>7</v>
      </c>
      <c r="L13" s="275">
        <f t="shared" ca="1" si="2"/>
        <v>0.19444444444444445</v>
      </c>
      <c r="M13" s="264"/>
      <c r="N13" s="215">
        <v>8</v>
      </c>
      <c r="O13" s="275">
        <f t="shared" ca="1" si="3"/>
        <v>0.22222222222222221</v>
      </c>
      <c r="P13" s="275"/>
      <c r="Q13" s="215">
        <v>7</v>
      </c>
      <c r="R13" s="275">
        <f t="shared" ca="1" si="4"/>
        <v>0.21875</v>
      </c>
      <c r="S13" s="275"/>
      <c r="T13" s="215">
        <v>10</v>
      </c>
      <c r="U13" s="275">
        <f t="shared" ca="1" si="5"/>
        <v>0.26315789473684209</v>
      </c>
      <c r="V13" s="275"/>
      <c r="W13" s="215">
        <v>9</v>
      </c>
      <c r="X13" s="275">
        <f t="shared" ca="1" si="6"/>
        <v>0.23076923076923078</v>
      </c>
      <c r="Y13" s="275"/>
      <c r="Z13" s="215">
        <v>9</v>
      </c>
      <c r="AA13" s="275">
        <f t="shared" ca="1" si="7"/>
        <v>0.21951219512195122</v>
      </c>
      <c r="AB13" s="275"/>
      <c r="AC13" s="215">
        <f ca="1">Credit_2010Q4!$AD10</f>
        <v>6</v>
      </c>
      <c r="AD13" s="275">
        <f t="shared" ca="1" si="8"/>
        <v>0.17142857142857143</v>
      </c>
      <c r="AE13" s="275"/>
      <c r="AF13" s="215">
        <f ca="1">Credit_2011Q4!$AD10</f>
        <v>7</v>
      </c>
      <c r="AG13" s="275">
        <f t="shared" ca="1" si="9"/>
        <v>0.1891891891891892</v>
      </c>
      <c r="AH13" s="275"/>
      <c r="AI13" s="215">
        <f t="shared" ca="1" si="10"/>
        <v>5</v>
      </c>
      <c r="AJ13" s="275">
        <f t="shared" ca="1" si="11"/>
        <v>0.1388888888888889</v>
      </c>
      <c r="AK13" s="275"/>
      <c r="AL13" s="215">
        <f t="shared" ca="1" si="12"/>
        <v>6</v>
      </c>
      <c r="AM13" s="275">
        <f t="shared" ca="1" si="13"/>
        <v>0.17142857142857143</v>
      </c>
      <c r="AN13" s="275"/>
      <c r="AO13" s="215">
        <f t="shared" ca="1" si="33"/>
        <v>12</v>
      </c>
      <c r="AP13" s="275">
        <f t="shared" ca="1" si="14"/>
        <v>0.31578947368421051</v>
      </c>
      <c r="AQ13" s="275"/>
      <c r="AR13" s="215">
        <f t="shared" ca="1" si="15"/>
        <v>12</v>
      </c>
      <c r="AS13" s="275">
        <f t="shared" ca="1" si="16"/>
        <v>0.33333333333333331</v>
      </c>
      <c r="AT13" s="275"/>
      <c r="AU13" s="215">
        <f t="shared" ca="1" si="17"/>
        <v>13</v>
      </c>
      <c r="AV13" s="275">
        <f t="shared" ca="1" si="18"/>
        <v>0.3611111111111111</v>
      </c>
      <c r="AW13" s="275"/>
      <c r="AX13" s="215">
        <f t="shared" ca="1" si="19"/>
        <v>10</v>
      </c>
      <c r="AY13" s="275">
        <f t="shared" ca="1" si="20"/>
        <v>0.2857142857142857</v>
      </c>
      <c r="AZ13" s="275"/>
      <c r="BA13" s="215">
        <f t="shared" ca="1" si="34"/>
        <v>11</v>
      </c>
      <c r="BB13" s="275">
        <f t="shared" ca="1" si="21"/>
        <v>0.3235294117647059</v>
      </c>
      <c r="BC13" s="275"/>
      <c r="BD13" s="215">
        <f t="shared" ca="1" si="22"/>
        <v>11</v>
      </c>
      <c r="BE13" s="275">
        <f t="shared" ca="1" si="23"/>
        <v>0.31428571428571428</v>
      </c>
      <c r="BF13" s="275"/>
      <c r="BG13" s="215">
        <f t="shared" ca="1" si="24"/>
        <v>10</v>
      </c>
      <c r="BH13" s="275">
        <f t="shared" ca="1" si="25"/>
        <v>0.29411764705882354</v>
      </c>
      <c r="BI13" s="275"/>
      <c r="BJ13" s="362">
        <f t="shared" ca="1" si="26"/>
        <v>14</v>
      </c>
      <c r="BK13" s="363">
        <f t="shared" ca="1" si="27"/>
        <v>0.4</v>
      </c>
      <c r="BL13" s="275"/>
      <c r="BM13" s="287">
        <f t="shared" ca="1" si="28"/>
        <v>15</v>
      </c>
      <c r="BN13" s="293">
        <f t="shared" ca="1" si="29"/>
        <v>0.41666666666666669</v>
      </c>
      <c r="BQ13" s="187">
        <f ca="1">BQ12+1</f>
        <v>10</v>
      </c>
      <c r="BR13" s="185" t="str">
        <f t="shared" ref="BR13:BR16" ca="1" si="35">BR12</f>
        <v>o</v>
      </c>
      <c r="BS13" s="187" t="str">
        <f t="shared" ca="1" si="30"/>
        <v>'Credit_2012Q4'!o</v>
      </c>
      <c r="BU13" s="187" t="str">
        <f t="shared" ca="1" si="31"/>
        <v>'Credit_2013Q4'!o</v>
      </c>
      <c r="BW13" s="187" t="str">
        <f t="shared" ca="1" si="32"/>
        <v>'Credit_2014Q4'!o</v>
      </c>
      <c r="BY13" s="187" t="str">
        <f t="shared" ca="1" si="32"/>
        <v>'Credit_2015Q4'!o</v>
      </c>
      <c r="CA13" s="187" t="str">
        <f t="shared" ca="1" si="32"/>
        <v>'Credit_2016Q4'!o</v>
      </c>
      <c r="CC13" s="187" t="str">
        <f t="shared" ca="1" si="32"/>
        <v>'Credit_2017Q4'!o</v>
      </c>
      <c r="CE13" s="187" t="str">
        <f t="shared" ca="1" si="32"/>
        <v>'Credit_2018Q4'!o</v>
      </c>
      <c r="CG13" s="187" t="str">
        <f t="shared" ca="1" si="32"/>
        <v>'Credit_2019Q4'!o</v>
      </c>
      <c r="CI13" s="187" t="str">
        <f t="shared" ca="1" si="32"/>
        <v>'Credit_2020Q4'!o</v>
      </c>
      <c r="CK13" s="187" t="str">
        <f t="shared" ca="1" si="32"/>
        <v>'Credit_2021Q4'!o</v>
      </c>
      <c r="CM13" s="187" t="str">
        <f t="shared" ca="1" si="32"/>
        <v>'Credit_2022Q1'!o</v>
      </c>
    </row>
    <row r="14" spans="3:91" x14ac:dyDescent="0.25">
      <c r="C14" s="263"/>
      <c r="D14" s="263" t="s">
        <v>141</v>
      </c>
      <c r="E14" s="215">
        <v>6</v>
      </c>
      <c r="F14" s="275">
        <f t="shared" ca="1" si="0"/>
        <v>0.1875</v>
      </c>
      <c r="G14" s="264"/>
      <c r="H14" s="215">
        <v>6</v>
      </c>
      <c r="I14" s="275">
        <f t="shared" ca="1" si="1"/>
        <v>0.16666666666666666</v>
      </c>
      <c r="J14" s="264"/>
      <c r="K14" s="215">
        <v>8</v>
      </c>
      <c r="L14" s="275">
        <f t="shared" ca="1" si="2"/>
        <v>0.22222222222222221</v>
      </c>
      <c r="M14" s="264"/>
      <c r="N14" s="215">
        <v>9</v>
      </c>
      <c r="O14" s="275">
        <f t="shared" ca="1" si="3"/>
        <v>0.25</v>
      </c>
      <c r="P14" s="275"/>
      <c r="Q14" s="215">
        <v>9</v>
      </c>
      <c r="R14" s="275">
        <f t="shared" ca="1" si="4"/>
        <v>0.28125</v>
      </c>
      <c r="S14" s="275"/>
      <c r="T14" s="215">
        <v>8</v>
      </c>
      <c r="U14" s="275">
        <f t="shared" ca="1" si="5"/>
        <v>0.21052631578947367</v>
      </c>
      <c r="V14" s="275"/>
      <c r="W14" s="215">
        <v>9</v>
      </c>
      <c r="X14" s="275">
        <f t="shared" ca="1" si="6"/>
        <v>0.23076923076923078</v>
      </c>
      <c r="Y14" s="275"/>
      <c r="Z14" s="215">
        <v>11</v>
      </c>
      <c r="AA14" s="275">
        <f t="shared" ca="1" si="7"/>
        <v>0.26829268292682928</v>
      </c>
      <c r="AB14" s="275"/>
      <c r="AC14" s="215">
        <f ca="1">Credit_2010Q4!$AD11</f>
        <v>11</v>
      </c>
      <c r="AD14" s="275">
        <f t="shared" ca="1" si="8"/>
        <v>0.31428571428571428</v>
      </c>
      <c r="AE14" s="275"/>
      <c r="AF14" s="215">
        <f ca="1">Credit_2011Q4!$AD11</f>
        <v>13</v>
      </c>
      <c r="AG14" s="275">
        <f t="shared" ca="1" si="9"/>
        <v>0.35135135135135137</v>
      </c>
      <c r="AH14" s="275"/>
      <c r="AI14" s="215">
        <f t="shared" ca="1" si="10"/>
        <v>13</v>
      </c>
      <c r="AJ14" s="275">
        <f t="shared" ca="1" si="11"/>
        <v>0.3611111111111111</v>
      </c>
      <c r="AK14" s="275"/>
      <c r="AL14" s="215">
        <f t="shared" ca="1" si="12"/>
        <v>17</v>
      </c>
      <c r="AM14" s="275">
        <f t="shared" ca="1" si="13"/>
        <v>0.48571428571428571</v>
      </c>
      <c r="AN14" s="275"/>
      <c r="AO14" s="215">
        <f t="shared" ca="1" si="33"/>
        <v>14</v>
      </c>
      <c r="AP14" s="275">
        <f t="shared" ca="1" si="14"/>
        <v>0.36842105263157893</v>
      </c>
      <c r="AQ14" s="275"/>
      <c r="AR14" s="215">
        <f t="shared" ca="1" si="15"/>
        <v>12</v>
      </c>
      <c r="AS14" s="275">
        <f t="shared" ca="1" si="16"/>
        <v>0.33333333333333331</v>
      </c>
      <c r="AT14" s="275"/>
      <c r="AU14" s="215">
        <f t="shared" ca="1" si="17"/>
        <v>8</v>
      </c>
      <c r="AV14" s="275">
        <f t="shared" ca="1" si="18"/>
        <v>0.22222222222222221</v>
      </c>
      <c r="AW14" s="275"/>
      <c r="AX14" s="215">
        <f t="shared" ca="1" si="19"/>
        <v>7</v>
      </c>
      <c r="AY14" s="275">
        <f t="shared" ca="1" si="20"/>
        <v>0.2</v>
      </c>
      <c r="AZ14" s="275"/>
      <c r="BA14" s="215">
        <f t="shared" ca="1" si="34"/>
        <v>7</v>
      </c>
      <c r="BB14" s="275">
        <f t="shared" ca="1" si="21"/>
        <v>0.20588235294117646</v>
      </c>
      <c r="BC14" s="275"/>
      <c r="BD14" s="215">
        <f t="shared" ca="1" si="22"/>
        <v>8</v>
      </c>
      <c r="BE14" s="275">
        <f t="shared" ca="1" si="23"/>
        <v>0.22857142857142856</v>
      </c>
      <c r="BF14" s="275"/>
      <c r="BG14" s="215">
        <f t="shared" ca="1" si="24"/>
        <v>7</v>
      </c>
      <c r="BH14" s="275">
        <f t="shared" ca="1" si="25"/>
        <v>0.20588235294117646</v>
      </c>
      <c r="BI14" s="275"/>
      <c r="BJ14" s="362">
        <f t="shared" ca="1" si="26"/>
        <v>7</v>
      </c>
      <c r="BK14" s="363">
        <f t="shared" ca="1" si="27"/>
        <v>0.2</v>
      </c>
      <c r="BL14" s="275"/>
      <c r="BM14" s="287">
        <f t="shared" ca="1" si="28"/>
        <v>7</v>
      </c>
      <c r="BN14" s="293">
        <f t="shared" ca="1" si="29"/>
        <v>0.19444444444444445</v>
      </c>
      <c r="BQ14" s="187">
        <f ca="1">BQ13+1</f>
        <v>11</v>
      </c>
      <c r="BR14" s="185" t="str">
        <f t="shared" ca="1" si="35"/>
        <v>o</v>
      </c>
      <c r="BS14" s="187" t="str">
        <f t="shared" ca="1" si="30"/>
        <v>'Credit_2012Q4'!o</v>
      </c>
      <c r="BU14" s="187" t="str">
        <f t="shared" ca="1" si="31"/>
        <v>'Credit_2013Q4'!o</v>
      </c>
      <c r="BW14" s="187" t="str">
        <f t="shared" ca="1" si="32"/>
        <v>'Credit_2014Q4'!o</v>
      </c>
      <c r="BY14" s="187" t="str">
        <f t="shared" ca="1" si="32"/>
        <v>'Credit_2015Q4'!o</v>
      </c>
      <c r="CA14" s="187" t="str">
        <f t="shared" ca="1" si="32"/>
        <v>'Credit_2016Q4'!o</v>
      </c>
      <c r="CC14" s="187" t="str">
        <f t="shared" ca="1" si="32"/>
        <v>'Credit_2017Q4'!o</v>
      </c>
      <c r="CE14" s="187" t="str">
        <f t="shared" ca="1" si="32"/>
        <v>'Credit_2018Q4'!o</v>
      </c>
      <c r="CG14" s="187" t="str">
        <f t="shared" ca="1" si="32"/>
        <v>'Credit_2019Q4'!o</v>
      </c>
      <c r="CI14" s="187" t="str">
        <f t="shared" ca="1" si="32"/>
        <v>'Credit_2020Q4'!o</v>
      </c>
      <c r="CK14" s="187" t="str">
        <f t="shared" ca="1" si="32"/>
        <v>'Credit_2021Q4'!o</v>
      </c>
      <c r="CM14" s="187" t="str">
        <f t="shared" ca="1" si="32"/>
        <v>'Credit_2022Q1'!o</v>
      </c>
    </row>
    <row r="15" spans="3:91" x14ac:dyDescent="0.25">
      <c r="C15" s="263"/>
      <c r="D15" s="263" t="s">
        <v>142</v>
      </c>
      <c r="E15" s="215">
        <v>4</v>
      </c>
      <c r="F15" s="275">
        <f t="shared" ca="1" si="0"/>
        <v>0.125</v>
      </c>
      <c r="G15" s="264"/>
      <c r="H15" s="215">
        <v>5</v>
      </c>
      <c r="I15" s="275">
        <f t="shared" ca="1" si="1"/>
        <v>0.1388888888888889</v>
      </c>
      <c r="J15" s="264"/>
      <c r="K15" s="215">
        <v>5</v>
      </c>
      <c r="L15" s="275">
        <f t="shared" ca="1" si="2"/>
        <v>0.1388888888888889</v>
      </c>
      <c r="M15" s="264"/>
      <c r="N15" s="215">
        <v>3</v>
      </c>
      <c r="O15" s="275">
        <f t="shared" ca="1" si="3"/>
        <v>8.3333333333333329E-2</v>
      </c>
      <c r="P15" s="275"/>
      <c r="Q15" s="215">
        <v>3</v>
      </c>
      <c r="R15" s="275">
        <f t="shared" ca="1" si="4"/>
        <v>9.375E-2</v>
      </c>
      <c r="S15" s="275"/>
      <c r="T15" s="215">
        <v>7</v>
      </c>
      <c r="U15" s="275">
        <f t="shared" ca="1" si="5"/>
        <v>0.18421052631578946</v>
      </c>
      <c r="V15" s="275"/>
      <c r="W15" s="215">
        <v>9</v>
      </c>
      <c r="X15" s="275">
        <f t="shared" ca="1" si="6"/>
        <v>0.23076923076923078</v>
      </c>
      <c r="Y15" s="275"/>
      <c r="Z15" s="215">
        <v>8</v>
      </c>
      <c r="AA15" s="275">
        <f t="shared" ca="1" si="7"/>
        <v>0.1951219512195122</v>
      </c>
      <c r="AB15" s="275"/>
      <c r="AC15" s="215">
        <f ca="1">Credit_2010Q4!$AD12</f>
        <v>6</v>
      </c>
      <c r="AD15" s="275">
        <f t="shared" ca="1" si="8"/>
        <v>0.17142857142857143</v>
      </c>
      <c r="AE15" s="275"/>
      <c r="AF15" s="215">
        <f ca="1">Credit_2011Q4!$AD12</f>
        <v>5</v>
      </c>
      <c r="AG15" s="275">
        <f t="shared" ca="1" si="9"/>
        <v>0.13513513513513514</v>
      </c>
      <c r="AH15" s="275"/>
      <c r="AI15" s="215">
        <f t="shared" ca="1" si="10"/>
        <v>6</v>
      </c>
      <c r="AJ15" s="275">
        <f t="shared" ca="1" si="11"/>
        <v>0.16666666666666666</v>
      </c>
      <c r="AK15" s="275"/>
      <c r="AL15" s="215">
        <f t="shared" ca="1" si="12"/>
        <v>2</v>
      </c>
      <c r="AM15" s="275">
        <f t="shared" ca="1" si="13"/>
        <v>5.7142857142857141E-2</v>
      </c>
      <c r="AN15" s="275"/>
      <c r="AO15" s="215">
        <f t="shared" ca="1" si="33"/>
        <v>1</v>
      </c>
      <c r="AP15" s="275">
        <f t="shared" ca="1" si="14"/>
        <v>2.6315789473684209E-2</v>
      </c>
      <c r="AQ15" s="275"/>
      <c r="AR15" s="215">
        <f t="shared" ca="1" si="15"/>
        <v>1</v>
      </c>
      <c r="AS15" s="275">
        <f t="shared" ca="1" si="16"/>
        <v>2.7777777777777776E-2</v>
      </c>
      <c r="AT15" s="275"/>
      <c r="AU15" s="215">
        <f t="shared" ca="1" si="17"/>
        <v>3</v>
      </c>
      <c r="AV15" s="275">
        <f t="shared" ca="1" si="18"/>
        <v>8.3333333333333329E-2</v>
      </c>
      <c r="AW15" s="275"/>
      <c r="AX15" s="215">
        <f t="shared" ca="1" si="19"/>
        <v>4</v>
      </c>
      <c r="AY15" s="275">
        <f t="shared" ca="1" si="20"/>
        <v>0.11428571428571428</v>
      </c>
      <c r="AZ15" s="275"/>
      <c r="BA15" s="215">
        <f t="shared" ca="1" si="34"/>
        <v>4</v>
      </c>
      <c r="BB15" s="275">
        <f t="shared" ca="1" si="21"/>
        <v>0.11764705882352941</v>
      </c>
      <c r="BC15" s="275"/>
      <c r="BD15" s="215">
        <f t="shared" ca="1" si="22"/>
        <v>2</v>
      </c>
      <c r="BE15" s="275">
        <f t="shared" ca="1" si="23"/>
        <v>5.7142857142857141E-2</v>
      </c>
      <c r="BF15" s="275"/>
      <c r="BG15" s="215">
        <f t="shared" ca="1" si="24"/>
        <v>2</v>
      </c>
      <c r="BH15" s="275">
        <f t="shared" ca="1" si="25"/>
        <v>5.8823529411764705E-2</v>
      </c>
      <c r="BI15" s="275"/>
      <c r="BJ15" s="362">
        <f t="shared" ca="1" si="26"/>
        <v>3</v>
      </c>
      <c r="BK15" s="363">
        <f t="shared" ca="1" si="27"/>
        <v>8.5714285714285715E-2</v>
      </c>
      <c r="BL15" s="275"/>
      <c r="BM15" s="287">
        <f t="shared" ca="1" si="28"/>
        <v>3</v>
      </c>
      <c r="BN15" s="293">
        <f t="shared" ca="1" si="29"/>
        <v>8.3333333333333329E-2</v>
      </c>
      <c r="BQ15" s="187">
        <f ca="1">BQ14+1</f>
        <v>12</v>
      </c>
      <c r="BR15" s="185" t="str">
        <f t="shared" ca="1" si="35"/>
        <v>o</v>
      </c>
      <c r="BS15" s="187" t="str">
        <f t="shared" ca="1" si="30"/>
        <v>'Credit_2012Q4'!o</v>
      </c>
      <c r="BU15" s="187" t="str">
        <f t="shared" ca="1" si="31"/>
        <v>'Credit_2013Q4'!o</v>
      </c>
      <c r="BW15" s="187" t="str">
        <f t="shared" ca="1" si="32"/>
        <v>'Credit_2014Q4'!o</v>
      </c>
      <c r="BY15" s="187" t="str">
        <f t="shared" ca="1" si="32"/>
        <v>'Credit_2015Q4'!o</v>
      </c>
      <c r="CA15" s="187" t="str">
        <f t="shared" ca="1" si="32"/>
        <v>'Credit_2016Q4'!o</v>
      </c>
      <c r="CC15" s="187" t="str">
        <f t="shared" ca="1" si="32"/>
        <v>'Credit_2017Q4'!o</v>
      </c>
      <c r="CE15" s="187" t="str">
        <f t="shared" ca="1" si="32"/>
        <v>'Credit_2018Q4'!o</v>
      </c>
      <c r="CG15" s="187" t="str">
        <f t="shared" ca="1" si="32"/>
        <v>'Credit_2019Q4'!o</v>
      </c>
      <c r="CI15" s="187" t="str">
        <f t="shared" ca="1" si="32"/>
        <v>'Credit_2020Q4'!o</v>
      </c>
      <c r="CK15" s="187" t="str">
        <f t="shared" ca="1" si="32"/>
        <v>'Credit_2021Q4'!o</v>
      </c>
      <c r="CM15" s="187" t="str">
        <f t="shared" ca="1" si="32"/>
        <v>'Credit_2022Q1'!o</v>
      </c>
    </row>
    <row r="16" spans="3:91" x14ac:dyDescent="0.25">
      <c r="C16" s="265"/>
      <c r="D16" s="265" t="s">
        <v>143</v>
      </c>
      <c r="E16" s="217">
        <v>6</v>
      </c>
      <c r="F16" s="276">
        <f t="shared" ca="1" si="0"/>
        <v>0.1875</v>
      </c>
      <c r="G16" s="266"/>
      <c r="H16" s="217">
        <v>8</v>
      </c>
      <c r="I16" s="276">
        <f t="shared" ca="1" si="1"/>
        <v>0.22222222222222221</v>
      </c>
      <c r="J16" s="267"/>
      <c r="K16" s="217">
        <v>5</v>
      </c>
      <c r="L16" s="276">
        <f t="shared" ca="1" si="2"/>
        <v>0.1388888888888889</v>
      </c>
      <c r="M16" s="266"/>
      <c r="N16" s="217">
        <v>6</v>
      </c>
      <c r="O16" s="276">
        <f t="shared" ca="1" si="3"/>
        <v>0.16666666666666666</v>
      </c>
      <c r="P16" s="276"/>
      <c r="Q16" s="217">
        <v>6</v>
      </c>
      <c r="R16" s="276">
        <f t="shared" ca="1" si="4"/>
        <v>0.1875</v>
      </c>
      <c r="S16" s="276"/>
      <c r="T16" s="217">
        <v>6</v>
      </c>
      <c r="U16" s="276">
        <f t="shared" ca="1" si="5"/>
        <v>0.15789473684210525</v>
      </c>
      <c r="V16" s="276"/>
      <c r="W16" s="217">
        <v>5</v>
      </c>
      <c r="X16" s="276">
        <f t="shared" ca="1" si="6"/>
        <v>0.12820512820512819</v>
      </c>
      <c r="Y16" s="276"/>
      <c r="Z16" s="217">
        <v>4</v>
      </c>
      <c r="AA16" s="276">
        <f t="shared" ca="1" si="7"/>
        <v>9.7560975609756101E-2</v>
      </c>
      <c r="AB16" s="276"/>
      <c r="AC16" s="217">
        <f ca="1">Credit_2010Q4!$AD13</f>
        <v>4</v>
      </c>
      <c r="AD16" s="276">
        <f t="shared" ca="1" si="8"/>
        <v>0.11428571428571428</v>
      </c>
      <c r="AE16" s="276"/>
      <c r="AF16" s="217">
        <f ca="1">Credit_2011Q4!$AD13</f>
        <v>4</v>
      </c>
      <c r="AG16" s="276">
        <f t="shared" ca="1" si="9"/>
        <v>0.10810810810810811</v>
      </c>
      <c r="AH16" s="276"/>
      <c r="AI16" s="217">
        <f t="shared" ca="1" si="10"/>
        <v>4</v>
      </c>
      <c r="AJ16" s="276">
        <f t="shared" ca="1" si="11"/>
        <v>0.1111111111111111</v>
      </c>
      <c r="AK16" s="276"/>
      <c r="AL16" s="217">
        <f t="shared" ca="1" si="12"/>
        <v>2</v>
      </c>
      <c r="AM16" s="276">
        <f t="shared" ca="1" si="13"/>
        <v>5.7142857142857141E-2</v>
      </c>
      <c r="AN16" s="276"/>
      <c r="AO16" s="217">
        <f t="shared" ca="1" si="33"/>
        <v>2</v>
      </c>
      <c r="AP16" s="276">
        <f t="shared" ca="1" si="14"/>
        <v>5.2631578947368418E-2</v>
      </c>
      <c r="AQ16" s="276"/>
      <c r="AR16" s="217">
        <f t="shared" ca="1" si="15"/>
        <v>2</v>
      </c>
      <c r="AS16" s="276">
        <f t="shared" ca="1" si="16"/>
        <v>5.5555555555555552E-2</v>
      </c>
      <c r="AT16" s="276"/>
      <c r="AU16" s="217">
        <f t="shared" ca="1" si="17"/>
        <v>0</v>
      </c>
      <c r="AV16" s="276">
        <f t="shared" ca="1" si="18"/>
        <v>0</v>
      </c>
      <c r="AW16" s="276"/>
      <c r="AX16" s="217">
        <f t="shared" ca="1" si="19"/>
        <v>0</v>
      </c>
      <c r="AY16" s="276">
        <f t="shared" ca="1" si="20"/>
        <v>0</v>
      </c>
      <c r="AZ16" s="276"/>
      <c r="BA16" s="217">
        <f t="shared" ca="1" si="34"/>
        <v>0</v>
      </c>
      <c r="BB16" s="276">
        <f t="shared" ca="1" si="21"/>
        <v>0</v>
      </c>
      <c r="BC16" s="276"/>
      <c r="BD16" s="217">
        <f t="shared" ca="1" si="22"/>
        <v>2</v>
      </c>
      <c r="BE16" s="276">
        <f t="shared" ca="1" si="23"/>
        <v>5.7142857142857141E-2</v>
      </c>
      <c r="BF16" s="276"/>
      <c r="BG16" s="217">
        <f t="shared" ca="1" si="24"/>
        <v>3</v>
      </c>
      <c r="BH16" s="276">
        <f t="shared" ca="1" si="25"/>
        <v>8.8235294117647065E-2</v>
      </c>
      <c r="BI16" s="276"/>
      <c r="BJ16" s="364">
        <f t="shared" ca="1" si="26"/>
        <v>2</v>
      </c>
      <c r="BK16" s="365">
        <f t="shared" ca="1" si="27"/>
        <v>5.7142857142857141E-2</v>
      </c>
      <c r="BL16" s="276"/>
      <c r="BM16" s="288">
        <f t="shared" ca="1" si="28"/>
        <v>2</v>
      </c>
      <c r="BN16" s="294">
        <f t="shared" ca="1" si="29"/>
        <v>5.5555555555555552E-2</v>
      </c>
      <c r="BQ16" s="187">
        <f ca="1">BQ15+1</f>
        <v>13</v>
      </c>
      <c r="BR16" s="185" t="str">
        <f t="shared" ca="1" si="35"/>
        <v>o</v>
      </c>
      <c r="BS16" s="187" t="str">
        <f t="shared" ca="1" si="30"/>
        <v>'Credit_2012Q4'!o</v>
      </c>
      <c r="BU16" s="187" t="str">
        <f t="shared" ca="1" si="31"/>
        <v>'Credit_2013Q4'!o</v>
      </c>
      <c r="BW16" s="187" t="str">
        <f t="shared" ca="1" si="32"/>
        <v>'Credit_2014Q4'!o</v>
      </c>
      <c r="BY16" s="187" t="str">
        <f t="shared" ca="1" si="32"/>
        <v>'Credit_2015Q4'!o</v>
      </c>
      <c r="CA16" s="187" t="str">
        <f t="shared" ca="1" si="32"/>
        <v>'Credit_2016Q4'!o</v>
      </c>
      <c r="CC16" s="187" t="str">
        <f t="shared" ca="1" si="32"/>
        <v>'Credit_2017Q4'!o</v>
      </c>
      <c r="CE16" s="187" t="str">
        <f t="shared" ca="1" si="32"/>
        <v>'Credit_2018Q4'!o</v>
      </c>
      <c r="CG16" s="187" t="str">
        <f t="shared" ca="1" si="32"/>
        <v>'Credit_2019Q4'!o</v>
      </c>
      <c r="CI16" s="187" t="str">
        <f t="shared" ca="1" si="32"/>
        <v>'Credit_2020Q4'!o</v>
      </c>
      <c r="CK16" s="187" t="str">
        <f t="shared" ca="1" si="32"/>
        <v>'Credit_2021Q4'!o</v>
      </c>
      <c r="CM16" s="187" t="str">
        <f t="shared" ca="1" si="32"/>
        <v>'Credit_2022Q1'!o</v>
      </c>
    </row>
    <row r="17" spans="3:91" x14ac:dyDescent="0.25">
      <c r="C17" s="268"/>
      <c r="D17" s="268" t="s">
        <v>144</v>
      </c>
      <c r="E17" s="211">
        <f t="shared" ref="E17:AA17" ca="1" si="36">SUM(E11:E16)</f>
        <v>32</v>
      </c>
      <c r="F17" s="277">
        <f t="shared" ca="1" si="36"/>
        <v>1</v>
      </c>
      <c r="G17" s="269"/>
      <c r="H17" s="211">
        <f t="shared" ca="1" si="36"/>
        <v>36</v>
      </c>
      <c r="I17" s="277">
        <f t="shared" ca="1" si="36"/>
        <v>0.99999999999999989</v>
      </c>
      <c r="J17" s="269"/>
      <c r="K17" s="211">
        <f t="shared" ca="1" si="36"/>
        <v>36</v>
      </c>
      <c r="L17" s="277">
        <f t="shared" ca="1" si="36"/>
        <v>1</v>
      </c>
      <c r="M17" s="269"/>
      <c r="N17" s="211">
        <f ca="1">SUM(N11:N16)</f>
        <v>36</v>
      </c>
      <c r="O17" s="277">
        <f ca="1">SUM(O11:O16)</f>
        <v>1</v>
      </c>
      <c r="P17" s="277"/>
      <c r="Q17" s="211">
        <f ca="1">SUM(Q11:Q16)</f>
        <v>32</v>
      </c>
      <c r="R17" s="277">
        <f t="shared" ca="1" si="36"/>
        <v>1</v>
      </c>
      <c r="S17" s="277"/>
      <c r="T17" s="211">
        <f ca="1">SUM(T11:T16)</f>
        <v>38</v>
      </c>
      <c r="U17" s="277">
        <f t="shared" ca="1" si="36"/>
        <v>1</v>
      </c>
      <c r="V17" s="277"/>
      <c r="W17" s="211">
        <f ca="1">SUM(W11:W16)</f>
        <v>39</v>
      </c>
      <c r="X17" s="277">
        <f t="shared" ca="1" si="36"/>
        <v>1</v>
      </c>
      <c r="Y17" s="277"/>
      <c r="Z17" s="211">
        <f ca="1">SUM(Z11:Z16)</f>
        <v>41</v>
      </c>
      <c r="AA17" s="277">
        <f t="shared" ca="1" si="36"/>
        <v>0.99999999999999989</v>
      </c>
      <c r="AB17" s="277"/>
      <c r="AC17" s="211">
        <f t="shared" ref="AC17:AF17" ca="1" si="37">SUM(AC11:AC16)</f>
        <v>35</v>
      </c>
      <c r="AD17" s="277">
        <f t="shared" ca="1" si="37"/>
        <v>1</v>
      </c>
      <c r="AE17" s="277"/>
      <c r="AF17" s="211">
        <f t="shared" ca="1" si="37"/>
        <v>37</v>
      </c>
      <c r="AG17" s="277">
        <f t="shared" ref="AG17" ca="1" si="38">SUM(AG11:AG16)</f>
        <v>1</v>
      </c>
      <c r="AH17" s="277"/>
      <c r="AI17" s="211">
        <f ca="1">SUM(AI11:AI16)</f>
        <v>36</v>
      </c>
      <c r="AJ17" s="277">
        <f t="shared" ref="AJ17" ca="1" si="39">SUM(AJ11:AJ16)</f>
        <v>1</v>
      </c>
      <c r="AK17" s="277"/>
      <c r="AL17" s="211">
        <f ca="1">SUM(AL11:AL16)</f>
        <v>35</v>
      </c>
      <c r="AM17" s="277">
        <f ca="1">SUM(AM11:AM16)</f>
        <v>1</v>
      </c>
      <c r="AN17" s="277"/>
      <c r="AO17" s="211">
        <f ca="1">SUM(AO11:AO16)</f>
        <v>38</v>
      </c>
      <c r="AP17" s="277">
        <f ca="1">SUM(AP11:AP16)</f>
        <v>1</v>
      </c>
      <c r="AQ17" s="277"/>
      <c r="AR17" s="211">
        <f ca="1">SUM(AR11:AR16)</f>
        <v>36</v>
      </c>
      <c r="AS17" s="277">
        <f ca="1">SUM(AS11:AS16)</f>
        <v>0.99999999999999989</v>
      </c>
      <c r="AT17" s="277"/>
      <c r="AU17" s="211">
        <f ca="1">SUM(AU11:AU16)</f>
        <v>36</v>
      </c>
      <c r="AV17" s="277">
        <f ca="1">SUM(AV11:AV16)</f>
        <v>1</v>
      </c>
      <c r="AW17" s="277"/>
      <c r="AX17" s="211">
        <f ca="1">SUM(AX11:AX16)</f>
        <v>35</v>
      </c>
      <c r="AY17" s="277">
        <f ca="1">SUM(AY11:AY16)</f>
        <v>1</v>
      </c>
      <c r="AZ17" s="277"/>
      <c r="BA17" s="211">
        <f ca="1">SUM(BA11:BA16)</f>
        <v>34</v>
      </c>
      <c r="BB17" s="277">
        <f ca="1">SUM(BB11:BB16)</f>
        <v>1</v>
      </c>
      <c r="BC17" s="277"/>
      <c r="BD17" s="211">
        <f ca="1">SUM(BD11:BD16)</f>
        <v>35</v>
      </c>
      <c r="BE17" s="277">
        <f ca="1">SUM(BE11:BE16)</f>
        <v>1</v>
      </c>
      <c r="BF17" s="277"/>
      <c r="BG17" s="211">
        <f ca="1">SUM(BG11:BG16)</f>
        <v>34</v>
      </c>
      <c r="BH17" s="277">
        <f ca="1">SUM(BH11:BH16)</f>
        <v>1</v>
      </c>
      <c r="BI17" s="277"/>
      <c r="BJ17" s="366">
        <f ca="1">SUM(BJ11:BJ16)</f>
        <v>35</v>
      </c>
      <c r="BK17" s="367">
        <f ca="1">SUM(BK11:BK16)</f>
        <v>1</v>
      </c>
      <c r="BL17" s="277"/>
      <c r="BM17" s="289">
        <f ca="1">SUM(BM11:BM16)</f>
        <v>36</v>
      </c>
      <c r="BN17" s="295">
        <f ca="1">SUM(BN11:BN16)</f>
        <v>1</v>
      </c>
    </row>
    <row r="18" spans="3:91" x14ac:dyDescent="0.25">
      <c r="C18" s="195"/>
      <c r="D18" s="195"/>
      <c r="E18" s="185"/>
      <c r="F18" s="278"/>
      <c r="G18" s="270"/>
      <c r="H18" s="185"/>
      <c r="I18" s="278"/>
      <c r="J18" s="270"/>
      <c r="K18" s="185"/>
      <c r="L18" s="278"/>
      <c r="M18" s="270"/>
      <c r="N18" s="185"/>
      <c r="O18" s="278"/>
      <c r="P18" s="278"/>
      <c r="Q18" s="185"/>
      <c r="R18" s="278"/>
      <c r="S18" s="278"/>
      <c r="T18" s="185"/>
      <c r="U18" s="278"/>
      <c r="V18" s="278"/>
      <c r="W18" s="185"/>
      <c r="X18" s="278"/>
      <c r="Y18" s="278"/>
      <c r="Z18" s="185"/>
      <c r="AA18" s="278"/>
      <c r="AB18" s="278"/>
      <c r="AC18" s="185"/>
      <c r="AD18" s="278"/>
      <c r="AE18" s="278"/>
      <c r="AF18" s="185"/>
      <c r="AG18" s="278"/>
      <c r="AH18" s="278"/>
      <c r="AI18" s="185"/>
      <c r="AJ18" s="278"/>
      <c r="AK18" s="278"/>
      <c r="AL18" s="185"/>
      <c r="AM18" s="278"/>
      <c r="AN18" s="278"/>
      <c r="AO18" s="185"/>
      <c r="AP18" s="278"/>
      <c r="AQ18" s="278"/>
      <c r="AR18" s="185"/>
      <c r="AS18" s="278"/>
      <c r="AT18" s="278"/>
      <c r="AU18" s="185"/>
      <c r="AV18" s="278"/>
      <c r="AW18" s="278"/>
      <c r="AX18" s="185"/>
      <c r="AY18" s="278"/>
      <c r="AZ18" s="278"/>
      <c r="BA18" s="185"/>
      <c r="BB18" s="278"/>
      <c r="BC18" s="278"/>
      <c r="BD18" s="185"/>
      <c r="BE18" s="278"/>
      <c r="BF18" s="278"/>
      <c r="BG18" s="185"/>
      <c r="BH18" s="278"/>
      <c r="BI18" s="278"/>
      <c r="BJ18" s="358"/>
      <c r="BK18" s="368"/>
      <c r="BL18" s="278"/>
      <c r="BM18" s="280"/>
      <c r="BN18" s="296"/>
    </row>
    <row r="19" spans="3:91" x14ac:dyDescent="0.25">
      <c r="C19" s="195"/>
      <c r="D19" s="195"/>
      <c r="E19" s="185"/>
      <c r="F19" s="278"/>
      <c r="G19" s="270"/>
      <c r="H19" s="185"/>
      <c r="I19" s="278"/>
      <c r="J19" s="270"/>
      <c r="K19" s="185"/>
      <c r="L19" s="278"/>
      <c r="M19" s="270"/>
      <c r="N19" s="185"/>
      <c r="O19" s="278"/>
      <c r="P19" s="278"/>
      <c r="Q19" s="185"/>
      <c r="R19" s="278"/>
      <c r="S19" s="278"/>
      <c r="T19" s="185"/>
      <c r="U19" s="278"/>
      <c r="V19" s="278"/>
      <c r="W19" s="185"/>
      <c r="X19" s="278"/>
      <c r="Y19" s="278"/>
      <c r="Z19" s="185"/>
      <c r="AA19" s="278"/>
      <c r="AB19" s="278"/>
      <c r="AC19" s="185"/>
      <c r="AD19" s="278"/>
      <c r="AE19" s="278"/>
      <c r="AF19" s="185"/>
      <c r="AG19" s="278"/>
      <c r="AH19" s="278"/>
      <c r="AI19" s="185"/>
      <c r="AJ19" s="278"/>
      <c r="AK19" s="278"/>
      <c r="AL19" s="185"/>
      <c r="AM19" s="278"/>
      <c r="AN19" s="278"/>
      <c r="AO19" s="185"/>
      <c r="AP19" s="278"/>
      <c r="AQ19" s="278"/>
      <c r="AR19" s="185"/>
      <c r="AS19" s="278"/>
      <c r="AT19" s="278"/>
      <c r="AU19" s="185"/>
      <c r="AV19" s="278"/>
      <c r="AW19" s="278"/>
      <c r="AX19" s="185"/>
      <c r="AY19" s="278"/>
      <c r="AZ19" s="278"/>
      <c r="BA19" s="185"/>
      <c r="BB19" s="278"/>
      <c r="BC19" s="278"/>
      <c r="BD19" s="185"/>
      <c r="BE19" s="278"/>
      <c r="BF19" s="278"/>
      <c r="BG19" s="185"/>
      <c r="BH19" s="278"/>
      <c r="BI19" s="278"/>
      <c r="BJ19" s="358"/>
      <c r="BK19" s="368"/>
      <c r="BL19" s="278"/>
      <c r="BM19" s="280"/>
      <c r="BN19" s="296"/>
    </row>
    <row r="20" spans="3:91" x14ac:dyDescent="0.25">
      <c r="C20" s="257"/>
      <c r="D20" s="257" t="s">
        <v>145</v>
      </c>
      <c r="E20" s="283"/>
      <c r="F20" s="279"/>
      <c r="G20" s="271"/>
      <c r="H20" s="283"/>
      <c r="I20" s="279"/>
      <c r="J20" s="271"/>
      <c r="K20" s="283"/>
      <c r="L20" s="279"/>
      <c r="M20" s="271"/>
      <c r="N20" s="283"/>
      <c r="O20" s="279"/>
      <c r="P20" s="279"/>
      <c r="Q20" s="283"/>
      <c r="R20" s="279"/>
      <c r="S20" s="279"/>
      <c r="T20" s="283"/>
      <c r="U20" s="279"/>
      <c r="V20" s="279"/>
      <c r="W20" s="284"/>
      <c r="X20" s="290"/>
      <c r="Y20" s="279"/>
      <c r="Z20" s="284"/>
      <c r="AA20" s="290"/>
      <c r="AB20" s="279"/>
      <c r="AC20" s="284"/>
      <c r="AD20" s="290"/>
      <c r="AE20" s="279"/>
      <c r="AF20" s="284"/>
      <c r="AG20" s="290"/>
      <c r="AH20" s="279"/>
      <c r="AI20" s="284"/>
      <c r="AJ20" s="290"/>
      <c r="AK20" s="279"/>
      <c r="AL20" s="284"/>
      <c r="AM20" s="290"/>
      <c r="AN20" s="279"/>
      <c r="AO20" s="284"/>
      <c r="AP20" s="290"/>
      <c r="AQ20" s="279"/>
      <c r="AR20" s="284"/>
      <c r="AS20" s="290"/>
      <c r="AT20" s="279"/>
      <c r="AU20" s="284"/>
      <c r="AV20" s="290"/>
      <c r="AW20" s="279"/>
      <c r="AX20" s="284"/>
      <c r="AY20" s="290"/>
      <c r="AZ20" s="279"/>
      <c r="BA20" s="284"/>
      <c r="BB20" s="290"/>
      <c r="BC20" s="279"/>
      <c r="BD20" s="284"/>
      <c r="BE20" s="290"/>
      <c r="BF20" s="290"/>
      <c r="BG20" s="284"/>
      <c r="BH20" s="290"/>
      <c r="BI20" s="290"/>
      <c r="BJ20" s="290"/>
      <c r="BK20" s="290"/>
      <c r="BL20" s="290"/>
      <c r="BM20" s="285"/>
      <c r="BN20" s="297"/>
    </row>
    <row r="21" spans="3:91" x14ac:dyDescent="0.25">
      <c r="C21" s="259"/>
      <c r="D21" s="259" t="s">
        <v>137</v>
      </c>
      <c r="E21" s="213">
        <v>5</v>
      </c>
      <c r="F21" s="274">
        <v>0.20833333333333334</v>
      </c>
      <c r="G21" s="260"/>
      <c r="H21" s="213">
        <v>3</v>
      </c>
      <c r="I21" s="274">
        <v>0.15</v>
      </c>
      <c r="J21" s="260"/>
      <c r="K21" s="213">
        <v>2</v>
      </c>
      <c r="L21" s="274">
        <v>8.6956521739130432E-2</v>
      </c>
      <c r="M21" s="260"/>
      <c r="N21" s="213">
        <v>2</v>
      </c>
      <c r="O21" s="274">
        <f t="shared" ref="O21:O26" ca="1" si="40">N21/$N$27</f>
        <v>9.0909090909090912E-2</v>
      </c>
      <c r="P21" s="274"/>
      <c r="Q21" s="213">
        <v>1</v>
      </c>
      <c r="R21" s="274">
        <f t="shared" ref="R21:R26" ca="1" si="41">Q21/$Q$27</f>
        <v>4.3478260869565216E-2</v>
      </c>
      <c r="S21" s="274"/>
      <c r="T21" s="213">
        <v>1</v>
      </c>
      <c r="U21" s="274">
        <f t="shared" ref="U21:U26" ca="1" si="42">T21/$T$27</f>
        <v>5.2631578947368418E-2</v>
      </c>
      <c r="V21" s="274"/>
      <c r="W21" s="213">
        <v>1</v>
      </c>
      <c r="X21" s="274">
        <f t="shared" ref="X21:X26" ca="1" si="43">W21/$W$27</f>
        <v>5.2631578947368418E-2</v>
      </c>
      <c r="Y21" s="274"/>
      <c r="Z21" s="213">
        <v>2</v>
      </c>
      <c r="AA21" s="274">
        <f t="shared" ref="AA21:AA26" ca="1" si="44">Z21/Z$27</f>
        <v>0.10526315789473684</v>
      </c>
      <c r="AB21" s="274"/>
      <c r="AC21" s="213">
        <f ca="1">Credit_2010Q4!$AD19</f>
        <v>1</v>
      </c>
      <c r="AD21" s="274">
        <f t="shared" ref="AD21:AD26" ca="1" si="45">AC21/AC$27</f>
        <v>0.05</v>
      </c>
      <c r="AE21" s="274"/>
      <c r="AF21" s="213">
        <f ca="1">Credit_2011Q4!$AD19</f>
        <v>1</v>
      </c>
      <c r="AG21" s="274">
        <f t="shared" ref="AG21:AG26" ca="1" si="46">AF21/AF$27</f>
        <v>5.2631578947368418E-2</v>
      </c>
      <c r="AH21" s="274"/>
      <c r="AI21" s="213">
        <f t="shared" ref="AI21:AI26" ca="1" si="47">INDIRECT( BS21 &amp; $BQ21 )</f>
        <v>1</v>
      </c>
      <c r="AJ21" s="274">
        <f t="shared" ref="AJ21:AJ26" ca="1" si="48">AI21/AI$27</f>
        <v>5.8823529411764705E-2</v>
      </c>
      <c r="AK21" s="274"/>
      <c r="AL21" s="213">
        <f t="shared" ref="AL21:AL26" ca="1" si="49">INDIRECT( BU21 &amp; $BQ21 )</f>
        <v>1</v>
      </c>
      <c r="AM21" s="274">
        <f t="shared" ref="AM21:AM26" ca="1" si="50">AL21/AL$27</f>
        <v>5.8823529411764705E-2</v>
      </c>
      <c r="AN21" s="274"/>
      <c r="AO21" s="213">
        <f ca="1">INDIRECT( BW21 &amp; $BQ21 )</f>
        <v>1</v>
      </c>
      <c r="AP21" s="274">
        <f t="shared" ref="AP21:AP26" ca="1" si="51">AO21/AO$27</f>
        <v>7.6923076923076927E-2</v>
      </c>
      <c r="AQ21" s="274"/>
      <c r="AR21" s="213">
        <f t="shared" ref="AR21:AR26" ca="1" si="52">INDIRECT( BY21 &amp; $BQ21 )</f>
        <v>1</v>
      </c>
      <c r="AS21" s="274">
        <f t="shared" ref="AS21:AS26" ca="1" si="53">AR21/AR$27</f>
        <v>7.6923076923076927E-2</v>
      </c>
      <c r="AT21" s="274"/>
      <c r="AU21" s="213">
        <f t="shared" ref="AU21:AU26" ca="1" si="54">INDIRECT( CA21 &amp; $BQ21 )</f>
        <v>1</v>
      </c>
      <c r="AV21" s="274">
        <f t="shared" ref="AV21:AV26" ca="1" si="55">AU21/AU$27</f>
        <v>8.3333333333333329E-2</v>
      </c>
      <c r="AW21" s="274"/>
      <c r="AX21" s="213">
        <f t="shared" ref="AX21:AX26" ca="1" si="56">INDIRECT( CC21 &amp; $BQ21 )</f>
        <v>1</v>
      </c>
      <c r="AY21" s="274">
        <f t="shared" ref="AY21:AY26" ca="1" si="57">AX21/AX$27</f>
        <v>7.1428571428571425E-2</v>
      </c>
      <c r="AZ21" s="274"/>
      <c r="BA21" s="213">
        <f t="shared" ca="1" si="34"/>
        <v>2</v>
      </c>
      <c r="BB21" s="274">
        <f t="shared" ref="BB21:BB26" ca="1" si="58">BA21/BA$27</f>
        <v>0.15384615384615385</v>
      </c>
      <c r="BC21" s="274"/>
      <c r="BD21" s="213">
        <f t="shared" ref="BD21:BD26" ca="1" si="59">INDIRECT( CG21 &amp; $BQ21 )</f>
        <v>1</v>
      </c>
      <c r="BE21" s="274">
        <f t="shared" ref="BE21:BE26" ca="1" si="60">BD21/BD$27</f>
        <v>0.1</v>
      </c>
      <c r="BF21" s="274"/>
      <c r="BG21" s="213">
        <f t="shared" ref="BG21:BG26" ca="1" si="61">INDIRECT( CI21 &amp; $BQ21 )</f>
        <v>1</v>
      </c>
      <c r="BH21" s="274">
        <f t="shared" ref="BH21:BH26" ca="1" si="62">BG21/BG$27</f>
        <v>0.1</v>
      </c>
      <c r="BI21" s="274"/>
      <c r="BJ21" s="360">
        <f t="shared" ref="BJ21:BJ26" ca="1" si="63">INDIRECT( CK21 &amp; $BQ21 )</f>
        <v>1</v>
      </c>
      <c r="BK21" s="361">
        <f t="shared" ref="BK21:BK26" ca="1" si="64">BJ21/BJ$27</f>
        <v>0.1111111111111111</v>
      </c>
      <c r="BL21" s="274"/>
      <c r="BM21" s="286">
        <f t="shared" ref="BM21:BM26" ca="1" si="65">INDIRECT( CM21 &amp; $BQ21 )</f>
        <v>1</v>
      </c>
      <c r="BN21" s="292">
        <f t="shared" ref="BN21:BN26" ca="1" si="66">BM21/BM$27</f>
        <v>0.125</v>
      </c>
      <c r="BQ21" s="187">
        <f ca="1">BQ11</f>
        <v>8</v>
      </c>
      <c r="BR21" s="262" t="s">
        <v>146</v>
      </c>
      <c r="BS21" s="187" t="str">
        <f t="shared" ref="BS21:BS26" ca="1" si="67">BS$5 &amp; "!" &amp;$BR21</f>
        <v>'Credit_2012Q4'!r</v>
      </c>
      <c r="BU21" s="187" t="str">
        <f t="shared" ref="BU21:BU26" ca="1" si="68">BU$5 &amp; "!" &amp;$BR21</f>
        <v>'Credit_2013Q4'!r</v>
      </c>
      <c r="BW21" s="187" t="str">
        <f t="shared" ref="BW21:CM26" ca="1" si="69">BW$5 &amp; "!" &amp;$BR21</f>
        <v>'Credit_2014Q4'!r</v>
      </c>
      <c r="BY21" s="187" t="str">
        <f t="shared" ca="1" si="69"/>
        <v>'Credit_2015Q4'!r</v>
      </c>
      <c r="CA21" s="187" t="str">
        <f t="shared" ca="1" si="69"/>
        <v>'Credit_2016Q4'!r</v>
      </c>
      <c r="CC21" s="187" t="str">
        <f t="shared" ca="1" si="69"/>
        <v>'Credit_2017Q4'!r</v>
      </c>
      <c r="CE21" s="187" t="str">
        <f t="shared" ca="1" si="69"/>
        <v>'Credit_2018Q4'!r</v>
      </c>
      <c r="CG21" s="187" t="str">
        <f t="shared" ca="1" si="69"/>
        <v>'Credit_2019Q4'!r</v>
      </c>
      <c r="CI21" s="187" t="str">
        <f t="shared" ca="1" si="69"/>
        <v>'Credit_2020Q4'!r</v>
      </c>
      <c r="CK21" s="187" t="str">
        <f t="shared" ca="1" si="69"/>
        <v>'Credit_2021Q4'!r</v>
      </c>
      <c r="CM21" s="187" t="str">
        <f t="shared" ca="1" si="69"/>
        <v>'Credit_2022Q1'!r</v>
      </c>
    </row>
    <row r="22" spans="3:91" x14ac:dyDescent="0.25">
      <c r="C22" s="263"/>
      <c r="D22" s="263" t="s">
        <v>139</v>
      </c>
      <c r="E22" s="215">
        <v>3</v>
      </c>
      <c r="F22" s="275">
        <v>0.125</v>
      </c>
      <c r="G22" s="264"/>
      <c r="H22" s="215">
        <v>2</v>
      </c>
      <c r="I22" s="275">
        <v>0.1</v>
      </c>
      <c r="J22" s="264"/>
      <c r="K22" s="215">
        <v>1</v>
      </c>
      <c r="L22" s="275">
        <v>4.3478260869565216E-2</v>
      </c>
      <c r="M22" s="264"/>
      <c r="N22" s="215">
        <v>0</v>
      </c>
      <c r="O22" s="275">
        <f t="shared" ca="1" si="40"/>
        <v>0</v>
      </c>
      <c r="P22" s="275"/>
      <c r="Q22" s="215">
        <v>2</v>
      </c>
      <c r="R22" s="275">
        <f t="shared" ca="1" si="41"/>
        <v>8.6956521739130432E-2</v>
      </c>
      <c r="S22" s="275"/>
      <c r="T22" s="215">
        <v>3</v>
      </c>
      <c r="U22" s="275">
        <f t="shared" ca="1" si="42"/>
        <v>0.15789473684210525</v>
      </c>
      <c r="V22" s="275"/>
      <c r="W22" s="215">
        <v>5</v>
      </c>
      <c r="X22" s="275">
        <f t="shared" ca="1" si="43"/>
        <v>0.26315789473684209</v>
      </c>
      <c r="Y22" s="275"/>
      <c r="Z22" s="215">
        <v>2</v>
      </c>
      <c r="AA22" s="275">
        <f t="shared" ca="1" si="44"/>
        <v>0.10526315789473684</v>
      </c>
      <c r="AB22" s="275"/>
      <c r="AC22" s="215">
        <f ca="1">Credit_2010Q4!$AD20</f>
        <v>3</v>
      </c>
      <c r="AD22" s="275">
        <f t="shared" ca="1" si="45"/>
        <v>0.15</v>
      </c>
      <c r="AE22" s="275"/>
      <c r="AF22" s="215">
        <f ca="1">Credit_2011Q4!$AD20</f>
        <v>3</v>
      </c>
      <c r="AG22" s="275">
        <f t="shared" ca="1" si="46"/>
        <v>0.15789473684210525</v>
      </c>
      <c r="AH22" s="275"/>
      <c r="AI22" s="215">
        <f t="shared" ca="1" si="47"/>
        <v>2</v>
      </c>
      <c r="AJ22" s="275">
        <f t="shared" ca="1" si="48"/>
        <v>0.11764705882352941</v>
      </c>
      <c r="AK22" s="275"/>
      <c r="AL22" s="215">
        <f t="shared" ca="1" si="49"/>
        <v>5</v>
      </c>
      <c r="AM22" s="275">
        <f t="shared" ca="1" si="50"/>
        <v>0.29411764705882354</v>
      </c>
      <c r="AN22" s="275"/>
      <c r="AO22" s="215">
        <f t="shared" ref="AO22:AO26" ca="1" si="70">INDIRECT( BW22 &amp; $BQ22 )</f>
        <v>4</v>
      </c>
      <c r="AP22" s="275">
        <f t="shared" ca="1" si="51"/>
        <v>0.30769230769230771</v>
      </c>
      <c r="AQ22" s="275"/>
      <c r="AR22" s="215">
        <f t="shared" ca="1" si="52"/>
        <v>5</v>
      </c>
      <c r="AS22" s="275">
        <f t="shared" ca="1" si="53"/>
        <v>0.38461538461538464</v>
      </c>
      <c r="AT22" s="275"/>
      <c r="AU22" s="215">
        <f t="shared" ca="1" si="54"/>
        <v>2</v>
      </c>
      <c r="AV22" s="275">
        <f t="shared" ca="1" si="55"/>
        <v>0.16666666666666666</v>
      </c>
      <c r="AW22" s="275"/>
      <c r="AX22" s="215">
        <f t="shared" ca="1" si="56"/>
        <v>2</v>
      </c>
      <c r="AY22" s="275">
        <f t="shared" ca="1" si="57"/>
        <v>0.14285714285714285</v>
      </c>
      <c r="AZ22" s="275"/>
      <c r="BA22" s="215">
        <f t="shared" ca="1" si="34"/>
        <v>2</v>
      </c>
      <c r="BB22" s="275">
        <f t="shared" ca="1" si="58"/>
        <v>0.15384615384615385</v>
      </c>
      <c r="BC22" s="275"/>
      <c r="BD22" s="215">
        <f t="shared" ca="1" si="59"/>
        <v>1</v>
      </c>
      <c r="BE22" s="275">
        <f t="shared" ca="1" si="60"/>
        <v>0.1</v>
      </c>
      <c r="BF22" s="275"/>
      <c r="BG22" s="215">
        <f t="shared" ca="1" si="61"/>
        <v>1</v>
      </c>
      <c r="BH22" s="275">
        <f t="shared" ca="1" si="62"/>
        <v>0.1</v>
      </c>
      <c r="BI22" s="275"/>
      <c r="BJ22" s="362">
        <f t="shared" ca="1" si="63"/>
        <v>1</v>
      </c>
      <c r="BK22" s="363">
        <f t="shared" ca="1" si="64"/>
        <v>0.1111111111111111</v>
      </c>
      <c r="BL22" s="275"/>
      <c r="BM22" s="287">
        <f t="shared" ca="1" si="65"/>
        <v>1</v>
      </c>
      <c r="BN22" s="293">
        <f t="shared" ca="1" si="66"/>
        <v>0.125</v>
      </c>
      <c r="BQ22" s="187">
        <f t="shared" ref="BQ22:BQ26" ca="1" si="71">BQ12</f>
        <v>9</v>
      </c>
      <c r="BR22" s="185" t="str">
        <f ca="1">BR21</f>
        <v>r</v>
      </c>
      <c r="BS22" s="187" t="str">
        <f t="shared" ca="1" si="67"/>
        <v>'Credit_2012Q4'!r</v>
      </c>
      <c r="BU22" s="187" t="str">
        <f t="shared" ca="1" si="68"/>
        <v>'Credit_2013Q4'!r</v>
      </c>
      <c r="BW22" s="187" t="str">
        <f t="shared" ca="1" si="69"/>
        <v>'Credit_2014Q4'!r</v>
      </c>
      <c r="BY22" s="187" t="str">
        <f t="shared" ca="1" si="69"/>
        <v>'Credit_2015Q4'!r</v>
      </c>
      <c r="CA22" s="187" t="str">
        <f t="shared" ca="1" si="69"/>
        <v>'Credit_2016Q4'!r</v>
      </c>
      <c r="CC22" s="187" t="str">
        <f t="shared" ca="1" si="69"/>
        <v>'Credit_2017Q4'!r</v>
      </c>
      <c r="CE22" s="187" t="str">
        <f t="shared" ca="1" si="69"/>
        <v>'Credit_2018Q4'!r</v>
      </c>
      <c r="CG22" s="187" t="str">
        <f t="shared" ca="1" si="69"/>
        <v>'Credit_2019Q4'!r</v>
      </c>
      <c r="CI22" s="187" t="str">
        <f t="shared" ca="1" si="69"/>
        <v>'Credit_2020Q4'!r</v>
      </c>
      <c r="CK22" s="187" t="str">
        <f t="shared" ca="1" si="69"/>
        <v>'Credit_2021Q4'!r</v>
      </c>
      <c r="CM22" s="187" t="str">
        <f t="shared" ca="1" si="69"/>
        <v>'Credit_2022Q1'!r</v>
      </c>
    </row>
    <row r="23" spans="3:91" x14ac:dyDescent="0.25">
      <c r="C23" s="263"/>
      <c r="D23" s="263" t="s">
        <v>140</v>
      </c>
      <c r="E23" s="215">
        <v>6</v>
      </c>
      <c r="F23" s="275">
        <v>0.25</v>
      </c>
      <c r="G23" s="264"/>
      <c r="H23" s="215">
        <v>5</v>
      </c>
      <c r="I23" s="275">
        <v>0.25</v>
      </c>
      <c r="J23" s="264"/>
      <c r="K23" s="215">
        <v>6</v>
      </c>
      <c r="L23" s="275">
        <v>0.2608695652173913</v>
      </c>
      <c r="M23" s="264"/>
      <c r="N23" s="215">
        <v>6</v>
      </c>
      <c r="O23" s="275">
        <f t="shared" ca="1" si="40"/>
        <v>0.27272727272727271</v>
      </c>
      <c r="P23" s="275"/>
      <c r="Q23" s="215">
        <v>3</v>
      </c>
      <c r="R23" s="275">
        <f t="shared" ca="1" si="41"/>
        <v>0.13043478260869565</v>
      </c>
      <c r="S23" s="275"/>
      <c r="T23" s="215">
        <v>4</v>
      </c>
      <c r="U23" s="275">
        <f t="shared" ca="1" si="42"/>
        <v>0.21052631578947367</v>
      </c>
      <c r="V23" s="275"/>
      <c r="W23" s="215">
        <v>2</v>
      </c>
      <c r="X23" s="275">
        <f t="shared" ca="1" si="43"/>
        <v>0.10526315789473684</v>
      </c>
      <c r="Y23" s="275"/>
      <c r="Z23" s="215">
        <v>5</v>
      </c>
      <c r="AA23" s="275">
        <f t="shared" ca="1" si="44"/>
        <v>0.26315789473684209</v>
      </c>
      <c r="AB23" s="275"/>
      <c r="AC23" s="215">
        <f ca="1">Credit_2010Q4!$AD21</f>
        <v>6</v>
      </c>
      <c r="AD23" s="275">
        <f t="shared" ca="1" si="45"/>
        <v>0.3</v>
      </c>
      <c r="AE23" s="275"/>
      <c r="AF23" s="215">
        <f ca="1">Credit_2011Q4!$AD21</f>
        <v>6</v>
      </c>
      <c r="AG23" s="275">
        <f t="shared" ca="1" si="46"/>
        <v>0.31578947368421051</v>
      </c>
      <c r="AH23" s="275"/>
      <c r="AI23" s="215">
        <f t="shared" ca="1" si="47"/>
        <v>7</v>
      </c>
      <c r="AJ23" s="275">
        <f t="shared" ca="1" si="48"/>
        <v>0.41176470588235292</v>
      </c>
      <c r="AK23" s="275"/>
      <c r="AL23" s="215">
        <f t="shared" ca="1" si="49"/>
        <v>5</v>
      </c>
      <c r="AM23" s="275">
        <f t="shared" ca="1" si="50"/>
        <v>0.29411764705882354</v>
      </c>
      <c r="AN23" s="275"/>
      <c r="AO23" s="215">
        <f t="shared" ca="1" si="70"/>
        <v>4</v>
      </c>
      <c r="AP23" s="275">
        <f t="shared" ca="1" si="51"/>
        <v>0.30769230769230771</v>
      </c>
      <c r="AQ23" s="275"/>
      <c r="AR23" s="215">
        <f t="shared" ca="1" si="52"/>
        <v>5</v>
      </c>
      <c r="AS23" s="275">
        <f t="shared" ca="1" si="53"/>
        <v>0.38461538461538464</v>
      </c>
      <c r="AT23" s="275"/>
      <c r="AU23" s="215">
        <f t="shared" ca="1" si="54"/>
        <v>7</v>
      </c>
      <c r="AV23" s="275">
        <f t="shared" ca="1" si="55"/>
        <v>0.58333333333333337</v>
      </c>
      <c r="AW23" s="275"/>
      <c r="AX23" s="215">
        <f t="shared" ca="1" si="56"/>
        <v>7</v>
      </c>
      <c r="AY23" s="275">
        <f t="shared" ca="1" si="57"/>
        <v>0.5</v>
      </c>
      <c r="AZ23" s="275"/>
      <c r="BA23" s="215">
        <f t="shared" ca="1" si="34"/>
        <v>7</v>
      </c>
      <c r="BB23" s="275">
        <f t="shared" ca="1" si="58"/>
        <v>0.53846153846153844</v>
      </c>
      <c r="BC23" s="275"/>
      <c r="BD23" s="215">
        <f t="shared" ca="1" si="59"/>
        <v>7</v>
      </c>
      <c r="BE23" s="275">
        <f t="shared" ca="1" si="60"/>
        <v>0.7</v>
      </c>
      <c r="BF23" s="275"/>
      <c r="BG23" s="215">
        <f t="shared" ca="1" si="61"/>
        <v>6</v>
      </c>
      <c r="BH23" s="275">
        <f t="shared" ca="1" si="62"/>
        <v>0.6</v>
      </c>
      <c r="BI23" s="275"/>
      <c r="BJ23" s="362">
        <f t="shared" ca="1" si="63"/>
        <v>5</v>
      </c>
      <c r="BK23" s="363">
        <f t="shared" ca="1" si="64"/>
        <v>0.55555555555555558</v>
      </c>
      <c r="BL23" s="275"/>
      <c r="BM23" s="287">
        <f t="shared" ca="1" si="65"/>
        <v>4</v>
      </c>
      <c r="BN23" s="293">
        <f t="shared" ca="1" si="66"/>
        <v>0.5</v>
      </c>
      <c r="BQ23" s="187">
        <f t="shared" ca="1" si="71"/>
        <v>10</v>
      </c>
      <c r="BR23" s="185" t="str">
        <f t="shared" ref="BR23:BR26" ca="1" si="72">BR22</f>
        <v>r</v>
      </c>
      <c r="BS23" s="187" t="str">
        <f t="shared" ca="1" si="67"/>
        <v>'Credit_2012Q4'!r</v>
      </c>
      <c r="BU23" s="187" t="str">
        <f t="shared" ca="1" si="68"/>
        <v>'Credit_2013Q4'!r</v>
      </c>
      <c r="BW23" s="187" t="str">
        <f t="shared" ca="1" si="69"/>
        <v>'Credit_2014Q4'!r</v>
      </c>
      <c r="BY23" s="187" t="str">
        <f t="shared" ca="1" si="69"/>
        <v>'Credit_2015Q4'!r</v>
      </c>
      <c r="CA23" s="187" t="str">
        <f t="shared" ca="1" si="69"/>
        <v>'Credit_2016Q4'!r</v>
      </c>
      <c r="CC23" s="187" t="str">
        <f t="shared" ca="1" si="69"/>
        <v>'Credit_2017Q4'!r</v>
      </c>
      <c r="CE23" s="187" t="str">
        <f t="shared" ca="1" si="69"/>
        <v>'Credit_2018Q4'!r</v>
      </c>
      <c r="CG23" s="187" t="str">
        <f t="shared" ca="1" si="69"/>
        <v>'Credit_2019Q4'!r</v>
      </c>
      <c r="CI23" s="187" t="str">
        <f t="shared" ca="1" si="69"/>
        <v>'Credit_2020Q4'!r</v>
      </c>
      <c r="CK23" s="187" t="str">
        <f t="shared" ca="1" si="69"/>
        <v>'Credit_2021Q4'!r</v>
      </c>
      <c r="CM23" s="187" t="str">
        <f t="shared" ca="1" si="69"/>
        <v>'Credit_2022Q1'!r</v>
      </c>
    </row>
    <row r="24" spans="3:91" x14ac:dyDescent="0.25">
      <c r="C24" s="263"/>
      <c r="D24" s="263" t="s">
        <v>141</v>
      </c>
      <c r="E24" s="215">
        <v>4</v>
      </c>
      <c r="F24" s="275">
        <v>0.16666666666666666</v>
      </c>
      <c r="G24" s="264"/>
      <c r="H24" s="215">
        <v>4</v>
      </c>
      <c r="I24" s="275">
        <v>0.2</v>
      </c>
      <c r="J24" s="264"/>
      <c r="K24" s="215">
        <v>7</v>
      </c>
      <c r="L24" s="275">
        <v>0.30434782608695654</v>
      </c>
      <c r="M24" s="264"/>
      <c r="N24" s="215">
        <v>9</v>
      </c>
      <c r="O24" s="275">
        <f t="shared" ca="1" si="40"/>
        <v>0.40909090909090912</v>
      </c>
      <c r="P24" s="275"/>
      <c r="Q24" s="215">
        <v>11</v>
      </c>
      <c r="R24" s="275">
        <f t="shared" ca="1" si="41"/>
        <v>0.47826086956521741</v>
      </c>
      <c r="S24" s="275"/>
      <c r="T24" s="215">
        <v>6</v>
      </c>
      <c r="U24" s="275">
        <f t="shared" ca="1" si="42"/>
        <v>0.31578947368421051</v>
      </c>
      <c r="V24" s="275"/>
      <c r="W24" s="215">
        <v>8</v>
      </c>
      <c r="X24" s="275">
        <f t="shared" ca="1" si="43"/>
        <v>0.42105263157894735</v>
      </c>
      <c r="Y24" s="275"/>
      <c r="Z24" s="215">
        <v>6</v>
      </c>
      <c r="AA24" s="275">
        <f t="shared" ca="1" si="44"/>
        <v>0.31578947368421051</v>
      </c>
      <c r="AB24" s="275"/>
      <c r="AC24" s="215">
        <f ca="1">Credit_2010Q4!$AD22</f>
        <v>4</v>
      </c>
      <c r="AD24" s="275">
        <f t="shared" ca="1" si="45"/>
        <v>0.2</v>
      </c>
      <c r="AE24" s="275"/>
      <c r="AF24" s="215">
        <f ca="1">Credit_2011Q4!$AD22</f>
        <v>3</v>
      </c>
      <c r="AG24" s="275">
        <f t="shared" ca="1" si="46"/>
        <v>0.15789473684210525</v>
      </c>
      <c r="AH24" s="275"/>
      <c r="AI24" s="215">
        <f t="shared" ca="1" si="47"/>
        <v>3</v>
      </c>
      <c r="AJ24" s="275">
        <f t="shared" ca="1" si="48"/>
        <v>0.17647058823529413</v>
      </c>
      <c r="AK24" s="275"/>
      <c r="AL24" s="215">
        <f t="shared" ca="1" si="49"/>
        <v>3</v>
      </c>
      <c r="AM24" s="275">
        <f t="shared" ca="1" si="50"/>
        <v>0.17647058823529413</v>
      </c>
      <c r="AN24" s="275"/>
      <c r="AO24" s="215">
        <f t="shared" ca="1" si="70"/>
        <v>2</v>
      </c>
      <c r="AP24" s="275">
        <f t="shared" ca="1" si="51"/>
        <v>0.15384615384615385</v>
      </c>
      <c r="AQ24" s="275"/>
      <c r="AR24" s="215">
        <f t="shared" ca="1" si="52"/>
        <v>1</v>
      </c>
      <c r="AS24" s="275">
        <f t="shared" ca="1" si="53"/>
        <v>7.6923076923076927E-2</v>
      </c>
      <c r="AT24" s="275"/>
      <c r="AU24" s="215">
        <f t="shared" ca="1" si="54"/>
        <v>0</v>
      </c>
      <c r="AV24" s="275">
        <f t="shared" ca="1" si="55"/>
        <v>0</v>
      </c>
      <c r="AW24" s="275"/>
      <c r="AX24" s="215">
        <f t="shared" ca="1" si="56"/>
        <v>2</v>
      </c>
      <c r="AY24" s="275">
        <f t="shared" ca="1" si="57"/>
        <v>0.14285714285714285</v>
      </c>
      <c r="AZ24" s="275"/>
      <c r="BA24" s="215">
        <f t="shared" ca="1" si="34"/>
        <v>1</v>
      </c>
      <c r="BB24" s="275">
        <f t="shared" ca="1" si="58"/>
        <v>7.6923076923076927E-2</v>
      </c>
      <c r="BC24" s="275"/>
      <c r="BD24" s="215">
        <f t="shared" ca="1" si="59"/>
        <v>0</v>
      </c>
      <c r="BE24" s="275">
        <f t="shared" ca="1" si="60"/>
        <v>0</v>
      </c>
      <c r="BF24" s="275"/>
      <c r="BG24" s="215">
        <f t="shared" ca="1" si="61"/>
        <v>1</v>
      </c>
      <c r="BH24" s="275">
        <f t="shared" ca="1" si="62"/>
        <v>0.1</v>
      </c>
      <c r="BI24" s="275"/>
      <c r="BJ24" s="362">
        <f t="shared" ca="1" si="63"/>
        <v>1</v>
      </c>
      <c r="BK24" s="363">
        <f t="shared" ca="1" si="64"/>
        <v>0.1111111111111111</v>
      </c>
      <c r="BL24" s="275"/>
      <c r="BM24" s="287">
        <f t="shared" ca="1" si="65"/>
        <v>1</v>
      </c>
      <c r="BN24" s="293">
        <f t="shared" ca="1" si="66"/>
        <v>0.125</v>
      </c>
      <c r="BQ24" s="187">
        <f t="shared" ca="1" si="71"/>
        <v>11</v>
      </c>
      <c r="BR24" s="185" t="str">
        <f t="shared" ca="1" si="72"/>
        <v>r</v>
      </c>
      <c r="BS24" s="187" t="str">
        <f t="shared" ca="1" si="67"/>
        <v>'Credit_2012Q4'!r</v>
      </c>
      <c r="BU24" s="187" t="str">
        <f t="shared" ca="1" si="68"/>
        <v>'Credit_2013Q4'!r</v>
      </c>
      <c r="BW24" s="187" t="str">
        <f t="shared" ca="1" si="69"/>
        <v>'Credit_2014Q4'!r</v>
      </c>
      <c r="BY24" s="187" t="str">
        <f t="shared" ca="1" si="69"/>
        <v>'Credit_2015Q4'!r</v>
      </c>
      <c r="CA24" s="187" t="str">
        <f t="shared" ca="1" si="69"/>
        <v>'Credit_2016Q4'!r</v>
      </c>
      <c r="CC24" s="187" t="str">
        <f t="shared" ca="1" si="69"/>
        <v>'Credit_2017Q4'!r</v>
      </c>
      <c r="CE24" s="187" t="str">
        <f t="shared" ca="1" si="69"/>
        <v>'Credit_2018Q4'!r</v>
      </c>
      <c r="CG24" s="187" t="str">
        <f t="shared" ca="1" si="69"/>
        <v>'Credit_2019Q4'!r</v>
      </c>
      <c r="CI24" s="187" t="str">
        <f t="shared" ca="1" si="69"/>
        <v>'Credit_2020Q4'!r</v>
      </c>
      <c r="CK24" s="187" t="str">
        <f t="shared" ca="1" si="69"/>
        <v>'Credit_2021Q4'!r</v>
      </c>
      <c r="CM24" s="187" t="str">
        <f t="shared" ca="1" si="69"/>
        <v>'Credit_2022Q1'!r</v>
      </c>
    </row>
    <row r="25" spans="3:91" x14ac:dyDescent="0.25">
      <c r="C25" s="263"/>
      <c r="D25" s="263" t="s">
        <v>142</v>
      </c>
      <c r="E25" s="215">
        <v>2</v>
      </c>
      <c r="F25" s="275">
        <v>8.3333333333333329E-2</v>
      </c>
      <c r="G25" s="264"/>
      <c r="H25" s="215">
        <v>2</v>
      </c>
      <c r="I25" s="275">
        <v>0.1</v>
      </c>
      <c r="J25" s="264"/>
      <c r="K25" s="215">
        <v>7</v>
      </c>
      <c r="L25" s="275">
        <v>0.30434782608695654</v>
      </c>
      <c r="M25" s="264"/>
      <c r="N25" s="215">
        <v>0</v>
      </c>
      <c r="O25" s="275">
        <f t="shared" ca="1" si="40"/>
        <v>0</v>
      </c>
      <c r="P25" s="275"/>
      <c r="Q25" s="215">
        <v>1</v>
      </c>
      <c r="R25" s="275">
        <f t="shared" ca="1" si="41"/>
        <v>4.3478260869565216E-2</v>
      </c>
      <c r="S25" s="275"/>
      <c r="T25" s="215">
        <v>4</v>
      </c>
      <c r="U25" s="275">
        <f t="shared" ca="1" si="42"/>
        <v>0.21052631578947367</v>
      </c>
      <c r="V25" s="275"/>
      <c r="W25" s="215">
        <v>3</v>
      </c>
      <c r="X25" s="275">
        <f t="shared" ca="1" si="43"/>
        <v>0.15789473684210525</v>
      </c>
      <c r="Y25" s="275"/>
      <c r="Z25" s="215">
        <v>4</v>
      </c>
      <c r="AA25" s="275">
        <f t="shared" ca="1" si="44"/>
        <v>0.21052631578947367</v>
      </c>
      <c r="AB25" s="275"/>
      <c r="AC25" s="215">
        <f ca="1">Credit_2010Q4!$AD23</f>
        <v>6</v>
      </c>
      <c r="AD25" s="275">
        <f t="shared" ca="1" si="45"/>
        <v>0.3</v>
      </c>
      <c r="AE25" s="275"/>
      <c r="AF25" s="215">
        <f ca="1">Credit_2011Q4!$AD23</f>
        <v>6</v>
      </c>
      <c r="AG25" s="275">
        <f t="shared" ca="1" si="46"/>
        <v>0.31578947368421051</v>
      </c>
      <c r="AH25" s="275"/>
      <c r="AI25" s="215">
        <f t="shared" ca="1" si="47"/>
        <v>4</v>
      </c>
      <c r="AJ25" s="275">
        <f t="shared" ca="1" si="48"/>
        <v>0.23529411764705882</v>
      </c>
      <c r="AK25" s="275"/>
      <c r="AL25" s="215">
        <f t="shared" ca="1" si="49"/>
        <v>3</v>
      </c>
      <c r="AM25" s="275">
        <f t="shared" ca="1" si="50"/>
        <v>0.17647058823529413</v>
      </c>
      <c r="AN25" s="275"/>
      <c r="AO25" s="215">
        <f t="shared" ca="1" si="70"/>
        <v>2</v>
      </c>
      <c r="AP25" s="275">
        <f t="shared" ca="1" si="51"/>
        <v>0.15384615384615385</v>
      </c>
      <c r="AQ25" s="275"/>
      <c r="AR25" s="215">
        <f t="shared" ca="1" si="52"/>
        <v>1</v>
      </c>
      <c r="AS25" s="275">
        <f t="shared" ca="1" si="53"/>
        <v>7.6923076923076927E-2</v>
      </c>
      <c r="AT25" s="275"/>
      <c r="AU25" s="215">
        <f t="shared" ca="1" si="54"/>
        <v>1</v>
      </c>
      <c r="AV25" s="275">
        <f t="shared" ca="1" si="55"/>
        <v>8.3333333333333329E-2</v>
      </c>
      <c r="AW25" s="275"/>
      <c r="AX25" s="215">
        <f t="shared" ca="1" si="56"/>
        <v>1</v>
      </c>
      <c r="AY25" s="275">
        <f t="shared" ca="1" si="57"/>
        <v>7.1428571428571425E-2</v>
      </c>
      <c r="AZ25" s="275"/>
      <c r="BA25" s="215">
        <f t="shared" ca="1" si="34"/>
        <v>1</v>
      </c>
      <c r="BB25" s="275">
        <f t="shared" ca="1" si="58"/>
        <v>7.6923076923076927E-2</v>
      </c>
      <c r="BC25" s="275"/>
      <c r="BD25" s="215">
        <f t="shared" ca="1" si="59"/>
        <v>1</v>
      </c>
      <c r="BE25" s="275">
        <f t="shared" ca="1" si="60"/>
        <v>0.1</v>
      </c>
      <c r="BF25" s="275"/>
      <c r="BG25" s="215">
        <f t="shared" ca="1" si="61"/>
        <v>1</v>
      </c>
      <c r="BH25" s="275">
        <f t="shared" ca="1" si="62"/>
        <v>0.1</v>
      </c>
      <c r="BI25" s="275"/>
      <c r="BJ25" s="362">
        <f t="shared" ca="1" si="63"/>
        <v>1</v>
      </c>
      <c r="BK25" s="363">
        <f t="shared" ca="1" si="64"/>
        <v>0.1111111111111111</v>
      </c>
      <c r="BL25" s="275"/>
      <c r="BM25" s="287">
        <f t="shared" ca="1" si="65"/>
        <v>1</v>
      </c>
      <c r="BN25" s="293">
        <f t="shared" ca="1" si="66"/>
        <v>0.125</v>
      </c>
      <c r="BQ25" s="187">
        <f t="shared" ca="1" si="71"/>
        <v>12</v>
      </c>
      <c r="BR25" s="185" t="str">
        <f t="shared" ca="1" si="72"/>
        <v>r</v>
      </c>
      <c r="BS25" s="187" t="str">
        <f t="shared" ca="1" si="67"/>
        <v>'Credit_2012Q4'!r</v>
      </c>
      <c r="BU25" s="187" t="str">
        <f t="shared" ca="1" si="68"/>
        <v>'Credit_2013Q4'!r</v>
      </c>
      <c r="BW25" s="187" t="str">
        <f t="shared" ca="1" si="69"/>
        <v>'Credit_2014Q4'!r</v>
      </c>
      <c r="BY25" s="187" t="str">
        <f t="shared" ca="1" si="69"/>
        <v>'Credit_2015Q4'!r</v>
      </c>
      <c r="CA25" s="187" t="str">
        <f t="shared" ca="1" si="69"/>
        <v>'Credit_2016Q4'!r</v>
      </c>
      <c r="CC25" s="187" t="str">
        <f t="shared" ca="1" si="69"/>
        <v>'Credit_2017Q4'!r</v>
      </c>
      <c r="CE25" s="187" t="str">
        <f t="shared" ca="1" si="69"/>
        <v>'Credit_2018Q4'!r</v>
      </c>
      <c r="CG25" s="187" t="str">
        <f t="shared" ca="1" si="69"/>
        <v>'Credit_2019Q4'!r</v>
      </c>
      <c r="CI25" s="187" t="str">
        <f t="shared" ca="1" si="69"/>
        <v>'Credit_2020Q4'!r</v>
      </c>
      <c r="CK25" s="187" t="str">
        <f t="shared" ca="1" si="69"/>
        <v>'Credit_2021Q4'!r</v>
      </c>
      <c r="CM25" s="187" t="str">
        <f t="shared" ca="1" si="69"/>
        <v>'Credit_2022Q1'!r</v>
      </c>
    </row>
    <row r="26" spans="3:91" x14ac:dyDescent="0.25">
      <c r="C26" s="265"/>
      <c r="D26" s="265" t="s">
        <v>143</v>
      </c>
      <c r="E26" s="217">
        <v>4</v>
      </c>
      <c r="F26" s="276">
        <v>0.16666666666666666</v>
      </c>
      <c r="G26" s="266"/>
      <c r="H26" s="217">
        <v>4</v>
      </c>
      <c r="I26" s="276">
        <v>0.2</v>
      </c>
      <c r="J26" s="267"/>
      <c r="K26" s="217">
        <v>0</v>
      </c>
      <c r="L26" s="276">
        <v>0</v>
      </c>
      <c r="M26" s="266"/>
      <c r="N26" s="217">
        <v>5</v>
      </c>
      <c r="O26" s="276">
        <f t="shared" ca="1" si="40"/>
        <v>0.22727272727272727</v>
      </c>
      <c r="P26" s="276"/>
      <c r="Q26" s="217">
        <v>5</v>
      </c>
      <c r="R26" s="276">
        <f t="shared" ca="1" si="41"/>
        <v>0.21739130434782608</v>
      </c>
      <c r="S26" s="276"/>
      <c r="T26" s="217">
        <v>1</v>
      </c>
      <c r="U26" s="276">
        <f t="shared" ca="1" si="42"/>
        <v>5.2631578947368418E-2</v>
      </c>
      <c r="V26" s="276"/>
      <c r="W26" s="217">
        <v>0</v>
      </c>
      <c r="X26" s="276">
        <f t="shared" ca="1" si="43"/>
        <v>0</v>
      </c>
      <c r="Y26" s="276"/>
      <c r="Z26" s="217">
        <v>0</v>
      </c>
      <c r="AA26" s="276">
        <f t="shared" ca="1" si="44"/>
        <v>0</v>
      </c>
      <c r="AB26" s="276"/>
      <c r="AC26" s="217">
        <f ca="1">Credit_2010Q4!$AD24</f>
        <v>0</v>
      </c>
      <c r="AD26" s="276">
        <f t="shared" ca="1" si="45"/>
        <v>0</v>
      </c>
      <c r="AE26" s="276"/>
      <c r="AF26" s="217">
        <f ca="1">Credit_2011Q4!$AD24</f>
        <v>0</v>
      </c>
      <c r="AG26" s="276">
        <f t="shared" ca="1" si="46"/>
        <v>0</v>
      </c>
      <c r="AH26" s="276"/>
      <c r="AI26" s="217">
        <f t="shared" ca="1" si="47"/>
        <v>0</v>
      </c>
      <c r="AJ26" s="276">
        <f t="shared" ca="1" si="48"/>
        <v>0</v>
      </c>
      <c r="AK26" s="276"/>
      <c r="AL26" s="217">
        <f t="shared" ca="1" si="49"/>
        <v>0</v>
      </c>
      <c r="AM26" s="276">
        <f t="shared" ca="1" si="50"/>
        <v>0</v>
      </c>
      <c r="AN26" s="276"/>
      <c r="AO26" s="217">
        <f t="shared" ca="1" si="70"/>
        <v>0</v>
      </c>
      <c r="AP26" s="276">
        <f t="shared" ca="1" si="51"/>
        <v>0</v>
      </c>
      <c r="AQ26" s="276"/>
      <c r="AR26" s="217">
        <f t="shared" ca="1" si="52"/>
        <v>0</v>
      </c>
      <c r="AS26" s="276">
        <f t="shared" ca="1" si="53"/>
        <v>0</v>
      </c>
      <c r="AT26" s="276"/>
      <c r="AU26" s="217">
        <f t="shared" ca="1" si="54"/>
        <v>1</v>
      </c>
      <c r="AV26" s="276">
        <f t="shared" ca="1" si="55"/>
        <v>8.3333333333333329E-2</v>
      </c>
      <c r="AW26" s="276"/>
      <c r="AX26" s="217">
        <f t="shared" ca="1" si="56"/>
        <v>1</v>
      </c>
      <c r="AY26" s="276">
        <f t="shared" ca="1" si="57"/>
        <v>7.1428571428571425E-2</v>
      </c>
      <c r="AZ26" s="276"/>
      <c r="BA26" s="217">
        <f t="shared" ca="1" si="34"/>
        <v>0</v>
      </c>
      <c r="BB26" s="276">
        <f t="shared" ca="1" si="58"/>
        <v>0</v>
      </c>
      <c r="BC26" s="276"/>
      <c r="BD26" s="217">
        <f t="shared" ca="1" si="59"/>
        <v>0</v>
      </c>
      <c r="BE26" s="276">
        <f t="shared" ca="1" si="60"/>
        <v>0</v>
      </c>
      <c r="BF26" s="276"/>
      <c r="BG26" s="217">
        <f t="shared" ca="1" si="61"/>
        <v>0</v>
      </c>
      <c r="BH26" s="276">
        <f t="shared" ca="1" si="62"/>
        <v>0</v>
      </c>
      <c r="BI26" s="276"/>
      <c r="BJ26" s="364">
        <f t="shared" ca="1" si="63"/>
        <v>0</v>
      </c>
      <c r="BK26" s="365">
        <f t="shared" ca="1" si="64"/>
        <v>0</v>
      </c>
      <c r="BL26" s="276"/>
      <c r="BM26" s="288">
        <f t="shared" ca="1" si="65"/>
        <v>0</v>
      </c>
      <c r="BN26" s="294">
        <f t="shared" ca="1" si="66"/>
        <v>0</v>
      </c>
      <c r="BQ26" s="187">
        <f t="shared" ca="1" si="71"/>
        <v>13</v>
      </c>
      <c r="BR26" s="185" t="str">
        <f t="shared" ca="1" si="72"/>
        <v>r</v>
      </c>
      <c r="BS26" s="187" t="str">
        <f t="shared" ca="1" si="67"/>
        <v>'Credit_2012Q4'!r</v>
      </c>
      <c r="BU26" s="187" t="str">
        <f t="shared" ca="1" si="68"/>
        <v>'Credit_2013Q4'!r</v>
      </c>
      <c r="BW26" s="187" t="str">
        <f t="shared" ca="1" si="69"/>
        <v>'Credit_2014Q4'!r</v>
      </c>
      <c r="BY26" s="187" t="str">
        <f t="shared" ca="1" si="69"/>
        <v>'Credit_2015Q4'!r</v>
      </c>
      <c r="CA26" s="187" t="str">
        <f t="shared" ca="1" si="69"/>
        <v>'Credit_2016Q4'!r</v>
      </c>
      <c r="CC26" s="187" t="str">
        <f t="shared" ca="1" si="69"/>
        <v>'Credit_2017Q4'!r</v>
      </c>
      <c r="CE26" s="187" t="str">
        <f t="shared" ca="1" si="69"/>
        <v>'Credit_2018Q4'!r</v>
      </c>
      <c r="CG26" s="187" t="str">
        <f t="shared" ca="1" si="69"/>
        <v>'Credit_2019Q4'!r</v>
      </c>
      <c r="CI26" s="187" t="str">
        <f t="shared" ca="1" si="69"/>
        <v>'Credit_2020Q4'!r</v>
      </c>
      <c r="CK26" s="187" t="str">
        <f t="shared" ca="1" si="69"/>
        <v>'Credit_2021Q4'!r</v>
      </c>
      <c r="CM26" s="187" t="str">
        <f t="shared" ca="1" si="69"/>
        <v>'Credit_2022Q1'!r</v>
      </c>
    </row>
    <row r="27" spans="3:91" s="250" customFormat="1" x14ac:dyDescent="0.25">
      <c r="C27" s="268"/>
      <c r="D27" s="268" t="s">
        <v>144</v>
      </c>
      <c r="E27" s="211">
        <f t="shared" ref="E27:AA27" ca="1" si="73">SUM(E21:E26)</f>
        <v>24</v>
      </c>
      <c r="F27" s="277">
        <f t="shared" ca="1" si="73"/>
        <v>1</v>
      </c>
      <c r="G27" s="269"/>
      <c r="H27" s="211">
        <f t="shared" ca="1" si="73"/>
        <v>20</v>
      </c>
      <c r="I27" s="277">
        <f t="shared" ca="1" si="73"/>
        <v>1</v>
      </c>
      <c r="J27" s="269"/>
      <c r="K27" s="211">
        <f t="shared" ca="1" si="73"/>
        <v>23</v>
      </c>
      <c r="L27" s="277">
        <f t="shared" ca="1" si="73"/>
        <v>1</v>
      </c>
      <c r="M27" s="269"/>
      <c r="N27" s="211">
        <f ca="1">SUM(N21:N26)</f>
        <v>22</v>
      </c>
      <c r="O27" s="277">
        <f ca="1">SUM(O21:O26)</f>
        <v>1</v>
      </c>
      <c r="P27" s="277"/>
      <c r="Q27" s="211">
        <f ca="1">SUM(Q21:Q26)</f>
        <v>23</v>
      </c>
      <c r="R27" s="277">
        <f t="shared" ca="1" si="73"/>
        <v>0.99999999999999989</v>
      </c>
      <c r="S27" s="277"/>
      <c r="T27" s="211">
        <f ca="1">SUM(T21:T26)</f>
        <v>19</v>
      </c>
      <c r="U27" s="277">
        <f t="shared" ca="1" si="73"/>
        <v>1</v>
      </c>
      <c r="V27" s="277"/>
      <c r="W27" s="211">
        <f ca="1">SUM(W21:W26)</f>
        <v>19</v>
      </c>
      <c r="X27" s="277">
        <f t="shared" ca="1" si="73"/>
        <v>1</v>
      </c>
      <c r="Y27" s="277"/>
      <c r="Z27" s="211">
        <f ca="1">SUM(Z21:Z26)</f>
        <v>19</v>
      </c>
      <c r="AA27" s="277">
        <f t="shared" ca="1" si="73"/>
        <v>1</v>
      </c>
      <c r="AB27" s="277"/>
      <c r="AC27" s="211">
        <f t="shared" ref="AC27:AF27" ca="1" si="74">SUM(AC21:AC26)</f>
        <v>20</v>
      </c>
      <c r="AD27" s="277">
        <f t="shared" ca="1" si="74"/>
        <v>1</v>
      </c>
      <c r="AE27" s="277"/>
      <c r="AF27" s="211">
        <f t="shared" ca="1" si="74"/>
        <v>19</v>
      </c>
      <c r="AG27" s="277">
        <f t="shared" ref="AG27" ca="1" si="75">SUM(AG21:AG26)</f>
        <v>0.99999999999999989</v>
      </c>
      <c r="AH27" s="277"/>
      <c r="AI27" s="211">
        <f ca="1">SUM(AI21:AI26)</f>
        <v>17</v>
      </c>
      <c r="AJ27" s="277">
        <f t="shared" ref="AJ27" ca="1" si="76">SUM(AJ21:AJ26)</f>
        <v>1</v>
      </c>
      <c r="AK27" s="277"/>
      <c r="AL27" s="211">
        <f ca="1">SUM(AL21:AL26)</f>
        <v>17</v>
      </c>
      <c r="AM27" s="277">
        <f ca="1">SUM(AM21:AM26)</f>
        <v>1</v>
      </c>
      <c r="AN27" s="277"/>
      <c r="AO27" s="211">
        <f ca="1">SUM(AO21:AO26)</f>
        <v>13</v>
      </c>
      <c r="AP27" s="277">
        <f ca="1">SUM(AP21:AP26)</f>
        <v>1</v>
      </c>
      <c r="AQ27" s="277"/>
      <c r="AR27" s="211">
        <f ca="1">SUM(AR21:AR26)</f>
        <v>13</v>
      </c>
      <c r="AS27" s="277">
        <f ca="1">SUM(AS21:AS26)</f>
        <v>1</v>
      </c>
      <c r="AT27" s="277"/>
      <c r="AU27" s="211">
        <f ca="1">SUM(AU21:AU26)</f>
        <v>12</v>
      </c>
      <c r="AV27" s="277">
        <f ca="1">SUM(AV21:AV26)</f>
        <v>1</v>
      </c>
      <c r="AW27" s="277"/>
      <c r="AX27" s="211">
        <f ca="1">SUM(AX21:AX26)</f>
        <v>14</v>
      </c>
      <c r="AY27" s="277">
        <f ca="1">SUM(AY21:AY26)</f>
        <v>1</v>
      </c>
      <c r="AZ27" s="277"/>
      <c r="BA27" s="211">
        <f ca="1">SUM(BA21:BA26)</f>
        <v>13</v>
      </c>
      <c r="BB27" s="277">
        <f ca="1">SUM(BB21:BB26)</f>
        <v>1</v>
      </c>
      <c r="BC27" s="277"/>
      <c r="BD27" s="211">
        <f ca="1">SUM(BD21:BD26)</f>
        <v>10</v>
      </c>
      <c r="BE27" s="277">
        <f ca="1">SUM(BE21:BE26)</f>
        <v>0.99999999999999989</v>
      </c>
      <c r="BF27" s="277"/>
      <c r="BG27" s="211">
        <f ca="1">SUM(BG21:BG26)</f>
        <v>10</v>
      </c>
      <c r="BH27" s="277">
        <f ca="1">SUM(BH21:BH26)</f>
        <v>1</v>
      </c>
      <c r="BI27" s="277"/>
      <c r="BJ27" s="366">
        <f ca="1">SUM(BJ21:BJ26)</f>
        <v>9</v>
      </c>
      <c r="BK27" s="367">
        <f ca="1">SUM(BK21:BK26)</f>
        <v>1</v>
      </c>
      <c r="BL27" s="277"/>
      <c r="BM27" s="289">
        <f ca="1">SUM(BM21:BM26)</f>
        <v>8</v>
      </c>
      <c r="BN27" s="295">
        <f ca="1">SUM(BN21:BN26)</f>
        <v>1</v>
      </c>
      <c r="BR27" s="189"/>
    </row>
    <row r="28" spans="3:91" x14ac:dyDescent="0.25">
      <c r="C28" s="195"/>
      <c r="D28" s="195"/>
      <c r="E28" s="185"/>
      <c r="F28" s="278"/>
      <c r="G28" s="270"/>
      <c r="H28" s="185"/>
      <c r="I28" s="278"/>
      <c r="J28" s="270"/>
      <c r="K28" s="185"/>
      <c r="L28" s="278"/>
      <c r="M28" s="270"/>
      <c r="N28" s="185"/>
      <c r="O28" s="278"/>
      <c r="P28" s="278"/>
      <c r="Q28" s="185"/>
      <c r="R28" s="278"/>
      <c r="S28" s="278"/>
      <c r="T28" s="185"/>
      <c r="U28" s="278"/>
      <c r="V28" s="278"/>
      <c r="W28" s="185"/>
      <c r="X28" s="278"/>
      <c r="Y28" s="278"/>
      <c r="Z28" s="185"/>
      <c r="AA28" s="278"/>
      <c r="AB28" s="278"/>
      <c r="AC28" s="185"/>
      <c r="AD28" s="278"/>
      <c r="AE28" s="278"/>
      <c r="AF28" s="185"/>
      <c r="AG28" s="278"/>
      <c r="AH28" s="278"/>
      <c r="AI28" s="185"/>
      <c r="AJ28" s="278"/>
      <c r="AK28" s="278"/>
      <c r="AL28" s="185"/>
      <c r="AM28" s="278"/>
      <c r="AN28" s="278"/>
      <c r="AO28" s="185"/>
      <c r="AP28" s="278"/>
      <c r="AQ28" s="278"/>
      <c r="AR28" s="185"/>
      <c r="AS28" s="278"/>
      <c r="AT28" s="278"/>
      <c r="AU28" s="185"/>
      <c r="AV28" s="278"/>
      <c r="AW28" s="278"/>
      <c r="AX28" s="185"/>
      <c r="AY28" s="278"/>
      <c r="AZ28" s="278"/>
      <c r="BA28" s="185"/>
      <c r="BB28" s="278"/>
      <c r="BC28" s="278"/>
      <c r="BD28" s="185"/>
      <c r="BE28" s="278"/>
      <c r="BF28" s="278"/>
      <c r="BG28" s="185"/>
      <c r="BH28" s="278"/>
      <c r="BI28" s="278"/>
      <c r="BJ28" s="358"/>
      <c r="BK28" s="368"/>
      <c r="BL28" s="278"/>
      <c r="BM28" s="280"/>
      <c r="BN28" s="296"/>
    </row>
    <row r="29" spans="3:91" x14ac:dyDescent="0.25">
      <c r="C29" s="195"/>
      <c r="D29" s="195"/>
      <c r="E29" s="185"/>
      <c r="F29" s="278"/>
      <c r="G29" s="270"/>
      <c r="H29" s="185"/>
      <c r="I29" s="278"/>
      <c r="J29" s="270"/>
      <c r="K29" s="185"/>
      <c r="L29" s="278"/>
      <c r="M29" s="270"/>
      <c r="N29" s="185"/>
      <c r="O29" s="278"/>
      <c r="P29" s="278"/>
      <c r="Q29" s="185"/>
      <c r="R29" s="278"/>
      <c r="S29" s="278"/>
      <c r="T29" s="185"/>
      <c r="U29" s="278"/>
      <c r="V29" s="278"/>
      <c r="W29" s="185"/>
      <c r="X29" s="278"/>
      <c r="Y29" s="278"/>
      <c r="Z29" s="185"/>
      <c r="AA29" s="278"/>
      <c r="AB29" s="278"/>
      <c r="AC29" s="185"/>
      <c r="AD29" s="278"/>
      <c r="AE29" s="278"/>
      <c r="AF29" s="185"/>
      <c r="AG29" s="278"/>
      <c r="AH29" s="278"/>
      <c r="AI29" s="185"/>
      <c r="AJ29" s="278"/>
      <c r="AK29" s="278"/>
      <c r="AL29" s="185"/>
      <c r="AM29" s="278"/>
      <c r="AN29" s="278"/>
      <c r="AO29" s="185"/>
      <c r="AP29" s="278"/>
      <c r="AQ29" s="278"/>
      <c r="AR29" s="185"/>
      <c r="AS29" s="278"/>
      <c r="AT29" s="278"/>
      <c r="AU29" s="185"/>
      <c r="AV29" s="278"/>
      <c r="AW29" s="278"/>
      <c r="AX29" s="185"/>
      <c r="AY29" s="278"/>
      <c r="AZ29" s="278"/>
      <c r="BA29" s="185"/>
      <c r="BB29" s="278"/>
      <c r="BC29" s="278"/>
      <c r="BD29" s="185"/>
      <c r="BE29" s="278"/>
      <c r="BF29" s="278"/>
      <c r="BG29" s="185"/>
      <c r="BH29" s="278"/>
      <c r="BI29" s="278"/>
      <c r="BJ29" s="358"/>
      <c r="BK29" s="368"/>
      <c r="BL29" s="278"/>
      <c r="BM29" s="280"/>
      <c r="BN29" s="296"/>
    </row>
    <row r="30" spans="3:91" x14ac:dyDescent="0.25">
      <c r="C30" s="257"/>
      <c r="D30" s="257" t="s">
        <v>147</v>
      </c>
      <c r="E30" s="283"/>
      <c r="F30" s="279"/>
      <c r="G30" s="271"/>
      <c r="H30" s="283"/>
      <c r="I30" s="279"/>
      <c r="J30" s="271"/>
      <c r="K30" s="283"/>
      <c r="L30" s="279"/>
      <c r="M30" s="271"/>
      <c r="N30" s="283"/>
      <c r="O30" s="279"/>
      <c r="P30" s="279"/>
      <c r="Q30" s="283"/>
      <c r="R30" s="279"/>
      <c r="S30" s="279"/>
      <c r="T30" s="283"/>
      <c r="U30" s="279"/>
      <c r="V30" s="279"/>
      <c r="W30" s="284"/>
      <c r="X30" s="290"/>
      <c r="Y30" s="279"/>
      <c r="Z30" s="284"/>
      <c r="AA30" s="290"/>
      <c r="AB30" s="279"/>
      <c r="AC30" s="284"/>
      <c r="AD30" s="290"/>
      <c r="AE30" s="279"/>
      <c r="AF30" s="284"/>
      <c r="AG30" s="290"/>
      <c r="AH30" s="279"/>
      <c r="AI30" s="284"/>
      <c r="AJ30" s="290"/>
      <c r="AK30" s="279"/>
      <c r="AL30" s="284"/>
      <c r="AM30" s="290"/>
      <c r="AN30" s="279"/>
      <c r="AO30" s="284"/>
      <c r="AP30" s="290"/>
      <c r="AQ30" s="279"/>
      <c r="AR30" s="284"/>
      <c r="AS30" s="290"/>
      <c r="AT30" s="279"/>
      <c r="AU30" s="284"/>
      <c r="AV30" s="290"/>
      <c r="AW30" s="279"/>
      <c r="AX30" s="284"/>
      <c r="AY30" s="290"/>
      <c r="AZ30" s="279"/>
      <c r="BA30" s="284"/>
      <c r="BB30" s="290"/>
      <c r="BC30" s="279"/>
      <c r="BD30" s="284"/>
      <c r="BE30" s="290"/>
      <c r="BF30" s="290"/>
      <c r="BG30" s="284"/>
      <c r="BH30" s="290"/>
      <c r="BI30" s="290"/>
      <c r="BJ30" s="290"/>
      <c r="BK30" s="290"/>
      <c r="BL30" s="290"/>
      <c r="BM30" s="285"/>
      <c r="BN30" s="297"/>
    </row>
    <row r="31" spans="3:91" x14ac:dyDescent="0.25">
      <c r="C31" s="259"/>
      <c r="D31" s="259" t="s">
        <v>137</v>
      </c>
      <c r="E31" s="213">
        <v>2</v>
      </c>
      <c r="F31" s="274">
        <v>0.14285714285714285</v>
      </c>
      <c r="G31" s="260"/>
      <c r="H31" s="213">
        <v>0</v>
      </c>
      <c r="I31" s="274">
        <v>0</v>
      </c>
      <c r="J31" s="318"/>
      <c r="K31" s="213">
        <v>0</v>
      </c>
      <c r="L31" s="274">
        <v>0</v>
      </c>
      <c r="M31" s="260"/>
      <c r="N31" s="213">
        <v>0</v>
      </c>
      <c r="O31" s="274">
        <f t="shared" ref="O31:O36" ca="1" si="77">N31/$N$37</f>
        <v>0</v>
      </c>
      <c r="P31" s="274"/>
      <c r="Q31" s="213">
        <v>1</v>
      </c>
      <c r="R31" s="274">
        <f t="shared" ref="R31:R36" ca="1" si="78">Q31/$Q$37</f>
        <v>9.0909090909090912E-2</v>
      </c>
      <c r="S31" s="274"/>
      <c r="T31" s="213">
        <v>0</v>
      </c>
      <c r="U31" s="274">
        <f t="shared" ref="U31:U36" ca="1" si="79">T31/$T$37</f>
        <v>0</v>
      </c>
      <c r="V31" s="274"/>
      <c r="W31" s="213">
        <v>0</v>
      </c>
      <c r="X31" s="274">
        <f t="shared" ref="X31:X36" ca="1" si="80">W31/$W$37</f>
        <v>0</v>
      </c>
      <c r="Y31" s="274"/>
      <c r="Z31" s="213">
        <v>0</v>
      </c>
      <c r="AA31" s="274">
        <f t="shared" ref="AA31:AA36" ca="1" si="81">Z31/Z$37</f>
        <v>0</v>
      </c>
      <c r="AB31" s="274"/>
      <c r="AC31" s="213">
        <f ca="1">Credit_2010Q4!$AD30</f>
        <v>0</v>
      </c>
      <c r="AD31" s="274">
        <f t="shared" ref="AD31:AD36" ca="1" si="82">AC31/AC$37</f>
        <v>0</v>
      </c>
      <c r="AE31" s="274"/>
      <c r="AF31" s="213">
        <f ca="1">Credit_2011Q4!$AD30</f>
        <v>0</v>
      </c>
      <c r="AG31" s="274">
        <f t="shared" ref="AG31:AG36" ca="1" si="83">AF31/AF$37</f>
        <v>0</v>
      </c>
      <c r="AH31" s="274"/>
      <c r="AI31" s="213">
        <f t="shared" ref="AI31:AI36" ca="1" si="84">INDIRECT( BS31 &amp; $BQ31 )</f>
        <v>0</v>
      </c>
      <c r="AJ31" s="274">
        <f t="shared" ref="AJ31:AJ36" ca="1" si="85">AI31/AI$37</f>
        <v>0</v>
      </c>
      <c r="AK31" s="274"/>
      <c r="AL31" s="213">
        <f t="shared" ref="AL31:AL36" ca="1" si="86">INDIRECT( BU31 &amp; $BQ31 )</f>
        <v>0</v>
      </c>
      <c r="AM31" s="274">
        <f t="shared" ref="AM31:AM36" ca="1" si="87">AL31/AL$37</f>
        <v>0</v>
      </c>
      <c r="AN31" s="274"/>
      <c r="AO31" s="213">
        <f ca="1">INDIRECT( BW31 &amp; $BQ31 )</f>
        <v>0</v>
      </c>
      <c r="AP31" s="274">
        <f t="shared" ref="AP31:AP36" ca="1" si="88">AO31/AO$37</f>
        <v>0</v>
      </c>
      <c r="AQ31" s="274"/>
      <c r="AR31" s="213">
        <f t="shared" ref="AR31:AR36" ca="1" si="89">INDIRECT( BY31 &amp; $BQ31 )</f>
        <v>0</v>
      </c>
      <c r="AS31" s="274">
        <f t="shared" ref="AS31:AS36" ca="1" si="90">AR31/AR$37</f>
        <v>0</v>
      </c>
      <c r="AT31" s="274"/>
      <c r="AU31" s="213">
        <f t="shared" ref="AU31:AU36" ca="1" si="91">INDIRECT( CA31 &amp; $BQ31 )</f>
        <v>0</v>
      </c>
      <c r="AV31" s="274">
        <f t="shared" ref="AV31:AV36" ca="1" si="92">AU31/AU$37</f>
        <v>0</v>
      </c>
      <c r="AW31" s="274"/>
      <c r="AX31" s="213"/>
      <c r="AY31" s="274"/>
      <c r="AZ31" s="274"/>
      <c r="BA31" s="213"/>
      <c r="BB31" s="274"/>
      <c r="BC31" s="274"/>
      <c r="BD31" s="213"/>
      <c r="BE31" s="274"/>
      <c r="BF31" s="274"/>
      <c r="BG31" s="213"/>
      <c r="BH31" s="274"/>
      <c r="BI31" s="274"/>
      <c r="BJ31" s="360"/>
      <c r="BK31" s="369"/>
      <c r="BL31" s="274"/>
      <c r="BM31" s="286"/>
      <c r="BN31" s="326"/>
      <c r="BQ31" s="187">
        <f ca="1">BQ21</f>
        <v>8</v>
      </c>
      <c r="BR31" s="262" t="s">
        <v>148</v>
      </c>
      <c r="BS31" s="187" t="str">
        <f t="shared" ref="BS31:BS36" ca="1" si="93">BS$5 &amp; "!" &amp;$BR31</f>
        <v>'Credit_2012Q4'!u</v>
      </c>
      <c r="BU31" s="187" t="str">
        <f t="shared" ref="BU31:BU36" ca="1" si="94">BU$5 &amp; "!" &amp;$BR31</f>
        <v>'Credit_2013Q4'!u</v>
      </c>
      <c r="BW31" s="187" t="str">
        <f t="shared" ref="BW31:CM36" ca="1" si="95">BW$5 &amp; "!" &amp;$BR31</f>
        <v>'Credit_2014Q4'!u</v>
      </c>
      <c r="BY31" s="187" t="str">
        <f t="shared" ca="1" si="95"/>
        <v>'Credit_2015Q4'!u</v>
      </c>
      <c r="CA31" s="187" t="str">
        <f t="shared" ca="1" si="95"/>
        <v>'Credit_2016Q4'!u</v>
      </c>
      <c r="CC31" s="187" t="str">
        <f t="shared" ca="1" si="95"/>
        <v>'Credit_2017Q4'!u</v>
      </c>
      <c r="CE31" s="187" t="str">
        <f t="shared" ca="1" si="95"/>
        <v>'Credit_2018Q4'!u</v>
      </c>
      <c r="CG31" s="187" t="str">
        <f t="shared" ca="1" si="95"/>
        <v>'Credit_2019Q4'!u</v>
      </c>
      <c r="CI31" s="187" t="str">
        <f t="shared" ca="1" si="95"/>
        <v>'Credit_2020Q4'!u</v>
      </c>
      <c r="CK31" s="187" t="str">
        <f t="shared" ca="1" si="95"/>
        <v>'Credit_2021Q4'!u</v>
      </c>
      <c r="CM31" s="187" t="str">
        <f t="shared" ca="1" si="95"/>
        <v>'Credit_2022Q1'!u</v>
      </c>
    </row>
    <row r="32" spans="3:91" x14ac:dyDescent="0.25">
      <c r="C32" s="263"/>
      <c r="D32" s="263" t="s">
        <v>139</v>
      </c>
      <c r="E32" s="215">
        <v>1</v>
      </c>
      <c r="F32" s="275">
        <v>7.1428571428571425E-2</v>
      </c>
      <c r="G32" s="264"/>
      <c r="H32" s="215">
        <v>2</v>
      </c>
      <c r="I32" s="275">
        <v>0.13333333333333333</v>
      </c>
      <c r="J32" s="317"/>
      <c r="K32" s="215">
        <v>1</v>
      </c>
      <c r="L32" s="275">
        <v>9.0909090909090912E-2</v>
      </c>
      <c r="M32" s="264"/>
      <c r="N32" s="215">
        <v>1</v>
      </c>
      <c r="O32" s="275">
        <f t="shared" ca="1" si="77"/>
        <v>9.0909090909090912E-2</v>
      </c>
      <c r="P32" s="275"/>
      <c r="Q32" s="215">
        <v>0</v>
      </c>
      <c r="R32" s="275">
        <f t="shared" ca="1" si="78"/>
        <v>0</v>
      </c>
      <c r="S32" s="275"/>
      <c r="T32" s="215">
        <v>2</v>
      </c>
      <c r="U32" s="275">
        <f t="shared" ca="1" si="79"/>
        <v>0.22222222222222221</v>
      </c>
      <c r="V32" s="275"/>
      <c r="W32" s="215">
        <v>0</v>
      </c>
      <c r="X32" s="275">
        <f t="shared" ca="1" si="80"/>
        <v>0</v>
      </c>
      <c r="Y32" s="275"/>
      <c r="Z32" s="215">
        <v>0</v>
      </c>
      <c r="AA32" s="275">
        <f t="shared" ca="1" si="81"/>
        <v>0</v>
      </c>
      <c r="AB32" s="275"/>
      <c r="AC32" s="215">
        <f ca="1">Credit_2010Q4!$AD31</f>
        <v>0</v>
      </c>
      <c r="AD32" s="275">
        <f t="shared" ca="1" si="82"/>
        <v>0</v>
      </c>
      <c r="AE32" s="275"/>
      <c r="AF32" s="215">
        <f ca="1">Credit_2011Q4!$AD31</f>
        <v>0</v>
      </c>
      <c r="AG32" s="275">
        <f t="shared" ca="1" si="83"/>
        <v>0</v>
      </c>
      <c r="AH32" s="275"/>
      <c r="AI32" s="215">
        <f t="shared" ca="1" si="84"/>
        <v>0</v>
      </c>
      <c r="AJ32" s="275">
        <f t="shared" ca="1" si="85"/>
        <v>0</v>
      </c>
      <c r="AK32" s="275"/>
      <c r="AL32" s="215">
        <f t="shared" ca="1" si="86"/>
        <v>0</v>
      </c>
      <c r="AM32" s="275">
        <f t="shared" ca="1" si="87"/>
        <v>0</v>
      </c>
      <c r="AN32" s="275"/>
      <c r="AO32" s="215">
        <f t="shared" ref="AO32:AO36" ca="1" si="96">INDIRECT( BW32 &amp; $BQ32 )</f>
        <v>0</v>
      </c>
      <c r="AP32" s="275">
        <f t="shared" ca="1" si="88"/>
        <v>0</v>
      </c>
      <c r="AQ32" s="275"/>
      <c r="AR32" s="215">
        <f t="shared" ca="1" si="89"/>
        <v>0</v>
      </c>
      <c r="AS32" s="275">
        <f t="shared" ca="1" si="90"/>
        <v>0</v>
      </c>
      <c r="AT32" s="275"/>
      <c r="AU32" s="215">
        <f t="shared" ca="1" si="91"/>
        <v>0</v>
      </c>
      <c r="AV32" s="275">
        <f t="shared" ca="1" si="92"/>
        <v>0</v>
      </c>
      <c r="AW32" s="275"/>
      <c r="AX32" s="215"/>
      <c r="AY32" s="275"/>
      <c r="AZ32" s="275"/>
      <c r="BA32" s="215"/>
      <c r="BB32" s="275"/>
      <c r="BC32" s="275"/>
      <c r="BD32" s="215"/>
      <c r="BE32" s="275"/>
      <c r="BF32" s="275"/>
      <c r="BG32" s="215"/>
      <c r="BH32" s="275"/>
      <c r="BI32" s="275"/>
      <c r="BJ32" s="362"/>
      <c r="BK32" s="370"/>
      <c r="BL32" s="275"/>
      <c r="BM32" s="287"/>
      <c r="BN32" s="327"/>
      <c r="BQ32" s="187">
        <f t="shared" ref="BQ32:BQ36" ca="1" si="97">BQ22</f>
        <v>9</v>
      </c>
      <c r="BR32" s="185" t="str">
        <f ca="1">BR31</f>
        <v>u</v>
      </c>
      <c r="BS32" s="187" t="str">
        <f t="shared" ca="1" si="93"/>
        <v>'Credit_2012Q4'!u</v>
      </c>
      <c r="BU32" s="187" t="str">
        <f t="shared" ca="1" si="94"/>
        <v>'Credit_2013Q4'!u</v>
      </c>
      <c r="BW32" s="187" t="str">
        <f t="shared" ca="1" si="95"/>
        <v>'Credit_2014Q4'!u</v>
      </c>
      <c r="BY32" s="187" t="str">
        <f t="shared" ca="1" si="95"/>
        <v>'Credit_2015Q4'!u</v>
      </c>
      <c r="CA32" s="187" t="str">
        <f t="shared" ca="1" si="95"/>
        <v>'Credit_2016Q4'!u</v>
      </c>
      <c r="CC32" s="187" t="str">
        <f t="shared" ca="1" si="95"/>
        <v>'Credit_2017Q4'!u</v>
      </c>
      <c r="CE32" s="187" t="str">
        <f t="shared" ca="1" si="95"/>
        <v>'Credit_2018Q4'!u</v>
      </c>
      <c r="CG32" s="187" t="str">
        <f t="shared" ca="1" si="95"/>
        <v>'Credit_2019Q4'!u</v>
      </c>
      <c r="CI32" s="187" t="str">
        <f t="shared" ca="1" si="95"/>
        <v>'Credit_2020Q4'!u</v>
      </c>
      <c r="CK32" s="187" t="str">
        <f t="shared" ca="1" si="95"/>
        <v>'Credit_2021Q4'!u</v>
      </c>
      <c r="CM32" s="187" t="str">
        <f t="shared" ca="1" si="95"/>
        <v>'Credit_2022Q1'!u</v>
      </c>
    </row>
    <row r="33" spans="3:91" x14ac:dyDescent="0.25">
      <c r="C33" s="263"/>
      <c r="D33" s="263" t="s">
        <v>140</v>
      </c>
      <c r="E33" s="215">
        <v>2</v>
      </c>
      <c r="F33" s="275">
        <v>0.14285714285714285</v>
      </c>
      <c r="G33" s="264"/>
      <c r="H33" s="215">
        <v>4</v>
      </c>
      <c r="I33" s="275">
        <v>0.26666666666666666</v>
      </c>
      <c r="J33" s="317"/>
      <c r="K33" s="215">
        <v>3</v>
      </c>
      <c r="L33" s="275">
        <v>0.27272727272727271</v>
      </c>
      <c r="M33" s="264"/>
      <c r="N33" s="215">
        <v>2</v>
      </c>
      <c r="O33" s="275">
        <f t="shared" ca="1" si="77"/>
        <v>0.18181818181818182</v>
      </c>
      <c r="P33" s="275"/>
      <c r="Q33" s="215">
        <v>4</v>
      </c>
      <c r="R33" s="275">
        <f t="shared" ca="1" si="78"/>
        <v>0.36363636363636365</v>
      </c>
      <c r="S33" s="275"/>
      <c r="T33" s="215">
        <v>3</v>
      </c>
      <c r="U33" s="275">
        <f t="shared" ca="1" si="79"/>
        <v>0.33333333333333331</v>
      </c>
      <c r="V33" s="275"/>
      <c r="W33" s="215">
        <v>2</v>
      </c>
      <c r="X33" s="275">
        <f t="shared" ca="1" si="80"/>
        <v>0.2857142857142857</v>
      </c>
      <c r="Y33" s="275"/>
      <c r="Z33" s="215">
        <v>1</v>
      </c>
      <c r="AA33" s="275">
        <f t="shared" ca="1" si="81"/>
        <v>0.16666666666666666</v>
      </c>
      <c r="AB33" s="275"/>
      <c r="AC33" s="215">
        <f ca="1">Credit_2010Q4!$AD32</f>
        <v>2</v>
      </c>
      <c r="AD33" s="275">
        <f t="shared" ca="1" si="82"/>
        <v>0.4</v>
      </c>
      <c r="AE33" s="275"/>
      <c r="AF33" s="215">
        <f ca="1">Credit_2011Q4!$AD32</f>
        <v>1</v>
      </c>
      <c r="AG33" s="275">
        <f t="shared" ca="1" si="83"/>
        <v>0.25</v>
      </c>
      <c r="AH33" s="275"/>
      <c r="AI33" s="215">
        <f t="shared" ca="1" si="84"/>
        <v>1</v>
      </c>
      <c r="AJ33" s="275">
        <f t="shared" ca="1" si="85"/>
        <v>0.33333333333333331</v>
      </c>
      <c r="AK33" s="275"/>
      <c r="AL33" s="215">
        <f t="shared" ca="1" si="86"/>
        <v>1</v>
      </c>
      <c r="AM33" s="275">
        <f t="shared" ca="1" si="87"/>
        <v>0.5</v>
      </c>
      <c r="AN33" s="275"/>
      <c r="AO33" s="215">
        <f t="shared" ca="1" si="96"/>
        <v>1</v>
      </c>
      <c r="AP33" s="275">
        <f t="shared" ca="1" si="88"/>
        <v>0.5</v>
      </c>
      <c r="AQ33" s="275"/>
      <c r="AR33" s="215">
        <f t="shared" ca="1" si="89"/>
        <v>1</v>
      </c>
      <c r="AS33" s="275">
        <f t="shared" ca="1" si="90"/>
        <v>0.5</v>
      </c>
      <c r="AT33" s="275"/>
      <c r="AU33" s="215">
        <f t="shared" ca="1" si="91"/>
        <v>0</v>
      </c>
      <c r="AV33" s="275">
        <f t="shared" ca="1" si="92"/>
        <v>0</v>
      </c>
      <c r="AW33" s="275"/>
      <c r="AX33" s="215"/>
      <c r="AY33" s="275"/>
      <c r="AZ33" s="275"/>
      <c r="BA33" s="215"/>
      <c r="BB33" s="275"/>
      <c r="BC33" s="275"/>
      <c r="BD33" s="215"/>
      <c r="BE33" s="275"/>
      <c r="BF33" s="275"/>
      <c r="BG33" s="215"/>
      <c r="BH33" s="275"/>
      <c r="BI33" s="275"/>
      <c r="BJ33" s="362"/>
      <c r="BK33" s="370"/>
      <c r="BL33" s="275"/>
      <c r="BM33" s="287"/>
      <c r="BN33" s="327"/>
      <c r="BQ33" s="187">
        <f t="shared" ca="1" si="97"/>
        <v>10</v>
      </c>
      <c r="BR33" s="185" t="str">
        <f t="shared" ref="BR33:BR36" ca="1" si="98">BR32</f>
        <v>u</v>
      </c>
      <c r="BS33" s="187" t="str">
        <f t="shared" ca="1" si="93"/>
        <v>'Credit_2012Q4'!u</v>
      </c>
      <c r="BU33" s="187" t="str">
        <f t="shared" ca="1" si="94"/>
        <v>'Credit_2013Q4'!u</v>
      </c>
      <c r="BW33" s="187" t="str">
        <f t="shared" ca="1" si="95"/>
        <v>'Credit_2014Q4'!u</v>
      </c>
      <c r="BY33" s="187" t="str">
        <f t="shared" ca="1" si="95"/>
        <v>'Credit_2015Q4'!u</v>
      </c>
      <c r="CA33" s="187" t="str">
        <f t="shared" ca="1" si="95"/>
        <v>'Credit_2016Q4'!u</v>
      </c>
      <c r="CC33" s="187" t="str">
        <f t="shared" ca="1" si="95"/>
        <v>'Credit_2017Q4'!u</v>
      </c>
      <c r="CE33" s="187" t="str">
        <f t="shared" ca="1" si="95"/>
        <v>'Credit_2018Q4'!u</v>
      </c>
      <c r="CG33" s="187" t="str">
        <f t="shared" ca="1" si="95"/>
        <v>'Credit_2019Q4'!u</v>
      </c>
      <c r="CI33" s="187" t="str">
        <f t="shared" ca="1" si="95"/>
        <v>'Credit_2020Q4'!u</v>
      </c>
      <c r="CK33" s="187" t="str">
        <f t="shared" ca="1" si="95"/>
        <v>'Credit_2021Q4'!u</v>
      </c>
      <c r="CM33" s="187" t="str">
        <f t="shared" ca="1" si="95"/>
        <v>'Credit_2022Q1'!u</v>
      </c>
    </row>
    <row r="34" spans="3:91" x14ac:dyDescent="0.25">
      <c r="C34" s="263"/>
      <c r="D34" s="263" t="s">
        <v>141</v>
      </c>
      <c r="E34" s="215">
        <v>7</v>
      </c>
      <c r="F34" s="275">
        <v>0.5</v>
      </c>
      <c r="G34" s="264"/>
      <c r="H34" s="215">
        <v>5</v>
      </c>
      <c r="I34" s="275">
        <v>0.33333333333333331</v>
      </c>
      <c r="J34" s="317"/>
      <c r="K34" s="215">
        <v>5</v>
      </c>
      <c r="L34" s="275">
        <v>0.45454545454545453</v>
      </c>
      <c r="M34" s="264"/>
      <c r="N34" s="215">
        <v>5</v>
      </c>
      <c r="O34" s="275">
        <f t="shared" ca="1" si="77"/>
        <v>0.45454545454545453</v>
      </c>
      <c r="P34" s="275"/>
      <c r="Q34" s="215">
        <v>3</v>
      </c>
      <c r="R34" s="275">
        <f t="shared" ca="1" si="78"/>
        <v>0.27272727272727271</v>
      </c>
      <c r="S34" s="275"/>
      <c r="T34" s="215">
        <v>1</v>
      </c>
      <c r="U34" s="275">
        <f t="shared" ca="1" si="79"/>
        <v>0.1111111111111111</v>
      </c>
      <c r="V34" s="275"/>
      <c r="W34" s="215">
        <v>2</v>
      </c>
      <c r="X34" s="275">
        <f t="shared" ca="1" si="80"/>
        <v>0.2857142857142857</v>
      </c>
      <c r="Y34" s="275"/>
      <c r="Z34" s="215">
        <v>2</v>
      </c>
      <c r="AA34" s="275">
        <f t="shared" ca="1" si="81"/>
        <v>0.33333333333333331</v>
      </c>
      <c r="AB34" s="275"/>
      <c r="AC34" s="215">
        <f ca="1">Credit_2010Q4!$AD33</f>
        <v>0</v>
      </c>
      <c r="AD34" s="275">
        <f t="shared" ca="1" si="82"/>
        <v>0</v>
      </c>
      <c r="AE34" s="275"/>
      <c r="AF34" s="215">
        <f ca="1">Credit_2011Q4!$AD33</f>
        <v>0</v>
      </c>
      <c r="AG34" s="275">
        <f t="shared" ca="1" si="83"/>
        <v>0</v>
      </c>
      <c r="AH34" s="275"/>
      <c r="AI34" s="215">
        <f t="shared" ca="1" si="84"/>
        <v>0</v>
      </c>
      <c r="AJ34" s="275">
        <f t="shared" ca="1" si="85"/>
        <v>0</v>
      </c>
      <c r="AK34" s="275"/>
      <c r="AL34" s="215">
        <f t="shared" ca="1" si="86"/>
        <v>0</v>
      </c>
      <c r="AM34" s="275">
        <f t="shared" ca="1" si="87"/>
        <v>0</v>
      </c>
      <c r="AN34" s="275"/>
      <c r="AO34" s="215">
        <f t="shared" ca="1" si="96"/>
        <v>0</v>
      </c>
      <c r="AP34" s="275">
        <f t="shared" ca="1" si="88"/>
        <v>0</v>
      </c>
      <c r="AQ34" s="275"/>
      <c r="AR34" s="215">
        <f t="shared" ca="1" si="89"/>
        <v>0</v>
      </c>
      <c r="AS34" s="275">
        <f t="shared" ca="1" si="90"/>
        <v>0</v>
      </c>
      <c r="AT34" s="275"/>
      <c r="AU34" s="215">
        <f t="shared" ca="1" si="91"/>
        <v>1</v>
      </c>
      <c r="AV34" s="275">
        <f t="shared" ca="1" si="92"/>
        <v>0.5</v>
      </c>
      <c r="AW34" s="275"/>
      <c r="AX34" s="215"/>
      <c r="AY34" s="275"/>
      <c r="AZ34" s="275"/>
      <c r="BA34" s="215"/>
      <c r="BB34" s="275"/>
      <c r="BC34" s="275"/>
      <c r="BD34" s="215"/>
      <c r="BE34" s="275"/>
      <c r="BF34" s="275"/>
      <c r="BG34" s="215"/>
      <c r="BH34" s="275"/>
      <c r="BI34" s="275"/>
      <c r="BJ34" s="362"/>
      <c r="BK34" s="370"/>
      <c r="BL34" s="275"/>
      <c r="BM34" s="287"/>
      <c r="BN34" s="327"/>
      <c r="BQ34" s="187">
        <f t="shared" ca="1" si="97"/>
        <v>11</v>
      </c>
      <c r="BR34" s="185" t="str">
        <f t="shared" ca="1" si="98"/>
        <v>u</v>
      </c>
      <c r="BS34" s="187" t="str">
        <f t="shared" ca="1" si="93"/>
        <v>'Credit_2012Q4'!u</v>
      </c>
      <c r="BU34" s="187" t="str">
        <f t="shared" ca="1" si="94"/>
        <v>'Credit_2013Q4'!u</v>
      </c>
      <c r="BW34" s="187" t="str">
        <f t="shared" ca="1" si="95"/>
        <v>'Credit_2014Q4'!u</v>
      </c>
      <c r="BY34" s="187" t="str">
        <f t="shared" ca="1" si="95"/>
        <v>'Credit_2015Q4'!u</v>
      </c>
      <c r="CA34" s="187" t="str">
        <f t="shared" ca="1" si="95"/>
        <v>'Credit_2016Q4'!u</v>
      </c>
      <c r="CC34" s="187" t="str">
        <f t="shared" ca="1" si="95"/>
        <v>'Credit_2017Q4'!u</v>
      </c>
      <c r="CE34" s="187" t="str">
        <f t="shared" ca="1" si="95"/>
        <v>'Credit_2018Q4'!u</v>
      </c>
      <c r="CG34" s="187" t="str">
        <f t="shared" ca="1" si="95"/>
        <v>'Credit_2019Q4'!u</v>
      </c>
      <c r="CI34" s="187" t="str">
        <f t="shared" ca="1" si="95"/>
        <v>'Credit_2020Q4'!u</v>
      </c>
      <c r="CK34" s="187" t="str">
        <f t="shared" ca="1" si="95"/>
        <v>'Credit_2021Q4'!u</v>
      </c>
      <c r="CM34" s="187" t="str">
        <f t="shared" ca="1" si="95"/>
        <v>'Credit_2022Q1'!u</v>
      </c>
    </row>
    <row r="35" spans="3:91" x14ac:dyDescent="0.25">
      <c r="C35" s="263"/>
      <c r="D35" s="263" t="s">
        <v>142</v>
      </c>
      <c r="E35" s="215">
        <v>0</v>
      </c>
      <c r="F35" s="275">
        <v>0</v>
      </c>
      <c r="G35" s="264"/>
      <c r="H35" s="215">
        <v>2</v>
      </c>
      <c r="I35" s="275">
        <v>0.13333333333333333</v>
      </c>
      <c r="J35" s="317"/>
      <c r="K35" s="215">
        <v>1</v>
      </c>
      <c r="L35" s="275">
        <v>9.0909090909090912E-2</v>
      </c>
      <c r="M35" s="264"/>
      <c r="N35" s="215">
        <v>2</v>
      </c>
      <c r="O35" s="275">
        <f t="shared" ca="1" si="77"/>
        <v>0.18181818181818182</v>
      </c>
      <c r="P35" s="275"/>
      <c r="Q35" s="215">
        <v>2</v>
      </c>
      <c r="R35" s="275">
        <f t="shared" ca="1" si="78"/>
        <v>0.18181818181818182</v>
      </c>
      <c r="S35" s="275"/>
      <c r="T35" s="215">
        <v>2</v>
      </c>
      <c r="U35" s="275">
        <f t="shared" ca="1" si="79"/>
        <v>0.22222222222222221</v>
      </c>
      <c r="V35" s="275"/>
      <c r="W35" s="215">
        <v>2</v>
      </c>
      <c r="X35" s="275">
        <f t="shared" ca="1" si="80"/>
        <v>0.2857142857142857</v>
      </c>
      <c r="Y35" s="275"/>
      <c r="Z35" s="215">
        <v>2</v>
      </c>
      <c r="AA35" s="275">
        <f t="shared" ca="1" si="81"/>
        <v>0.33333333333333331</v>
      </c>
      <c r="AB35" s="275"/>
      <c r="AC35" s="215">
        <f ca="1">Credit_2010Q4!$AD34</f>
        <v>2</v>
      </c>
      <c r="AD35" s="275">
        <f t="shared" ca="1" si="82"/>
        <v>0.4</v>
      </c>
      <c r="AE35" s="275"/>
      <c r="AF35" s="215">
        <f ca="1">Credit_2011Q4!$AD34</f>
        <v>2</v>
      </c>
      <c r="AG35" s="275">
        <f t="shared" ca="1" si="83"/>
        <v>0.5</v>
      </c>
      <c r="AH35" s="275"/>
      <c r="AI35" s="215">
        <f t="shared" ca="1" si="84"/>
        <v>1</v>
      </c>
      <c r="AJ35" s="275">
        <f t="shared" ca="1" si="85"/>
        <v>0.33333333333333331</v>
      </c>
      <c r="AK35" s="275"/>
      <c r="AL35" s="215">
        <f t="shared" ca="1" si="86"/>
        <v>0</v>
      </c>
      <c r="AM35" s="275">
        <f t="shared" ca="1" si="87"/>
        <v>0</v>
      </c>
      <c r="AN35" s="275"/>
      <c r="AO35" s="215">
        <f t="shared" ca="1" si="96"/>
        <v>1</v>
      </c>
      <c r="AP35" s="275">
        <f t="shared" ca="1" si="88"/>
        <v>0.5</v>
      </c>
      <c r="AQ35" s="275"/>
      <c r="AR35" s="215">
        <f t="shared" ca="1" si="89"/>
        <v>1</v>
      </c>
      <c r="AS35" s="275">
        <f t="shared" ca="1" si="90"/>
        <v>0.5</v>
      </c>
      <c r="AT35" s="275"/>
      <c r="AU35" s="215">
        <f t="shared" ca="1" si="91"/>
        <v>1</v>
      </c>
      <c r="AV35" s="275">
        <f t="shared" ca="1" si="92"/>
        <v>0.5</v>
      </c>
      <c r="AW35" s="275"/>
      <c r="AX35" s="215"/>
      <c r="AY35" s="275"/>
      <c r="AZ35" s="275"/>
      <c r="BA35" s="215"/>
      <c r="BB35" s="275"/>
      <c r="BC35" s="275"/>
      <c r="BD35" s="215"/>
      <c r="BE35" s="275"/>
      <c r="BF35" s="275"/>
      <c r="BG35" s="215"/>
      <c r="BH35" s="275"/>
      <c r="BI35" s="275"/>
      <c r="BJ35" s="362"/>
      <c r="BK35" s="370"/>
      <c r="BL35" s="275"/>
      <c r="BM35" s="287"/>
      <c r="BN35" s="327"/>
      <c r="BQ35" s="187">
        <f t="shared" ca="1" si="97"/>
        <v>12</v>
      </c>
      <c r="BR35" s="185" t="str">
        <f t="shared" ca="1" si="98"/>
        <v>u</v>
      </c>
      <c r="BS35" s="187" t="str">
        <f t="shared" ca="1" si="93"/>
        <v>'Credit_2012Q4'!u</v>
      </c>
      <c r="BU35" s="187" t="str">
        <f t="shared" ca="1" si="94"/>
        <v>'Credit_2013Q4'!u</v>
      </c>
      <c r="BW35" s="187" t="str">
        <f t="shared" ca="1" si="95"/>
        <v>'Credit_2014Q4'!u</v>
      </c>
      <c r="BY35" s="187" t="str">
        <f t="shared" ca="1" si="95"/>
        <v>'Credit_2015Q4'!u</v>
      </c>
      <c r="CA35" s="187" t="str">
        <f t="shared" ca="1" si="95"/>
        <v>'Credit_2016Q4'!u</v>
      </c>
      <c r="CC35" s="187" t="str">
        <f t="shared" ca="1" si="95"/>
        <v>'Credit_2017Q4'!u</v>
      </c>
      <c r="CE35" s="187" t="str">
        <f t="shared" ca="1" si="95"/>
        <v>'Credit_2018Q4'!u</v>
      </c>
      <c r="CG35" s="187" t="str">
        <f t="shared" ca="1" si="95"/>
        <v>'Credit_2019Q4'!u</v>
      </c>
      <c r="CI35" s="187" t="str">
        <f t="shared" ca="1" si="95"/>
        <v>'Credit_2020Q4'!u</v>
      </c>
      <c r="CK35" s="187" t="str">
        <f t="shared" ca="1" si="95"/>
        <v>'Credit_2021Q4'!u</v>
      </c>
      <c r="CM35" s="187" t="str">
        <f t="shared" ca="1" si="95"/>
        <v>'Credit_2022Q1'!u</v>
      </c>
    </row>
    <row r="36" spans="3:91" x14ac:dyDescent="0.25">
      <c r="C36" s="265"/>
      <c r="D36" s="265" t="s">
        <v>143</v>
      </c>
      <c r="E36" s="217">
        <v>2</v>
      </c>
      <c r="F36" s="276">
        <v>0.14285714285714285</v>
      </c>
      <c r="G36" s="266"/>
      <c r="H36" s="217">
        <v>2</v>
      </c>
      <c r="I36" s="276">
        <v>0.13333333333333333</v>
      </c>
      <c r="J36" s="267"/>
      <c r="K36" s="217">
        <v>1</v>
      </c>
      <c r="L36" s="276">
        <v>9.0909090909090912E-2</v>
      </c>
      <c r="M36" s="266"/>
      <c r="N36" s="217">
        <v>1</v>
      </c>
      <c r="O36" s="276">
        <f t="shared" ca="1" si="77"/>
        <v>9.0909090909090912E-2</v>
      </c>
      <c r="P36" s="276"/>
      <c r="Q36" s="217">
        <v>1</v>
      </c>
      <c r="R36" s="276">
        <f t="shared" ca="1" si="78"/>
        <v>9.0909090909090912E-2</v>
      </c>
      <c r="S36" s="276"/>
      <c r="T36" s="217">
        <v>1</v>
      </c>
      <c r="U36" s="276">
        <f t="shared" ca="1" si="79"/>
        <v>0.1111111111111111</v>
      </c>
      <c r="V36" s="276"/>
      <c r="W36" s="217">
        <v>1</v>
      </c>
      <c r="X36" s="276">
        <f t="shared" ca="1" si="80"/>
        <v>0.14285714285714285</v>
      </c>
      <c r="Y36" s="276"/>
      <c r="Z36" s="217">
        <v>1</v>
      </c>
      <c r="AA36" s="276">
        <f t="shared" ca="1" si="81"/>
        <v>0.16666666666666666</v>
      </c>
      <c r="AB36" s="276"/>
      <c r="AC36" s="217">
        <f ca="1">Credit_2010Q4!$AD35</f>
        <v>1</v>
      </c>
      <c r="AD36" s="276">
        <f t="shared" ca="1" si="82"/>
        <v>0.2</v>
      </c>
      <c r="AE36" s="276"/>
      <c r="AF36" s="217">
        <f ca="1">Credit_2011Q4!$AD35</f>
        <v>1</v>
      </c>
      <c r="AG36" s="276">
        <f t="shared" ca="1" si="83"/>
        <v>0.25</v>
      </c>
      <c r="AH36" s="276"/>
      <c r="AI36" s="217">
        <f t="shared" ca="1" si="84"/>
        <v>1</v>
      </c>
      <c r="AJ36" s="276">
        <f t="shared" ca="1" si="85"/>
        <v>0.33333333333333331</v>
      </c>
      <c r="AK36" s="276"/>
      <c r="AL36" s="217">
        <f t="shared" ca="1" si="86"/>
        <v>1</v>
      </c>
      <c r="AM36" s="276">
        <f t="shared" ca="1" si="87"/>
        <v>0.5</v>
      </c>
      <c r="AN36" s="276"/>
      <c r="AO36" s="217">
        <f t="shared" ca="1" si="96"/>
        <v>0</v>
      </c>
      <c r="AP36" s="276">
        <f t="shared" ca="1" si="88"/>
        <v>0</v>
      </c>
      <c r="AQ36" s="276"/>
      <c r="AR36" s="217">
        <f t="shared" ca="1" si="89"/>
        <v>0</v>
      </c>
      <c r="AS36" s="276">
        <f t="shared" ca="1" si="90"/>
        <v>0</v>
      </c>
      <c r="AT36" s="276"/>
      <c r="AU36" s="217">
        <f t="shared" ca="1" si="91"/>
        <v>0</v>
      </c>
      <c r="AV36" s="276">
        <f t="shared" ca="1" si="92"/>
        <v>0</v>
      </c>
      <c r="AW36" s="276"/>
      <c r="AX36" s="217"/>
      <c r="AY36" s="276"/>
      <c r="AZ36" s="276"/>
      <c r="BA36" s="217"/>
      <c r="BB36" s="276"/>
      <c r="BC36" s="276"/>
      <c r="BD36" s="217"/>
      <c r="BE36" s="276"/>
      <c r="BF36" s="276"/>
      <c r="BG36" s="217"/>
      <c r="BH36" s="276"/>
      <c r="BI36" s="276"/>
      <c r="BJ36" s="364"/>
      <c r="BK36" s="371"/>
      <c r="BL36" s="276"/>
      <c r="BM36" s="288"/>
      <c r="BN36" s="328"/>
      <c r="BQ36" s="187">
        <f t="shared" ca="1" si="97"/>
        <v>13</v>
      </c>
      <c r="BR36" s="185" t="str">
        <f t="shared" ca="1" si="98"/>
        <v>u</v>
      </c>
      <c r="BS36" s="187" t="str">
        <f t="shared" ca="1" si="93"/>
        <v>'Credit_2012Q4'!u</v>
      </c>
      <c r="BU36" s="187" t="str">
        <f t="shared" ca="1" si="94"/>
        <v>'Credit_2013Q4'!u</v>
      </c>
      <c r="BW36" s="187" t="str">
        <f t="shared" ca="1" si="95"/>
        <v>'Credit_2014Q4'!u</v>
      </c>
      <c r="BY36" s="187" t="str">
        <f t="shared" ca="1" si="95"/>
        <v>'Credit_2015Q4'!u</v>
      </c>
      <c r="CA36" s="187" t="str">
        <f t="shared" ca="1" si="95"/>
        <v>'Credit_2016Q4'!u</v>
      </c>
      <c r="CC36" s="187" t="str">
        <f t="shared" ca="1" si="95"/>
        <v>'Credit_2017Q4'!u</v>
      </c>
      <c r="CE36" s="187" t="str">
        <f t="shared" ca="1" si="95"/>
        <v>'Credit_2018Q4'!u</v>
      </c>
      <c r="CG36" s="187" t="str">
        <f t="shared" ca="1" si="95"/>
        <v>'Credit_2019Q4'!u</v>
      </c>
      <c r="CI36" s="187" t="str">
        <f t="shared" ca="1" si="95"/>
        <v>'Credit_2020Q4'!u</v>
      </c>
      <c r="CK36" s="187" t="str">
        <f t="shared" ca="1" si="95"/>
        <v>'Credit_2021Q4'!u</v>
      </c>
      <c r="CM36" s="187" t="str">
        <f t="shared" ca="1" si="95"/>
        <v>'Credit_2022Q1'!u</v>
      </c>
    </row>
    <row r="37" spans="3:91" s="250" customFormat="1" x14ac:dyDescent="0.25">
      <c r="C37" s="268"/>
      <c r="D37" s="268" t="s">
        <v>144</v>
      </c>
      <c r="E37" s="211">
        <f t="shared" ref="E37:AA37" ca="1" si="99">SUM(E31:E36)</f>
        <v>14</v>
      </c>
      <c r="F37" s="277">
        <f t="shared" ca="1" si="99"/>
        <v>1</v>
      </c>
      <c r="G37" s="269"/>
      <c r="H37" s="211">
        <f t="shared" ca="1" si="99"/>
        <v>15</v>
      </c>
      <c r="I37" s="277">
        <f t="shared" ca="1" si="99"/>
        <v>1</v>
      </c>
      <c r="J37" s="269"/>
      <c r="K37" s="211">
        <f t="shared" ca="1" si="99"/>
        <v>11</v>
      </c>
      <c r="L37" s="277">
        <f t="shared" ca="1" si="99"/>
        <v>1</v>
      </c>
      <c r="M37" s="269"/>
      <c r="N37" s="211">
        <f ca="1">SUM(N31:N36)</f>
        <v>11</v>
      </c>
      <c r="O37" s="277">
        <f ca="1">SUM(O31:O36)</f>
        <v>1</v>
      </c>
      <c r="P37" s="277"/>
      <c r="Q37" s="211">
        <f ca="1">SUM(Q31:Q36)</f>
        <v>11</v>
      </c>
      <c r="R37" s="277">
        <f t="shared" ca="1" si="99"/>
        <v>1</v>
      </c>
      <c r="S37" s="277"/>
      <c r="T37" s="211">
        <f ca="1">SUM(T31:T36)</f>
        <v>9</v>
      </c>
      <c r="U37" s="277">
        <f t="shared" ca="1" si="99"/>
        <v>1</v>
      </c>
      <c r="V37" s="277"/>
      <c r="W37" s="211">
        <f ca="1">SUM(W31:W36)</f>
        <v>7</v>
      </c>
      <c r="X37" s="277">
        <f t="shared" ca="1" si="99"/>
        <v>1</v>
      </c>
      <c r="Y37" s="277"/>
      <c r="Z37" s="211">
        <f ca="1">SUM(Z31:Z36)</f>
        <v>6</v>
      </c>
      <c r="AA37" s="277">
        <f t="shared" ca="1" si="99"/>
        <v>0.99999999999999989</v>
      </c>
      <c r="AB37" s="277"/>
      <c r="AC37" s="211">
        <f t="shared" ref="AC37:AF37" ca="1" si="100">SUM(AC31:AC36)</f>
        <v>5</v>
      </c>
      <c r="AD37" s="277">
        <f t="shared" ca="1" si="100"/>
        <v>1</v>
      </c>
      <c r="AE37" s="277"/>
      <c r="AF37" s="211">
        <f t="shared" ca="1" si="100"/>
        <v>4</v>
      </c>
      <c r="AG37" s="277">
        <f t="shared" ref="AG37" ca="1" si="101">SUM(AG31:AG36)</f>
        <v>1</v>
      </c>
      <c r="AH37" s="277"/>
      <c r="AI37" s="211">
        <f ca="1">SUM(AI31:AI36)</f>
        <v>3</v>
      </c>
      <c r="AJ37" s="277">
        <f t="shared" ref="AJ37" ca="1" si="102">SUM(AJ31:AJ36)</f>
        <v>1</v>
      </c>
      <c r="AK37" s="277"/>
      <c r="AL37" s="211">
        <f ca="1">SUM(AL31:AL36)</f>
        <v>2</v>
      </c>
      <c r="AM37" s="277">
        <f ca="1">SUM(AM31:AM36)</f>
        <v>1</v>
      </c>
      <c r="AN37" s="277"/>
      <c r="AO37" s="211">
        <f ca="1">SUM(AO31:AO36)</f>
        <v>2</v>
      </c>
      <c r="AP37" s="277">
        <f ca="1">SUM(AP31:AP36)</f>
        <v>1</v>
      </c>
      <c r="AQ37" s="277"/>
      <c r="AR37" s="211">
        <f ca="1">SUM(AR31:AR36)</f>
        <v>2</v>
      </c>
      <c r="AS37" s="277">
        <f ca="1">SUM(AS31:AS36)</f>
        <v>1</v>
      </c>
      <c r="AT37" s="277"/>
      <c r="AU37" s="211">
        <f ca="1">SUM(AU31:AU36)</f>
        <v>2</v>
      </c>
      <c r="AV37" s="277">
        <f ca="1">SUM(AV31:AV36)</f>
        <v>1</v>
      </c>
      <c r="AW37" s="277"/>
      <c r="AX37" s="211"/>
      <c r="AY37" s="277"/>
      <c r="AZ37" s="277"/>
      <c r="BA37" s="211"/>
      <c r="BB37" s="277"/>
      <c r="BC37" s="277"/>
      <c r="BD37" s="211"/>
      <c r="BE37" s="277"/>
      <c r="BF37" s="277"/>
      <c r="BG37" s="211"/>
      <c r="BH37" s="277"/>
      <c r="BI37" s="277"/>
      <c r="BJ37" s="366"/>
      <c r="BK37" s="372"/>
      <c r="BL37" s="277"/>
      <c r="BM37" s="289"/>
      <c r="BN37" s="329"/>
      <c r="BR37" s="189"/>
    </row>
    <row r="38" spans="3:91" x14ac:dyDescent="0.25">
      <c r="AA38" s="291"/>
    </row>
    <row r="40" spans="3:91" x14ac:dyDescent="0.25">
      <c r="C40" s="203"/>
      <c r="D40" s="203" t="s">
        <v>149</v>
      </c>
    </row>
  </sheetData>
  <mergeCells count="22">
    <mergeCell ref="BM7:BN7"/>
    <mergeCell ref="C5:R5"/>
    <mergeCell ref="AL7:AM7"/>
    <mergeCell ref="T7:U7"/>
    <mergeCell ref="Q7:R7"/>
    <mergeCell ref="E7:F7"/>
    <mergeCell ref="H7:I7"/>
    <mergeCell ref="K7:L7"/>
    <mergeCell ref="N7:O7"/>
    <mergeCell ref="AI7:AJ7"/>
    <mergeCell ref="AF7:AG7"/>
    <mergeCell ref="AC7:AD7"/>
    <mergeCell ref="Z7:AA7"/>
    <mergeCell ref="W7:X7"/>
    <mergeCell ref="AU7:AV7"/>
    <mergeCell ref="AR7:AS7"/>
    <mergeCell ref="BJ7:BK7"/>
    <mergeCell ref="AO7:AP7"/>
    <mergeCell ref="AX7:AY7"/>
    <mergeCell ref="BA7:BB7"/>
    <mergeCell ref="BD7:BE7"/>
    <mergeCell ref="BG7:BH7"/>
  </mergeCells>
  <phoneticPr fontId="3" type="noConversion"/>
  <printOptions gridLines="1"/>
  <pageMargins left="0.17" right="0.27" top="1" bottom="1" header="0.5" footer="0.5"/>
  <pageSetup scale="48" orientation="landscape" r:id="rId1"/>
  <headerFooter alignWithMargins="0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9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customWidth="1"/>
    <col min="23" max="23" width="2" style="168" customWidth="1"/>
    <col min="24" max="24" width="4.109375" style="168" customWidth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7.88671875" style="169" hidden="1" customWidth="1" outlineLevel="1" collapsed="1"/>
    <col min="37" max="38" width="9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3.441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style="168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-- 2013 Q3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</row>
    <row r="2" spans="1:61" ht="18" hidden="1" outlineLevel="1" x14ac:dyDescent="0.25">
      <c r="A2" s="167"/>
      <c r="E2" s="171" t="str">
        <f>G2</f>
        <v>Reg_Percent_2012</v>
      </c>
      <c r="G2" s="172" t="s">
        <v>405</v>
      </c>
      <c r="AJ2" s="173" t="str">
        <f>AJ4 &amp; AJ3</f>
        <v>'Credit_2013Q2'!a:a</v>
      </c>
      <c r="AK2" s="173" t="str">
        <f>AK4 &amp; AK3</f>
        <v>'Credit_2013Q2'!b1</v>
      </c>
      <c r="AL2" s="173" t="str">
        <f>AL4 &amp; AL3</f>
        <v>'Credit_2013Q2'!c1</v>
      </c>
    </row>
    <row r="3" spans="1:61" ht="18" hidden="1" outlineLevel="1" x14ac:dyDescent="0.25">
      <c r="A3" s="167"/>
      <c r="E3" s="174" t="str">
        <f>"'" &amp; E2 &amp; "'!"</f>
        <v>'Reg_Percent_2012'!</v>
      </c>
      <c r="G3" s="168" t="str">
        <f>"'" &amp; G2 &amp; "'!"</f>
        <v>'Reg_Percent_2012'!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406</v>
      </c>
      <c r="AK3" s="149" t="s">
        <v>206</v>
      </c>
      <c r="AL3" s="149" t="s">
        <v>207</v>
      </c>
    </row>
    <row r="4" spans="1:61" ht="18" hidden="1" outlineLevel="1" x14ac:dyDescent="0.25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6" t="s">
        <v>410</v>
      </c>
      <c r="AK4" s="169" t="str">
        <f>AJ4</f>
        <v>'Credit_2013Q2'!</v>
      </c>
      <c r="AL4" s="169" t="str">
        <f>AK4</f>
        <v>'Credit_2013Q2'!</v>
      </c>
    </row>
    <row r="5" spans="1:61" ht="13.8" collapsed="1" x14ac:dyDescent="0.25">
      <c r="E5" s="176" t="s">
        <v>209</v>
      </c>
      <c r="G5" s="170" t="s">
        <v>199</v>
      </c>
      <c r="I5" s="230"/>
      <c r="J5" s="389" t="s">
        <v>210</v>
      </c>
      <c r="K5" s="230"/>
      <c r="L5" s="391" t="str">
        <f>"All Companies" &amp; CHAR( 10 ) &amp; "("&amp; L14 &amp; ")"</f>
        <v>All Companies
(55)</v>
      </c>
      <c r="M5" s="391"/>
      <c r="N5" s="230"/>
      <c r="O5" s="389" t="str">
        <f ca="1">"Regulated" &amp; CHAR( 10 ) &amp; "(" &amp; O14 &amp; ")"</f>
        <v>Regulated
(36)</v>
      </c>
      <c r="P5" s="393"/>
      <c r="Q5" s="230"/>
      <c r="R5" s="389" t="str">
        <f ca="1">"Mostly Regulated" &amp; CHAR( 10 ) &amp; "(" &amp; R14 &amp; ")"</f>
        <v>Mostly Regulated
(17)</v>
      </c>
      <c r="S5" s="393"/>
      <c r="T5" s="230"/>
      <c r="U5" s="389" t="str">
        <f ca="1">"Diversified" &amp; CHAR( 10 ) &amp; "(" &amp; U14 &amp; ")"</f>
        <v>Diversified
(2)</v>
      </c>
      <c r="V5" s="393"/>
      <c r="W5" s="230"/>
      <c r="AE5" s="177"/>
      <c r="AF5" s="168"/>
      <c r="AG5" s="168"/>
      <c r="AH5" s="168"/>
      <c r="AJ5" s="168"/>
      <c r="AK5" s="168"/>
      <c r="AL5" s="168"/>
      <c r="AM5" s="168"/>
      <c r="AN5" s="168"/>
    </row>
    <row r="6" spans="1:61" ht="28.5" customHeight="1" x14ac:dyDescent="0.25">
      <c r="A6" s="219" t="s">
        <v>212</v>
      </c>
      <c r="B6" s="220" t="s">
        <v>54</v>
      </c>
      <c r="C6" s="249" t="s">
        <v>214</v>
      </c>
      <c r="D6" s="221"/>
      <c r="E6" s="222">
        <v>41274</v>
      </c>
      <c r="I6" s="231"/>
      <c r="J6" s="390"/>
      <c r="K6" s="231"/>
      <c r="L6" s="392"/>
      <c r="M6" s="392"/>
      <c r="N6" s="231"/>
      <c r="O6" s="390"/>
      <c r="P6" s="390"/>
      <c r="Q6" s="231"/>
      <c r="R6" s="390" t="s">
        <v>136</v>
      </c>
      <c r="S6" s="390"/>
      <c r="T6" s="231"/>
      <c r="U6" s="390"/>
      <c r="V6" s="390"/>
      <c r="W6" s="231"/>
      <c r="AE6" s="178"/>
      <c r="AJ6" s="179"/>
    </row>
    <row r="7" spans="1:61" ht="13.8" x14ac:dyDescent="0.25">
      <c r="A7" s="223" t="s">
        <v>293</v>
      </c>
      <c r="B7" s="224" t="s">
        <v>166</v>
      </c>
      <c r="C7" s="224">
        <v>21</v>
      </c>
      <c r="D7" s="224" t="s">
        <v>294</v>
      </c>
      <c r="E7" s="225" t="str">
        <f t="shared" ref="E7:E59" ca="1" si="0">OFFSET( INDIRECT( E$3 &amp; E$4 ), $G7 - 1, 0 )</f>
        <v>R</v>
      </c>
      <c r="F7" s="348"/>
      <c r="G7" s="349">
        <f t="shared" ref="G7:G64" ca="1" si="1">IF( LEN( $D7 ) = 0, "", MATCH( $D7, INDIRECT( G$3 &amp; G$4 ), 0 ) )</f>
        <v>48</v>
      </c>
      <c r="H7" s="350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t="shared" ref="AJ7:AJ67" ca="1" si="4">MATCH( $A7,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5">IF( B7 = AK7, "", "Change" )</f>
        <v/>
      </c>
      <c r="AQ7" s="207" t="s">
        <v>217</v>
      </c>
      <c r="AR7" s="207" t="s">
        <v>140</v>
      </c>
      <c r="AS7" s="207">
        <v>19</v>
      </c>
      <c r="AT7" s="207" t="s">
        <v>218</v>
      </c>
      <c r="AV7" s="168">
        <f>IF( LEN( AS7 ) = 0, 99, RANK( AS7, $AS$7:$AS$63 ) )</f>
        <v>13</v>
      </c>
      <c r="AW7" s="168">
        <f>COUNTIF( AV7:AV$7, AV7 )</f>
        <v>1</v>
      </c>
      <c r="AX7" s="208">
        <f>AV7 + AW7 / 10</f>
        <v>13.1</v>
      </c>
      <c r="AY7" s="168">
        <f>RANK( AX7, $AX$7:$AX$63, 1 )</f>
        <v>13</v>
      </c>
      <c r="AZ7" s="169"/>
      <c r="BA7" s="169"/>
      <c r="BC7" s="168">
        <f t="shared" ref="BC7" ca="1" si="6">OFFSET( BC7, -1, 0 ) + 1</f>
        <v>1</v>
      </c>
      <c r="BD7" s="209">
        <f t="shared" ref="BD7:BD62" ca="1" si="7">MATCH( BC7, $AY$7:$AY$63, 0 )</f>
        <v>47</v>
      </c>
      <c r="BF7" s="173" t="str">
        <f t="shared" ref="BF7:BI38" ca="1" si="8">OFFSET( AQ$6, $BD7, 0 )</f>
        <v>Southern Company</v>
      </c>
      <c r="BG7" s="173" t="str">
        <f t="shared" ca="1" si="8"/>
        <v>A</v>
      </c>
      <c r="BH7" s="173">
        <f t="shared" ca="1" si="8"/>
        <v>21</v>
      </c>
      <c r="BI7" s="173" t="str">
        <f t="shared" ca="1" si="8"/>
        <v>SO</v>
      </c>
    </row>
    <row r="8" spans="1:61" ht="13.8" x14ac:dyDescent="0.25">
      <c r="A8" s="223" t="s">
        <v>219</v>
      </c>
      <c r="B8" s="224" t="s">
        <v>139</v>
      </c>
      <c r="C8" s="224">
        <v>20</v>
      </c>
      <c r="D8" s="224" t="s">
        <v>220</v>
      </c>
      <c r="E8" s="225" t="str">
        <f t="shared" ca="1" si="0"/>
        <v>R</v>
      </c>
      <c r="F8" s="348"/>
      <c r="G8" s="349">
        <f t="shared" ca="1" si="1"/>
        <v>8</v>
      </c>
      <c r="H8" s="350"/>
      <c r="I8" s="233"/>
      <c r="J8" s="213" t="s">
        <v>137</v>
      </c>
      <c r="K8" s="233"/>
      <c r="L8" s="213">
        <f t="shared" ref="L8:L13" si="9">COUNTIF($C$7:$C$67,$X8)</f>
        <v>2</v>
      </c>
      <c r="M8" s="214">
        <f t="shared" ref="M8:M13" si="10">IF( L8 = 0, "", L8/L$14 )</f>
        <v>3.6363636363636362E-2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2.7777777777777776E-2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5.8823529411764705E-2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7">SUM(O8, R8, U8)</f>
        <v>2</v>
      </c>
      <c r="AC8" s="351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ca="1" si="4"/>
        <v>8</v>
      </c>
      <c r="AK8" s="169" t="str">
        <f t="shared" ref="AK8:AL67" ca="1" si="19">IF( ISNA( $AJ8 ), "", OFFSET( INDIRECT( AK$2 ), $AJ8-1, 0 ) )</f>
        <v>A-</v>
      </c>
      <c r="AL8" s="169">
        <f t="shared" ca="1" si="19"/>
        <v>20</v>
      </c>
      <c r="AM8" s="169" t="str">
        <f t="shared" ca="1" si="5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ref="AV8:AV63" si="20">IF( LEN( AS8 ) = 0, 99, RANK( AS8, $AS$7:$AS$63 ) )</f>
        <v>2</v>
      </c>
      <c r="AW8" s="168">
        <f>COUNTIF( AV$7:AV8, AV8 )</f>
        <v>1</v>
      </c>
      <c r="AX8" s="208">
        <f t="shared" ref="AX8:AX63" si="21">AV8 + AW8 / 10</f>
        <v>2.1</v>
      </c>
      <c r="AY8" s="168">
        <f t="shared" ref="AY8:AY63" si="22">RANK( AX8, $AX$7:$AX$63, 1 )</f>
        <v>2</v>
      </c>
      <c r="AZ8" s="169"/>
      <c r="BA8" s="169"/>
      <c r="BC8" s="168">
        <f ca="1">OFFSET( BC8, -1, 0 ) + 1</f>
        <v>2</v>
      </c>
      <c r="BD8" s="209">
        <f t="shared" ca="1" si="7"/>
        <v>2</v>
      </c>
      <c r="BF8" s="173" t="str">
        <f t="shared" ca="1" si="8"/>
        <v>Alliant Energy Corporation</v>
      </c>
      <c r="BG8" s="173" t="str">
        <f t="shared" ca="1" si="8"/>
        <v>A-</v>
      </c>
      <c r="BH8" s="173">
        <f t="shared" ca="1" si="8"/>
        <v>20</v>
      </c>
      <c r="BI8" s="173" t="str">
        <f t="shared" ca="1" si="8"/>
        <v>LNT</v>
      </c>
    </row>
    <row r="9" spans="1:61" ht="13.8" x14ac:dyDescent="0.25">
      <c r="A9" s="223" t="s">
        <v>249</v>
      </c>
      <c r="B9" s="224" t="s">
        <v>139</v>
      </c>
      <c r="C9" s="224">
        <v>20</v>
      </c>
      <c r="D9" s="224" t="s">
        <v>250</v>
      </c>
      <c r="E9" s="225" t="str">
        <f t="shared" ca="1" si="0"/>
        <v>MR</v>
      </c>
      <c r="F9" s="348"/>
      <c r="G9" s="349">
        <f t="shared" ca="1" si="1"/>
        <v>13</v>
      </c>
      <c r="H9" s="350"/>
      <c r="I9" s="234"/>
      <c r="J9" s="215" t="s">
        <v>139</v>
      </c>
      <c r="K9" s="234"/>
      <c r="L9" s="215">
        <f t="shared" si="9"/>
        <v>11</v>
      </c>
      <c r="M9" s="216">
        <f t="shared" si="10"/>
        <v>0.2</v>
      </c>
      <c r="N9" s="234"/>
      <c r="O9" s="215">
        <f t="shared" ca="1" si="11"/>
        <v>6</v>
      </c>
      <c r="P9" s="216">
        <f t="shared" ca="1" si="12"/>
        <v>0.16666666666666666</v>
      </c>
      <c r="Q9" s="234"/>
      <c r="R9" s="215">
        <f t="shared" ca="1" si="13"/>
        <v>5</v>
      </c>
      <c r="S9" s="216">
        <f t="shared" ca="1" si="14"/>
        <v>0.29411764705882354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7"/>
        <v>11</v>
      </c>
      <c r="AC9" s="351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4"/>
        <v>9</v>
      </c>
      <c r="AK9" s="169" t="str">
        <f t="shared" ca="1" si="19"/>
        <v>A-</v>
      </c>
      <c r="AL9" s="169">
        <f t="shared" ca="1" si="19"/>
        <v>20</v>
      </c>
      <c r="AM9" s="169" t="str">
        <f t="shared" ca="1" si="5"/>
        <v/>
      </c>
      <c r="AQ9" s="207" t="s">
        <v>225</v>
      </c>
      <c r="AR9" s="207" t="s">
        <v>141</v>
      </c>
      <c r="AS9" s="207">
        <v>18</v>
      </c>
      <c r="AT9" s="207" t="s">
        <v>226</v>
      </c>
      <c r="AV9" s="168">
        <f t="shared" si="20"/>
        <v>25</v>
      </c>
      <c r="AW9" s="168">
        <f>COUNTIF( AV$7:AV9, AV9 )</f>
        <v>1</v>
      </c>
      <c r="AX9" s="208">
        <f t="shared" si="21"/>
        <v>25.1</v>
      </c>
      <c r="AY9" s="168">
        <f t="shared" si="22"/>
        <v>25</v>
      </c>
      <c r="AZ9" s="169"/>
      <c r="BA9" s="169"/>
      <c r="BC9" s="168">
        <f t="shared" ref="BC9:BC63" ca="1" si="23">OFFSET( BC9, -1, 0 ) + 1</f>
        <v>3</v>
      </c>
      <c r="BD9" s="209">
        <f t="shared" ca="1" si="7"/>
        <v>7</v>
      </c>
      <c r="BF9" s="173" t="str">
        <f t="shared" ca="1" si="8"/>
        <v>CenterPoint Energy, Inc.</v>
      </c>
      <c r="BG9" s="173" t="str">
        <f t="shared" ca="1" si="8"/>
        <v>A-</v>
      </c>
      <c r="BH9" s="173">
        <f t="shared" ca="1" si="8"/>
        <v>20</v>
      </c>
      <c r="BI9" s="173" t="str">
        <f t="shared" ca="1" si="8"/>
        <v>CNP</v>
      </c>
    </row>
    <row r="10" spans="1:61" ht="13.8" x14ac:dyDescent="0.25">
      <c r="A10" s="223" t="s">
        <v>227</v>
      </c>
      <c r="B10" s="224" t="s">
        <v>139</v>
      </c>
      <c r="C10" s="224">
        <v>20</v>
      </c>
      <c r="D10" s="224" t="s">
        <v>228</v>
      </c>
      <c r="E10" s="225" t="str">
        <f t="shared" ca="1" si="0"/>
        <v>R</v>
      </c>
      <c r="F10" s="348"/>
      <c r="G10" s="349">
        <f t="shared" ca="1" si="1"/>
        <v>16</v>
      </c>
      <c r="H10" s="350"/>
      <c r="I10" s="234"/>
      <c r="J10" s="215" t="s">
        <v>140</v>
      </c>
      <c r="K10" s="234"/>
      <c r="L10" s="215">
        <f t="shared" si="9"/>
        <v>12</v>
      </c>
      <c r="M10" s="216">
        <f t="shared" si="10"/>
        <v>0.21818181818181817</v>
      </c>
      <c r="N10" s="234"/>
      <c r="O10" s="215">
        <f t="shared" ca="1" si="11"/>
        <v>6</v>
      </c>
      <c r="P10" s="216">
        <f t="shared" ca="1" si="12"/>
        <v>0.16666666666666666</v>
      </c>
      <c r="Q10" s="234"/>
      <c r="R10" s="215">
        <f t="shared" ca="1" si="13"/>
        <v>5</v>
      </c>
      <c r="S10" s="216">
        <f t="shared" ca="1" si="14"/>
        <v>0.29411764705882354</v>
      </c>
      <c r="T10" s="234"/>
      <c r="U10" s="215">
        <f t="shared" ca="1" si="15"/>
        <v>1</v>
      </c>
      <c r="V10" s="216">
        <f t="shared" ca="1" si="16"/>
        <v>0.5</v>
      </c>
      <c r="W10" s="234"/>
      <c r="X10" s="186" t="s">
        <v>229</v>
      </c>
      <c r="Y10" s="186">
        <v>19</v>
      </c>
      <c r="Z10" s="186">
        <v>1</v>
      </c>
      <c r="AA10" s="185">
        <f t="shared" ca="1" si="17"/>
        <v>12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4"/>
        <v>10</v>
      </c>
      <c r="AK10" s="169" t="str">
        <f t="shared" ca="1" si="19"/>
        <v>A-</v>
      </c>
      <c r="AL10" s="169">
        <f t="shared" ca="1" si="19"/>
        <v>20</v>
      </c>
      <c r="AM10" s="169" t="str">
        <f t="shared" ca="1" si="5"/>
        <v/>
      </c>
      <c r="AQ10" s="207" t="s">
        <v>222</v>
      </c>
      <c r="AR10" s="207" t="s">
        <v>141</v>
      </c>
      <c r="AS10" s="207">
        <v>18</v>
      </c>
      <c r="AT10" s="207" t="s">
        <v>223</v>
      </c>
      <c r="AV10" s="168">
        <f t="shared" si="20"/>
        <v>25</v>
      </c>
      <c r="AW10" s="168">
        <f>COUNTIF( AV$7:AV10, AV10 )</f>
        <v>2</v>
      </c>
      <c r="AX10" s="208">
        <f t="shared" si="21"/>
        <v>25.2</v>
      </c>
      <c r="AY10" s="168">
        <f t="shared" si="22"/>
        <v>26</v>
      </c>
      <c r="AZ10" s="169"/>
      <c r="BA10" s="169"/>
      <c r="BC10" s="168">
        <f t="shared" ca="1" si="23"/>
        <v>4</v>
      </c>
      <c r="BD10" s="209">
        <f t="shared" ca="1" si="7"/>
        <v>10</v>
      </c>
      <c r="BF10" s="173" t="str">
        <f t="shared" ca="1" si="8"/>
        <v>Consolidated Edison, Inc.</v>
      </c>
      <c r="BG10" s="173" t="str">
        <f t="shared" ca="1" si="8"/>
        <v>A-</v>
      </c>
      <c r="BH10" s="173">
        <f t="shared" ca="1" si="8"/>
        <v>20</v>
      </c>
      <c r="BI10" s="173" t="str">
        <f t="shared" ca="1" si="8"/>
        <v>ED</v>
      </c>
    </row>
    <row r="11" spans="1:61" ht="13.8" x14ac:dyDescent="0.25">
      <c r="A11" s="223" t="s">
        <v>361</v>
      </c>
      <c r="B11" s="224" t="s">
        <v>139</v>
      </c>
      <c r="C11" s="224">
        <v>20</v>
      </c>
      <c r="D11" s="224" t="s">
        <v>194</v>
      </c>
      <c r="E11" s="225" t="str">
        <f t="shared" ca="1" si="0"/>
        <v>MR</v>
      </c>
      <c r="F11" s="348"/>
      <c r="G11" s="349">
        <f t="shared" ca="1" si="1"/>
        <v>17</v>
      </c>
      <c r="H11" s="350"/>
      <c r="I11" s="234"/>
      <c r="J11" s="215" t="s">
        <v>141</v>
      </c>
      <c r="K11" s="234"/>
      <c r="L11" s="215">
        <f t="shared" si="9"/>
        <v>21</v>
      </c>
      <c r="M11" s="216">
        <f t="shared" si="10"/>
        <v>0.38181818181818183</v>
      </c>
      <c r="N11" s="234"/>
      <c r="O11" s="215">
        <f t="shared" ca="1" si="11"/>
        <v>18</v>
      </c>
      <c r="P11" s="216">
        <f t="shared" ca="1" si="12"/>
        <v>0.5</v>
      </c>
      <c r="Q11" s="234"/>
      <c r="R11" s="215">
        <f t="shared" ca="1" si="13"/>
        <v>3</v>
      </c>
      <c r="S11" s="216">
        <f t="shared" ca="1" si="14"/>
        <v>0.17647058823529413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7"/>
        <v>21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4"/>
        <v>11</v>
      </c>
      <c r="AK11" s="169" t="str">
        <f t="shared" ca="1" si="19"/>
        <v>A-</v>
      </c>
      <c r="AL11" s="169">
        <f t="shared" ca="1" si="19"/>
        <v>20</v>
      </c>
      <c r="AM11" s="169" t="str">
        <f t="shared" ca="1" si="5"/>
        <v/>
      </c>
      <c r="AQ11" s="207" t="s">
        <v>238</v>
      </c>
      <c r="AR11" s="207" t="s">
        <v>141</v>
      </c>
      <c r="AS11" s="207">
        <v>18</v>
      </c>
      <c r="AT11" s="207" t="s">
        <v>239</v>
      </c>
      <c r="AV11" s="168">
        <f t="shared" si="20"/>
        <v>25</v>
      </c>
      <c r="AW11" s="168">
        <f>COUNTIF( AV$7:AV11, AV11 )</f>
        <v>3</v>
      </c>
      <c r="AX11" s="208">
        <f t="shared" si="21"/>
        <v>25.3</v>
      </c>
      <c r="AY11" s="168">
        <f t="shared" si="22"/>
        <v>27</v>
      </c>
      <c r="AZ11" s="169"/>
      <c r="BA11" s="169"/>
      <c r="BC11" s="168">
        <f t="shared" ca="1" si="23"/>
        <v>5</v>
      </c>
      <c r="BD11" s="209">
        <f t="shared" ca="1" si="7"/>
        <v>11</v>
      </c>
      <c r="BF11" s="173" t="str">
        <f t="shared" ca="1" si="8"/>
        <v>Dominion Resources, Inc.</v>
      </c>
      <c r="BG11" s="173" t="str">
        <f t="shared" ca="1" si="8"/>
        <v>A-</v>
      </c>
      <c r="BH11" s="173">
        <f t="shared" ca="1" si="8"/>
        <v>20</v>
      </c>
      <c r="BI11" s="173" t="str">
        <f t="shared" ca="1" si="8"/>
        <v>D</v>
      </c>
    </row>
    <row r="12" spans="1:61" ht="13.8" x14ac:dyDescent="0.25">
      <c r="A12" s="223" t="s">
        <v>395</v>
      </c>
      <c r="B12" s="224" t="s">
        <v>139</v>
      </c>
      <c r="C12" s="224">
        <v>20</v>
      </c>
      <c r="D12" s="224" t="s">
        <v>396</v>
      </c>
      <c r="E12" s="225" t="str">
        <f t="shared" ca="1" si="0"/>
        <v>R</v>
      </c>
      <c r="F12" s="348"/>
      <c r="G12" s="349">
        <f t="shared" ca="1" si="1"/>
        <v>29</v>
      </c>
      <c r="H12" s="350"/>
      <c r="I12" s="234"/>
      <c r="J12" s="215" t="s">
        <v>142</v>
      </c>
      <c r="K12" s="234"/>
      <c r="L12" s="215">
        <f t="shared" si="9"/>
        <v>6</v>
      </c>
      <c r="M12" s="216">
        <f t="shared" si="10"/>
        <v>0.10909090909090909</v>
      </c>
      <c r="N12" s="234"/>
      <c r="O12" s="215">
        <f t="shared" ca="1" si="11"/>
        <v>3</v>
      </c>
      <c r="P12" s="216">
        <f t="shared" ca="1" si="12"/>
        <v>8.3333333333333329E-2</v>
      </c>
      <c r="Q12" s="234"/>
      <c r="R12" s="215">
        <f t="shared" ca="1" si="13"/>
        <v>3</v>
      </c>
      <c r="S12" s="216">
        <f t="shared" ca="1" si="14"/>
        <v>0.17647058823529413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237</v>
      </c>
      <c r="Y12" s="186">
        <v>17</v>
      </c>
      <c r="Z12" s="186">
        <v>1</v>
      </c>
      <c r="AA12" s="185">
        <f t="shared" ca="1" si="17"/>
        <v>6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4"/>
        <v>12</v>
      </c>
      <c r="AK12" s="169" t="str">
        <f t="shared" ca="1" si="19"/>
        <v>A-</v>
      </c>
      <c r="AL12" s="169">
        <f t="shared" ca="1" si="19"/>
        <v>20</v>
      </c>
      <c r="AM12" s="169" t="str">
        <f t="shared" ca="1" si="5"/>
        <v/>
      </c>
      <c r="AQ12" s="207" t="s">
        <v>245</v>
      </c>
      <c r="AR12" s="207" t="s">
        <v>141</v>
      </c>
      <c r="AS12" s="207">
        <v>18</v>
      </c>
      <c r="AT12" s="207" t="s">
        <v>246</v>
      </c>
      <c r="AV12" s="168">
        <f t="shared" si="20"/>
        <v>25</v>
      </c>
      <c r="AW12" s="168">
        <f>COUNTIF( AV$7:AV12, AV12 )</f>
        <v>4</v>
      </c>
      <c r="AX12" s="208">
        <f t="shared" si="21"/>
        <v>25.4</v>
      </c>
      <c r="AY12" s="168">
        <f t="shared" si="22"/>
        <v>28</v>
      </c>
      <c r="AZ12" s="169"/>
      <c r="BA12" s="169"/>
      <c r="BC12" s="168">
        <f t="shared" ca="1" si="23"/>
        <v>6</v>
      </c>
      <c r="BD12" s="209">
        <f t="shared" ca="1" si="7"/>
        <v>26</v>
      </c>
      <c r="BF12" s="173" t="str">
        <f t="shared" ca="1" si="8"/>
        <v>Integrys Energy Group, Inc.</v>
      </c>
      <c r="BG12" s="173" t="str">
        <f t="shared" ca="1" si="8"/>
        <v>A-</v>
      </c>
      <c r="BH12" s="173">
        <f t="shared" ca="1" si="8"/>
        <v>20</v>
      </c>
      <c r="BI12" s="173" t="str">
        <f t="shared" ca="1" si="8"/>
        <v>TEG</v>
      </c>
    </row>
    <row r="13" spans="1:61" ht="13.8" x14ac:dyDescent="0.25">
      <c r="A13" s="223" t="s">
        <v>240</v>
      </c>
      <c r="B13" s="224" t="s">
        <v>139</v>
      </c>
      <c r="C13" s="224">
        <v>20</v>
      </c>
      <c r="D13" s="224" t="s">
        <v>241</v>
      </c>
      <c r="E13" s="225" t="str">
        <f t="shared" ca="1" si="0"/>
        <v>MR</v>
      </c>
      <c r="F13" s="348"/>
      <c r="G13" s="349">
        <f t="shared" ca="1" si="1"/>
        <v>32</v>
      </c>
      <c r="H13" s="350"/>
      <c r="I13" s="235"/>
      <c r="J13" s="217" t="s">
        <v>143</v>
      </c>
      <c r="K13" s="235"/>
      <c r="L13" s="217">
        <f t="shared" si="9"/>
        <v>3</v>
      </c>
      <c r="M13" s="218">
        <f t="shared" si="10"/>
        <v>5.4545454545454543E-2</v>
      </c>
      <c r="N13" s="235"/>
      <c r="O13" s="217">
        <f t="shared" ca="1" si="11"/>
        <v>2</v>
      </c>
      <c r="P13" s="218">
        <f t="shared" ca="1" si="12"/>
        <v>5.5555555555555552E-2</v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1</v>
      </c>
      <c r="V13" s="218">
        <f t="shared" ca="1" si="16"/>
        <v>0.5</v>
      </c>
      <c r="W13" s="235"/>
      <c r="X13" s="186" t="s">
        <v>242</v>
      </c>
      <c r="Y13" s="186">
        <v>16</v>
      </c>
      <c r="Z13" s="186">
        <v>1</v>
      </c>
      <c r="AA13" s="188">
        <f t="shared" ca="1" si="17"/>
        <v>3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4"/>
        <v>13</v>
      </c>
      <c r="AK13" s="169" t="str">
        <f t="shared" ca="1" si="19"/>
        <v>A-</v>
      </c>
      <c r="AL13" s="169">
        <f t="shared" ca="1" si="19"/>
        <v>20</v>
      </c>
      <c r="AM13" s="169" t="str">
        <f t="shared" ca="1" si="5"/>
        <v/>
      </c>
      <c r="AQ13" s="207" t="s">
        <v>249</v>
      </c>
      <c r="AR13" s="207" t="s">
        <v>139</v>
      </c>
      <c r="AS13" s="207">
        <v>20</v>
      </c>
      <c r="AT13" s="207" t="s">
        <v>250</v>
      </c>
      <c r="AV13" s="168">
        <f t="shared" si="20"/>
        <v>2</v>
      </c>
      <c r="AW13" s="168">
        <f>COUNTIF( AV$7:AV13, AV13 )</f>
        <v>2</v>
      </c>
      <c r="AX13" s="208">
        <f t="shared" si="21"/>
        <v>2.2000000000000002</v>
      </c>
      <c r="AY13" s="168">
        <f t="shared" si="22"/>
        <v>3</v>
      </c>
      <c r="AZ13" s="169"/>
      <c r="BA13" s="169"/>
      <c r="BC13" s="168">
        <f t="shared" ca="1" si="23"/>
        <v>7</v>
      </c>
      <c r="BD13" s="209">
        <f t="shared" ca="1" si="7"/>
        <v>30</v>
      </c>
      <c r="BF13" s="173" t="str">
        <f t="shared" ca="1" si="8"/>
        <v>NextEra Energy, Inc.</v>
      </c>
      <c r="BG13" s="173" t="str">
        <f t="shared" ca="1" si="8"/>
        <v>A-</v>
      </c>
      <c r="BH13" s="173">
        <f t="shared" ca="1" si="8"/>
        <v>20</v>
      </c>
      <c r="BI13" s="173" t="str">
        <f t="shared" ca="1" si="8"/>
        <v>NEE</v>
      </c>
    </row>
    <row r="14" spans="1:61" ht="13.8" x14ac:dyDescent="0.25">
      <c r="A14" s="223" t="s">
        <v>394</v>
      </c>
      <c r="B14" s="224" t="s">
        <v>139</v>
      </c>
      <c r="C14" s="224">
        <v>20</v>
      </c>
      <c r="D14" s="224" t="s">
        <v>236</v>
      </c>
      <c r="E14" s="225" t="str">
        <f t="shared" ca="1" si="0"/>
        <v>R</v>
      </c>
      <c r="F14" s="348"/>
      <c r="G14" s="349">
        <f t="shared" ca="1" si="1"/>
        <v>34</v>
      </c>
      <c r="H14" s="350"/>
      <c r="I14" s="236"/>
      <c r="J14" s="211" t="s">
        <v>144</v>
      </c>
      <c r="K14" s="236"/>
      <c r="L14" s="211">
        <f>SUM(L8:L13)</f>
        <v>55</v>
      </c>
      <c r="M14" s="212">
        <f>L14/L$14</f>
        <v>1</v>
      </c>
      <c r="N14" s="236"/>
      <c r="O14" s="211">
        <f ca="1">SUM(O8:O13)</f>
        <v>36</v>
      </c>
      <c r="P14" s="212">
        <f ca="1">O14/O$14</f>
        <v>1</v>
      </c>
      <c r="Q14" s="236"/>
      <c r="R14" s="211">
        <f ca="1">SUM(R8:R13)</f>
        <v>17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18.509090909090908</v>
      </c>
      <c r="Z14" s="190"/>
      <c r="AA14" s="189">
        <f ca="1">SUM(AA8:AA13)</f>
        <v>55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4"/>
        <v>14</v>
      </c>
      <c r="AK14" s="169" t="str">
        <f t="shared" ca="1" si="19"/>
        <v>A-</v>
      </c>
      <c r="AL14" s="169">
        <f t="shared" ca="1" si="19"/>
        <v>20</v>
      </c>
      <c r="AM14" s="169" t="str">
        <f t="shared" ca="1" si="5"/>
        <v/>
      </c>
      <c r="AQ14" s="207" t="s">
        <v>254</v>
      </c>
      <c r="AR14" s="207" t="s">
        <v>140</v>
      </c>
      <c r="AS14" s="207">
        <v>19</v>
      </c>
      <c r="AT14" s="207" t="s">
        <v>378</v>
      </c>
      <c r="AV14" s="168">
        <f>IF( LEN( AS14 ) = 0, 99, RANK( AS14, $AS$7:$AS$63 ) )</f>
        <v>13</v>
      </c>
      <c r="AW14" s="168">
        <f>COUNTIF( AV$7:AV14, AV14 )</f>
        <v>2</v>
      </c>
      <c r="AX14" s="208">
        <f t="shared" si="21"/>
        <v>13.2</v>
      </c>
      <c r="AY14" s="168">
        <f t="shared" si="22"/>
        <v>14</v>
      </c>
      <c r="AZ14" s="169"/>
      <c r="BA14" s="169"/>
      <c r="BC14" s="168">
        <f t="shared" ca="1" si="23"/>
        <v>8</v>
      </c>
      <c r="BD14" s="209">
        <f t="shared" ca="1" si="7"/>
        <v>32</v>
      </c>
      <c r="BF14" s="173" t="str">
        <f t="shared" ca="1" si="8"/>
        <v>Eversource</v>
      </c>
      <c r="BG14" s="173" t="str">
        <f t="shared" ca="1" si="8"/>
        <v>A-</v>
      </c>
      <c r="BH14" s="173">
        <f t="shared" ca="1" si="8"/>
        <v>20</v>
      </c>
      <c r="BI14" s="173" t="str">
        <f t="shared" ca="1" si="8"/>
        <v>ES</v>
      </c>
    </row>
    <row r="15" spans="1:61" ht="13.8" x14ac:dyDescent="0.25">
      <c r="A15" s="223" t="s">
        <v>277</v>
      </c>
      <c r="B15" s="224" t="s">
        <v>139</v>
      </c>
      <c r="C15" s="224">
        <v>20</v>
      </c>
      <c r="D15" s="224" t="s">
        <v>278</v>
      </c>
      <c r="E15" s="225" t="str">
        <f t="shared" ca="1" si="0"/>
        <v>MR</v>
      </c>
      <c r="F15" s="348"/>
      <c r="G15" s="349">
        <f t="shared" ca="1" si="1"/>
        <v>37</v>
      </c>
      <c r="H15" s="350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4"/>
        <v>15</v>
      </c>
      <c r="AK15" s="169" t="str">
        <f t="shared" ca="1" si="19"/>
        <v>A-</v>
      </c>
      <c r="AL15" s="169">
        <f t="shared" ca="1" si="19"/>
        <v>20</v>
      </c>
      <c r="AM15" s="169" t="str">
        <f t="shared" ca="1" si="5"/>
        <v/>
      </c>
      <c r="AQ15" s="207" t="s">
        <v>256</v>
      </c>
      <c r="AR15" s="207" t="s">
        <v>141</v>
      </c>
      <c r="AS15" s="207">
        <v>18</v>
      </c>
      <c r="AT15" s="207" t="s">
        <v>257</v>
      </c>
      <c r="AV15" s="168">
        <f t="shared" si="20"/>
        <v>25</v>
      </c>
      <c r="AW15" s="168">
        <f>COUNTIF( AV$7:AV15, AV15 )</f>
        <v>5</v>
      </c>
      <c r="AX15" s="208">
        <f t="shared" si="21"/>
        <v>25.5</v>
      </c>
      <c r="AY15" s="168">
        <f t="shared" si="22"/>
        <v>29</v>
      </c>
      <c r="AZ15" s="169"/>
      <c r="BA15" s="169"/>
      <c r="BC15" s="168">
        <f t="shared" ca="1" si="23"/>
        <v>9</v>
      </c>
      <c r="BD15" s="209">
        <f t="shared" ca="1" si="7"/>
        <v>35</v>
      </c>
      <c r="BF15" s="173" t="str">
        <f t="shared" ca="1" si="8"/>
        <v>OGE Energy Corp.</v>
      </c>
      <c r="BG15" s="173" t="str">
        <f t="shared" ca="1" si="8"/>
        <v>A-</v>
      </c>
      <c r="BH15" s="173">
        <f t="shared" ca="1" si="8"/>
        <v>20</v>
      </c>
      <c r="BI15" s="173" t="str">
        <f t="shared" ca="1" si="8"/>
        <v>OGE</v>
      </c>
    </row>
    <row r="16" spans="1:61" ht="13.8" x14ac:dyDescent="0.25">
      <c r="A16" s="223" t="s">
        <v>345</v>
      </c>
      <c r="B16" s="224" t="s">
        <v>139</v>
      </c>
      <c r="C16" s="224">
        <v>20</v>
      </c>
      <c r="D16" s="224" t="s">
        <v>346</v>
      </c>
      <c r="E16" s="225" t="str">
        <f t="shared" ca="1" si="0"/>
        <v>MR</v>
      </c>
      <c r="F16" s="348"/>
      <c r="G16" s="349">
        <f t="shared" ca="1" si="1"/>
        <v>53</v>
      </c>
      <c r="H16" s="350"/>
      <c r="I16" s="232"/>
      <c r="J16" s="210" t="s">
        <v>253</v>
      </c>
      <c r="K16" s="232"/>
      <c r="L16" s="386">
        <f t="array" ref="L16">SUM( IF( LEN( $C$7:$C$65 ) = 0, 0, $C$7:$C$65 ) ) / SUM( IF( LEN( $C$7:$C$65 ) = 0, 0, 1  ) )</f>
        <v>18.399999999999999</v>
      </c>
      <c r="M16" s="387"/>
      <c r="N16" s="232"/>
      <c r="O16" s="386">
        <f t="array" aca="1" ref="O16" ca="1">SUM( IF( LEN( $C$7:$C$65 ) = 0, 0, IF( $E$7:$E$65 = O3, $C$7:$C$65, 0 ) ) ) / SUM( IF( LEN( $C$7:$C$65 ) = 0, 0, IF( $E$7:$E$65 = O3, 1, 0 ) ) )</f>
        <v>18.361111111111111</v>
      </c>
      <c r="P16" s="387"/>
      <c r="Q16" s="232"/>
      <c r="R16" s="386">
        <f t="array" aca="1" ref="R16" ca="1">SUM( IF( LEN( $C$7:$C$65 ) = 0, 0, IF( $E$7:$E$65 = R3, $C$7:$C$65, 0 ) ) ) / SUM( IF( LEN( $C$7:$C$65 ) = 0, 0, IF( $E$7:$E$65 = R3, 1, 0 ) ) )</f>
        <v>19</v>
      </c>
      <c r="S16" s="387"/>
      <c r="T16" s="232"/>
      <c r="U16" s="386">
        <f t="array" aca="1" ref="U16" ca="1">SUM( IF( LEN( $C$7:$C$65 ) = 0, 0, IF( $E$7:$E$65 = U3, $C$7:$C$65, 0 ) ) ) / SUM( IF( LEN( $C$7:$C$65 ) = 0, 0, IF( $E$7:$E$65 = U3, 1, 0 ) ) )</f>
        <v>14</v>
      </c>
      <c r="V16" s="388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4"/>
        <v>16</v>
      </c>
      <c r="AK16" s="169" t="str">
        <f t="shared" ca="1" si="19"/>
        <v>A-</v>
      </c>
      <c r="AL16" s="169">
        <f t="shared" ca="1" si="19"/>
        <v>20</v>
      </c>
      <c r="AM16" s="169" t="str">
        <f t="shared" ca="1" si="5"/>
        <v/>
      </c>
      <c r="AQ16" s="207" t="s">
        <v>227</v>
      </c>
      <c r="AR16" s="207" t="s">
        <v>139</v>
      </c>
      <c r="AS16" s="207">
        <v>20</v>
      </c>
      <c r="AT16" s="207" t="s">
        <v>228</v>
      </c>
      <c r="AV16" s="168">
        <f t="shared" si="20"/>
        <v>2</v>
      </c>
      <c r="AW16" s="168">
        <f>COUNTIF( AV$7:AV16, AV16 )</f>
        <v>3</v>
      </c>
      <c r="AX16" s="208">
        <f t="shared" si="21"/>
        <v>2.2999999999999998</v>
      </c>
      <c r="AY16" s="168">
        <f t="shared" si="22"/>
        <v>4</v>
      </c>
      <c r="AZ16" s="169"/>
      <c r="BA16" s="169"/>
      <c r="BC16" s="168">
        <f t="shared" ca="1" si="23"/>
        <v>10</v>
      </c>
      <c r="BD16" s="209">
        <f t="shared" ca="1" si="7"/>
        <v>50</v>
      </c>
      <c r="BF16" s="173" t="str">
        <f t="shared" ca="1" si="8"/>
        <v>Vectren Corporation</v>
      </c>
      <c r="BG16" s="173" t="str">
        <f t="shared" ca="1" si="8"/>
        <v>A-</v>
      </c>
      <c r="BH16" s="173">
        <f t="shared" ca="1" si="8"/>
        <v>20</v>
      </c>
      <c r="BI16" s="173" t="str">
        <f t="shared" ca="1" si="8"/>
        <v>VVC</v>
      </c>
    </row>
    <row r="17" spans="1:61" ht="13.8" x14ac:dyDescent="0.25">
      <c r="A17" s="223" t="s">
        <v>247</v>
      </c>
      <c r="B17" s="224" t="s">
        <v>139</v>
      </c>
      <c r="C17" s="224">
        <v>20</v>
      </c>
      <c r="D17" s="224" t="s">
        <v>248</v>
      </c>
      <c r="E17" s="225" t="str">
        <f t="shared" ca="1" si="0"/>
        <v>R</v>
      </c>
      <c r="F17" s="348"/>
      <c r="G17" s="349">
        <f t="shared" ca="1" si="1"/>
        <v>55</v>
      </c>
      <c r="H17" s="350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4"/>
        <v>17</v>
      </c>
      <c r="AK17" s="169" t="str">
        <f t="shared" ca="1" si="19"/>
        <v>A-</v>
      </c>
      <c r="AL17" s="169">
        <f t="shared" ca="1" si="19"/>
        <v>20</v>
      </c>
      <c r="AM17" s="169" t="str">
        <f t="shared" ca="1" si="5"/>
        <v/>
      </c>
      <c r="AQ17" s="207" t="s">
        <v>361</v>
      </c>
      <c r="AR17" s="207" t="s">
        <v>139</v>
      </c>
      <c r="AS17" s="207">
        <v>20</v>
      </c>
      <c r="AT17" s="207" t="s">
        <v>194</v>
      </c>
      <c r="AV17" s="168">
        <f t="shared" si="20"/>
        <v>2</v>
      </c>
      <c r="AW17" s="168">
        <f>COUNTIF( AV$7:AV17, AV17 )</f>
        <v>4</v>
      </c>
      <c r="AX17" s="208">
        <f t="shared" si="21"/>
        <v>2.4</v>
      </c>
      <c r="AY17" s="168">
        <f t="shared" si="22"/>
        <v>5</v>
      </c>
      <c r="AZ17" s="169"/>
      <c r="BA17" s="169"/>
      <c r="BC17" s="168">
        <f t="shared" ca="1" si="23"/>
        <v>11</v>
      </c>
      <c r="BD17" s="209">
        <f t="shared" ca="1" si="7"/>
        <v>52</v>
      </c>
      <c r="BF17" s="173" t="str">
        <f t="shared" ca="1" si="8"/>
        <v>Wisconsin Energy Corporation</v>
      </c>
      <c r="BG17" s="173" t="str">
        <f t="shared" ca="1" si="8"/>
        <v>A-</v>
      </c>
      <c r="BH17" s="173">
        <f t="shared" ca="1" si="8"/>
        <v>20</v>
      </c>
      <c r="BI17" s="173" t="str">
        <f t="shared" ca="1" si="8"/>
        <v>WEC</v>
      </c>
    </row>
    <row r="18" spans="1:61" ht="13.8" x14ac:dyDescent="0.25">
      <c r="A18" s="223" t="s">
        <v>251</v>
      </c>
      <c r="B18" s="224" t="s">
        <v>139</v>
      </c>
      <c r="C18" s="224">
        <v>20</v>
      </c>
      <c r="D18" s="224" t="s">
        <v>252</v>
      </c>
      <c r="E18" s="225" t="str">
        <f t="shared" ca="1" si="0"/>
        <v>R</v>
      </c>
      <c r="F18" s="348"/>
      <c r="G18" s="349">
        <f t="shared" ca="1" si="1"/>
        <v>56</v>
      </c>
      <c r="H18" s="350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4"/>
        <v>18</v>
      </c>
      <c r="AK18" s="169" t="str">
        <f t="shared" ca="1" si="19"/>
        <v>A-</v>
      </c>
      <c r="AL18" s="169">
        <f t="shared" ca="1" si="19"/>
        <v>20</v>
      </c>
      <c r="AM18" s="169" t="str">
        <f t="shared" ca="1" si="5"/>
        <v/>
      </c>
      <c r="AQ18" s="207" t="s">
        <v>259</v>
      </c>
      <c r="AR18" s="207" t="s">
        <v>175</v>
      </c>
      <c r="AS18" s="207">
        <v>15</v>
      </c>
      <c r="AT18" s="207" t="s">
        <v>260</v>
      </c>
      <c r="AV18" s="168">
        <f t="shared" si="20"/>
        <v>52</v>
      </c>
      <c r="AW18" s="168">
        <f>COUNTIF( AV$7:AV18, AV18 )</f>
        <v>1</v>
      </c>
      <c r="AX18" s="208">
        <f t="shared" si="21"/>
        <v>52.1</v>
      </c>
      <c r="AY18" s="168">
        <f t="shared" si="22"/>
        <v>52</v>
      </c>
      <c r="AZ18" s="169"/>
      <c r="BA18" s="169"/>
      <c r="BC18" s="168">
        <f t="shared" ca="1" si="23"/>
        <v>12</v>
      </c>
      <c r="BD18" s="209">
        <f t="shared" ca="1" si="7"/>
        <v>53</v>
      </c>
      <c r="BF18" s="173" t="str">
        <f t="shared" ca="1" si="8"/>
        <v>Xcel Energy Inc.</v>
      </c>
      <c r="BG18" s="173" t="str">
        <f t="shared" ca="1" si="8"/>
        <v>A-</v>
      </c>
      <c r="BH18" s="173">
        <f t="shared" ca="1" si="8"/>
        <v>20</v>
      </c>
      <c r="BI18" s="173" t="str">
        <f t="shared" ca="1" si="8"/>
        <v>XEL</v>
      </c>
    </row>
    <row r="19" spans="1:61" ht="13.8" x14ac:dyDescent="0.25">
      <c r="A19" s="223" t="s">
        <v>217</v>
      </c>
      <c r="B19" s="224" t="s">
        <v>140</v>
      </c>
      <c r="C19" s="224">
        <v>19</v>
      </c>
      <c r="D19" s="224" t="s">
        <v>218</v>
      </c>
      <c r="E19" s="225" t="str">
        <f t="shared" ca="1" si="0"/>
        <v>R</v>
      </c>
      <c r="F19" s="348"/>
      <c r="G19" s="349">
        <f t="shared" ca="1" si="1"/>
        <v>7</v>
      </c>
      <c r="H19" s="350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8"/>
        <v/>
      </c>
      <c r="AJ19" s="169">
        <f t="shared" ca="1" si="4"/>
        <v>19</v>
      </c>
      <c r="AK19" s="169" t="str">
        <f t="shared" ca="1" si="19"/>
        <v>BBB+</v>
      </c>
      <c r="AL19" s="169">
        <f t="shared" ca="1" si="19"/>
        <v>19</v>
      </c>
      <c r="AM19" s="169" t="str">
        <f t="shared" ca="1" si="5"/>
        <v/>
      </c>
      <c r="AQ19" s="207" t="s">
        <v>261</v>
      </c>
      <c r="AR19" s="207" t="s">
        <v>140</v>
      </c>
      <c r="AS19" s="207">
        <v>19</v>
      </c>
      <c r="AT19" s="207" t="s">
        <v>262</v>
      </c>
      <c r="AV19" s="168">
        <f t="shared" si="20"/>
        <v>13</v>
      </c>
      <c r="AW19" s="168">
        <f>COUNTIF( AV$7:AV19, AV19 )</f>
        <v>3</v>
      </c>
      <c r="AX19" s="208">
        <f t="shared" si="21"/>
        <v>13.3</v>
      </c>
      <c r="AY19" s="168">
        <f t="shared" si="22"/>
        <v>15</v>
      </c>
      <c r="AZ19" s="169"/>
      <c r="BA19" s="169"/>
      <c r="BC19" s="168">
        <f t="shared" ca="1" si="23"/>
        <v>13</v>
      </c>
      <c r="BD19" s="209">
        <f t="shared" ca="1" si="7"/>
        <v>1</v>
      </c>
      <c r="BF19" s="173" t="str">
        <f t="shared" ca="1" si="8"/>
        <v>ALLETE, Inc.</v>
      </c>
      <c r="BG19" s="173" t="str">
        <f t="shared" ca="1" si="8"/>
        <v>BBB+</v>
      </c>
      <c r="BH19" s="173">
        <f t="shared" ca="1" si="8"/>
        <v>19</v>
      </c>
      <c r="BI19" s="173" t="str">
        <f t="shared" ca="1" si="8"/>
        <v>ALE</v>
      </c>
    </row>
    <row r="20" spans="1:61" ht="13.8" x14ac:dyDescent="0.25">
      <c r="A20" s="223" t="s">
        <v>254</v>
      </c>
      <c r="B20" s="224" t="s">
        <v>140</v>
      </c>
      <c r="C20" s="224">
        <v>19</v>
      </c>
      <c r="D20" s="224" t="s">
        <v>378</v>
      </c>
      <c r="E20" s="225" t="str">
        <f t="shared" ca="1" si="0"/>
        <v>R</v>
      </c>
      <c r="F20" s="348"/>
      <c r="G20" s="349">
        <f t="shared" ca="1" si="1"/>
        <v>14</v>
      </c>
      <c r="H20" s="350"/>
      <c r="I20" s="352"/>
      <c r="K20" s="352"/>
      <c r="N20" s="352"/>
      <c r="O20" s="173"/>
      <c r="Q20" s="352"/>
      <c r="T20" s="352"/>
      <c r="W20" s="352"/>
      <c r="AE20" s="184"/>
      <c r="AF20" s="169">
        <f t="shared" si="2"/>
        <v>1</v>
      </c>
      <c r="AG20" s="169">
        <f t="shared" ca="1" si="3"/>
        <v>1</v>
      </c>
      <c r="AH20" s="169" t="str">
        <f t="shared" ca="1" si="18"/>
        <v/>
      </c>
      <c r="AJ20" s="169">
        <f t="shared" ca="1" si="4"/>
        <v>33</v>
      </c>
      <c r="AK20" s="169" t="str">
        <f t="shared" ca="1" si="19"/>
        <v>BBB</v>
      </c>
      <c r="AL20" s="169">
        <f t="shared" ca="1" si="19"/>
        <v>18</v>
      </c>
      <c r="AM20" s="169" t="str">
        <f t="shared" ca="1" si="5"/>
        <v>Change</v>
      </c>
      <c r="AQ20" s="207" t="s">
        <v>263</v>
      </c>
      <c r="AR20" s="207" t="s">
        <v>140</v>
      </c>
      <c r="AS20" s="207">
        <v>19</v>
      </c>
      <c r="AT20" s="207" t="s">
        <v>264</v>
      </c>
      <c r="AV20" s="168">
        <f t="shared" si="20"/>
        <v>13</v>
      </c>
      <c r="AW20" s="168">
        <f>COUNTIF( AV$7:AV20, AV20 )</f>
        <v>4</v>
      </c>
      <c r="AX20" s="208">
        <f t="shared" si="21"/>
        <v>13.4</v>
      </c>
      <c r="AY20" s="168">
        <f t="shared" si="22"/>
        <v>16</v>
      </c>
      <c r="AZ20" s="169"/>
      <c r="BA20" s="169"/>
      <c r="BC20" s="168">
        <f t="shared" ca="1" si="23"/>
        <v>14</v>
      </c>
      <c r="BD20" s="209">
        <f t="shared" ca="1" si="7"/>
        <v>8</v>
      </c>
      <c r="BF20" s="173" t="str">
        <f t="shared" ca="1" si="8"/>
        <v>Cleco Corporation</v>
      </c>
      <c r="BG20" s="173" t="str">
        <f t="shared" ca="1" si="8"/>
        <v>BBB+</v>
      </c>
      <c r="BH20" s="173">
        <f t="shared" ca="1" si="8"/>
        <v>19</v>
      </c>
      <c r="BI20" s="173" t="str">
        <f t="shared" ca="1" si="8"/>
        <v>CNL</v>
      </c>
    </row>
    <row r="21" spans="1:61" ht="13.8" x14ac:dyDescent="0.25">
      <c r="A21" s="223" t="s">
        <v>261</v>
      </c>
      <c r="B21" s="224" t="s">
        <v>140</v>
      </c>
      <c r="C21" s="224">
        <v>19</v>
      </c>
      <c r="D21" s="224" t="s">
        <v>262</v>
      </c>
      <c r="E21" s="225" t="str">
        <f t="shared" ca="1" si="0"/>
        <v>R</v>
      </c>
      <c r="F21" s="348"/>
      <c r="G21" s="349">
        <f t="shared" ca="1" si="1"/>
        <v>18</v>
      </c>
      <c r="H21" s="350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4"/>
        <v>20</v>
      </c>
      <c r="AK21" s="169" t="str">
        <f t="shared" ca="1" si="19"/>
        <v>BBB+</v>
      </c>
      <c r="AL21" s="169">
        <f t="shared" ca="1" si="19"/>
        <v>19</v>
      </c>
      <c r="AM21" s="169" t="str">
        <f t="shared" ca="1" si="5"/>
        <v/>
      </c>
      <c r="AQ21" s="207" t="s">
        <v>265</v>
      </c>
      <c r="AR21" s="207" t="s">
        <v>142</v>
      </c>
      <c r="AS21" s="207">
        <v>17</v>
      </c>
      <c r="AT21" s="207" t="s">
        <v>266</v>
      </c>
      <c r="AV21" s="168">
        <f t="shared" si="20"/>
        <v>45</v>
      </c>
      <c r="AW21" s="168">
        <f>COUNTIF( AV$7:AV21, AV21 )</f>
        <v>1</v>
      </c>
      <c r="AX21" s="208">
        <f t="shared" si="21"/>
        <v>45.1</v>
      </c>
      <c r="AY21" s="168">
        <f t="shared" si="22"/>
        <v>45</v>
      </c>
      <c r="AZ21" s="169"/>
      <c r="BA21" s="169"/>
      <c r="BC21" s="168">
        <f t="shared" ca="1" si="23"/>
        <v>15</v>
      </c>
      <c r="BD21" s="209">
        <f t="shared" ca="1" si="7"/>
        <v>13</v>
      </c>
      <c r="BF21" s="173" t="str">
        <f t="shared" ca="1" si="8"/>
        <v>DTE Energy Company</v>
      </c>
      <c r="BG21" s="173" t="str">
        <f t="shared" ca="1" si="8"/>
        <v>BBB+</v>
      </c>
      <c r="BH21" s="173">
        <f t="shared" ca="1" si="8"/>
        <v>19</v>
      </c>
      <c r="BI21" s="173" t="str">
        <f t="shared" ca="1" si="8"/>
        <v>DTE</v>
      </c>
    </row>
    <row r="22" spans="1:61" ht="13.8" x14ac:dyDescent="0.25">
      <c r="A22" s="223" t="s">
        <v>263</v>
      </c>
      <c r="B22" s="224" t="s">
        <v>140</v>
      </c>
      <c r="C22" s="224">
        <v>19</v>
      </c>
      <c r="D22" s="224" t="s">
        <v>264</v>
      </c>
      <c r="E22" s="225" t="str">
        <f t="shared" ca="1" si="0"/>
        <v>R</v>
      </c>
      <c r="F22" s="348"/>
      <c r="G22" s="349">
        <f t="shared" ca="1" si="1"/>
        <v>19</v>
      </c>
      <c r="H22" s="350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4"/>
        <v>21</v>
      </c>
      <c r="AK22" s="169" t="str">
        <f t="shared" ca="1" si="19"/>
        <v>BBB+</v>
      </c>
      <c r="AL22" s="169">
        <f t="shared" ca="1" si="19"/>
        <v>19</v>
      </c>
      <c r="AM22" s="169" t="str">
        <f t="shared" ca="1" si="5"/>
        <v/>
      </c>
      <c r="AQ22" s="207" t="s">
        <v>328</v>
      </c>
      <c r="AR22" s="207" t="s">
        <v>141</v>
      </c>
      <c r="AS22" s="207">
        <v>18</v>
      </c>
      <c r="AT22" s="207" t="s">
        <v>331</v>
      </c>
      <c r="AV22" s="168">
        <f t="shared" si="20"/>
        <v>25</v>
      </c>
      <c r="AW22" s="168">
        <f>COUNTIF( AV$7:AV22, AV22 )</f>
        <v>6</v>
      </c>
      <c r="AX22" s="208">
        <f t="shared" si="21"/>
        <v>25.6</v>
      </c>
      <c r="AY22" s="168">
        <f t="shared" si="22"/>
        <v>30</v>
      </c>
      <c r="AZ22" s="169"/>
      <c r="BA22" s="169"/>
      <c r="BC22" s="168">
        <f t="shared" ca="1" si="23"/>
        <v>16</v>
      </c>
      <c r="BD22" s="209">
        <f t="shared" ca="1" si="7"/>
        <v>14</v>
      </c>
      <c r="BF22" s="173" t="str">
        <f t="shared" ca="1" si="8"/>
        <v>Duke Energy Corporation</v>
      </c>
      <c r="BG22" s="173" t="str">
        <f t="shared" ca="1" si="8"/>
        <v>BBB+</v>
      </c>
      <c r="BH22" s="173">
        <f t="shared" ca="1" si="8"/>
        <v>19</v>
      </c>
      <c r="BI22" s="173" t="str">
        <f t="shared" ca="1" si="8"/>
        <v>DUK</v>
      </c>
    </row>
    <row r="23" spans="1:61" ht="13.8" x14ac:dyDescent="0.25">
      <c r="A23" s="223" t="s">
        <v>271</v>
      </c>
      <c r="B23" s="224" t="s">
        <v>140</v>
      </c>
      <c r="C23" s="224">
        <v>19</v>
      </c>
      <c r="D23" s="224" t="s">
        <v>272</v>
      </c>
      <c r="E23" s="225" t="str">
        <f t="shared" ca="1" si="0"/>
        <v>D</v>
      </c>
      <c r="F23" s="348"/>
      <c r="G23" s="349">
        <f t="shared" ca="1" si="1"/>
        <v>30</v>
      </c>
      <c r="H23" s="350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4"/>
        <v>22</v>
      </c>
      <c r="AK23" s="169" t="str">
        <f t="shared" ca="1" si="19"/>
        <v>BBB+</v>
      </c>
      <c r="AL23" s="169">
        <f t="shared" ca="1" si="19"/>
        <v>19</v>
      </c>
      <c r="AM23" s="169" t="str">
        <f t="shared" ca="1" si="5"/>
        <v/>
      </c>
      <c r="AQ23" s="207" t="s">
        <v>367</v>
      </c>
      <c r="AR23" s="207" t="s">
        <v>141</v>
      </c>
      <c r="AS23" s="207">
        <v>18</v>
      </c>
      <c r="AT23" s="207" t="s">
        <v>368</v>
      </c>
      <c r="AV23" s="168">
        <f t="shared" si="20"/>
        <v>25</v>
      </c>
      <c r="AW23" s="168">
        <f>COUNTIF( AV$7:AV23, AV23 )</f>
        <v>7</v>
      </c>
      <c r="AX23" s="208">
        <f t="shared" si="21"/>
        <v>25.7</v>
      </c>
      <c r="AY23" s="168">
        <f t="shared" si="22"/>
        <v>31</v>
      </c>
      <c r="AZ23" s="169"/>
      <c r="BA23" s="169"/>
      <c r="BC23" s="168">
        <f t="shared" ca="1" si="23"/>
        <v>17</v>
      </c>
      <c r="BD23" s="209">
        <f t="shared" ca="1" si="7"/>
        <v>28</v>
      </c>
      <c r="BF23" s="173" t="str">
        <f t="shared" ca="1" si="8"/>
        <v>MDU Resources Group, Inc.</v>
      </c>
      <c r="BG23" s="173" t="str">
        <f t="shared" ca="1" si="8"/>
        <v>BBB+</v>
      </c>
      <c r="BH23" s="173">
        <f t="shared" ca="1" si="8"/>
        <v>19</v>
      </c>
      <c r="BI23" s="173" t="str">
        <f t="shared" ca="1" si="8"/>
        <v>MDU</v>
      </c>
    </row>
    <row r="24" spans="1:61" ht="13.8" x14ac:dyDescent="0.25">
      <c r="A24" s="223" t="s">
        <v>408</v>
      </c>
      <c r="B24" s="224" t="s">
        <v>140</v>
      </c>
      <c r="C24" s="224">
        <v>19</v>
      </c>
      <c r="D24" s="224" t="s">
        <v>216</v>
      </c>
      <c r="E24" s="225" t="str">
        <f t="shared" ca="1" si="0"/>
        <v>MR</v>
      </c>
      <c r="F24" s="348"/>
      <c r="G24" s="349">
        <f t="shared" ca="1" si="1"/>
        <v>62</v>
      </c>
      <c r="H24" s="350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4"/>
        <v>23</v>
      </c>
      <c r="AK24" s="169" t="str">
        <f t="shared" ca="1" si="19"/>
        <v>BBB+</v>
      </c>
      <c r="AL24" s="169">
        <f t="shared" ca="1" si="19"/>
        <v>19</v>
      </c>
      <c r="AM24" s="169" t="str">
        <f t="shared" ca="1" si="5"/>
        <v/>
      </c>
      <c r="AQ24" s="207" t="s">
        <v>371</v>
      </c>
      <c r="AR24" s="207" t="s">
        <v>187</v>
      </c>
      <c r="AS24" s="207">
        <v>9</v>
      </c>
      <c r="AT24" s="207" t="s">
        <v>359</v>
      </c>
      <c r="AV24" s="168">
        <f t="shared" si="20"/>
        <v>53</v>
      </c>
      <c r="AW24" s="168">
        <f>COUNTIF( AV$7:AV24, AV24 )</f>
        <v>1</v>
      </c>
      <c r="AX24" s="208">
        <f t="shared" si="21"/>
        <v>53.1</v>
      </c>
      <c r="AY24" s="168">
        <f t="shared" si="22"/>
        <v>53</v>
      </c>
      <c r="AZ24" s="169"/>
      <c r="BA24" s="169"/>
      <c r="BC24" s="168">
        <f t="shared" ca="1" si="23"/>
        <v>18</v>
      </c>
      <c r="BD24" s="209">
        <f t="shared" ca="1" si="7"/>
        <v>29</v>
      </c>
      <c r="BF24" s="173" t="str">
        <f t="shared" ca="1" si="8"/>
        <v>MidAmerican Energy Holdings Company</v>
      </c>
      <c r="BG24" s="173" t="str">
        <f t="shared" ca="1" si="8"/>
        <v>BBB+</v>
      </c>
      <c r="BH24" s="173">
        <f t="shared" ca="1" si="8"/>
        <v>19</v>
      </c>
      <c r="BI24" s="173" t="str">
        <f t="shared" ca="1" si="8"/>
        <v>**BRK</v>
      </c>
    </row>
    <row r="25" spans="1:61" ht="13.8" x14ac:dyDescent="0.25">
      <c r="A25" s="223" t="s">
        <v>382</v>
      </c>
      <c r="B25" s="224" t="s">
        <v>140</v>
      </c>
      <c r="C25" s="224">
        <v>19</v>
      </c>
      <c r="D25" s="224" t="s">
        <v>383</v>
      </c>
      <c r="E25" s="225" t="str">
        <f t="shared" ca="1" si="0"/>
        <v>MR</v>
      </c>
      <c r="F25" s="348"/>
      <c r="G25" s="349">
        <f t="shared" ca="1" si="1"/>
        <v>39</v>
      </c>
      <c r="H25" s="350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4"/>
        <v>24</v>
      </c>
      <c r="AK25" s="169" t="str">
        <f t="shared" ca="1" si="19"/>
        <v>BBB+</v>
      </c>
      <c r="AL25" s="169">
        <f t="shared" ca="1" si="19"/>
        <v>19</v>
      </c>
      <c r="AM25" s="169" t="str">
        <f t="shared" ca="1" si="5"/>
        <v/>
      </c>
      <c r="AQ25" s="207" t="s">
        <v>267</v>
      </c>
      <c r="AR25" s="207" t="s">
        <v>141</v>
      </c>
      <c r="AS25" s="207">
        <v>18</v>
      </c>
      <c r="AT25" s="207" t="s">
        <v>268</v>
      </c>
      <c r="AV25" s="168">
        <f t="shared" si="20"/>
        <v>25</v>
      </c>
      <c r="AW25" s="168">
        <f>COUNTIF( AV$7:AV25, AV25 )</f>
        <v>8</v>
      </c>
      <c r="AX25" s="208">
        <f t="shared" si="21"/>
        <v>25.8</v>
      </c>
      <c r="AY25" s="168">
        <f t="shared" si="22"/>
        <v>32</v>
      </c>
      <c r="AZ25" s="169"/>
      <c r="BA25" s="169"/>
      <c r="BC25" s="168">
        <f t="shared" ca="1" si="23"/>
        <v>19</v>
      </c>
      <c r="BD25" s="209">
        <f t="shared" ca="1" si="7"/>
        <v>37</v>
      </c>
      <c r="BF25" s="173" t="str">
        <f t="shared" ca="1" si="8"/>
        <v>Pepco Holdings, Inc.</v>
      </c>
      <c r="BG25" s="173" t="str">
        <f t="shared" ca="1" si="8"/>
        <v>BBB+</v>
      </c>
      <c r="BH25" s="173">
        <f t="shared" ca="1" si="8"/>
        <v>19</v>
      </c>
      <c r="BI25" s="173" t="str">
        <f t="shared" ca="1" si="8"/>
        <v>POM</v>
      </c>
    </row>
    <row r="26" spans="1:61" ht="13.8" x14ac:dyDescent="0.25">
      <c r="A26" s="223" t="s">
        <v>281</v>
      </c>
      <c r="B26" s="224" t="s">
        <v>140</v>
      </c>
      <c r="C26" s="224">
        <v>19</v>
      </c>
      <c r="D26" s="224" t="s">
        <v>282</v>
      </c>
      <c r="E26" s="225" t="str">
        <f t="shared" ca="1" si="0"/>
        <v>R</v>
      </c>
      <c r="F26" s="348"/>
      <c r="G26" s="349">
        <f t="shared" ca="1" si="1"/>
        <v>41</v>
      </c>
      <c r="H26" s="350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4"/>
        <v>25</v>
      </c>
      <c r="AK26" s="169" t="str">
        <f t="shared" ca="1" si="19"/>
        <v>BBB+</v>
      </c>
      <c r="AL26" s="169">
        <f t="shared" ca="1" si="19"/>
        <v>19</v>
      </c>
      <c r="AM26" s="169" t="str">
        <f t="shared" ca="1" si="5"/>
        <v/>
      </c>
      <c r="AQ26" s="207" t="s">
        <v>269</v>
      </c>
      <c r="AR26" s="207" t="s">
        <v>141</v>
      </c>
      <c r="AS26" s="207">
        <v>18</v>
      </c>
      <c r="AT26" s="207" t="s">
        <v>270</v>
      </c>
      <c r="AV26" s="168">
        <f t="shared" si="20"/>
        <v>25</v>
      </c>
      <c r="AW26" s="168">
        <f>COUNTIF( AV$7:AV26, AV26 )</f>
        <v>9</v>
      </c>
      <c r="AX26" s="208">
        <f t="shared" si="21"/>
        <v>25.9</v>
      </c>
      <c r="AY26" s="168">
        <f t="shared" si="22"/>
        <v>33</v>
      </c>
      <c r="AZ26" s="169"/>
      <c r="BA26" s="169"/>
      <c r="BC26" s="168">
        <f t="shared" ca="1" si="23"/>
        <v>20</v>
      </c>
      <c r="BD26" s="209">
        <f t="shared" ca="1" si="7"/>
        <v>39</v>
      </c>
      <c r="BF26" s="173" t="str">
        <f t="shared" ca="1" si="8"/>
        <v>Pinnacle West Capital Corporation</v>
      </c>
      <c r="BG26" s="173" t="str">
        <f t="shared" ca="1" si="8"/>
        <v>BBB+</v>
      </c>
      <c r="BH26" s="173">
        <f t="shared" ca="1" si="8"/>
        <v>19</v>
      </c>
      <c r="BI26" s="173" t="str">
        <f t="shared" ca="1" si="8"/>
        <v>PNW</v>
      </c>
    </row>
    <row r="27" spans="1:61" ht="13.8" x14ac:dyDescent="0.25">
      <c r="A27" s="223" t="s">
        <v>289</v>
      </c>
      <c r="B27" s="224" t="s">
        <v>140</v>
      </c>
      <c r="C27" s="224">
        <v>19</v>
      </c>
      <c r="D27" s="224" t="s">
        <v>290</v>
      </c>
      <c r="E27" s="225" t="str">
        <f t="shared" ca="1" si="0"/>
        <v>MR</v>
      </c>
      <c r="F27" s="348"/>
      <c r="G27" s="349">
        <f t="shared" ca="1" si="1"/>
        <v>45</v>
      </c>
      <c r="H27" s="350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4"/>
        <v>26</v>
      </c>
      <c r="AK27" s="169" t="str">
        <f t="shared" ca="1" si="19"/>
        <v>BBB+</v>
      </c>
      <c r="AL27" s="169">
        <f t="shared" ca="1" si="19"/>
        <v>19</v>
      </c>
      <c r="AM27" s="169" t="str">
        <f t="shared" ca="1" si="5"/>
        <v/>
      </c>
      <c r="AQ27" s="207" t="s">
        <v>275</v>
      </c>
      <c r="AR27" s="207" t="s">
        <v>142</v>
      </c>
      <c r="AS27" s="207">
        <v>17</v>
      </c>
      <c r="AT27" s="207" t="s">
        <v>276</v>
      </c>
      <c r="AV27" s="168">
        <f t="shared" si="20"/>
        <v>45</v>
      </c>
      <c r="AW27" s="168">
        <f>COUNTIF( AV$7:AV27, AV27 )</f>
        <v>2</v>
      </c>
      <c r="AX27" s="208">
        <f t="shared" si="21"/>
        <v>45.2</v>
      </c>
      <c r="AY27" s="168">
        <f t="shared" si="22"/>
        <v>46</v>
      </c>
      <c r="AZ27" s="169"/>
      <c r="BA27" s="169"/>
      <c r="BC27" s="168">
        <f t="shared" ca="1" si="23"/>
        <v>21</v>
      </c>
      <c r="BD27" s="209">
        <f t="shared" ca="1" si="7"/>
        <v>43</v>
      </c>
      <c r="BF27" s="173" t="str">
        <f t="shared" ca="1" si="8"/>
        <v>Public Service Enterprise Group Incorporated</v>
      </c>
      <c r="BG27" s="173" t="str">
        <f t="shared" ca="1" si="8"/>
        <v>BBB+</v>
      </c>
      <c r="BH27" s="173">
        <f t="shared" ca="1" si="8"/>
        <v>19</v>
      </c>
      <c r="BI27" s="173" t="str">
        <f t="shared" ca="1" si="8"/>
        <v>PEG</v>
      </c>
    </row>
    <row r="28" spans="1:61" ht="13.8" x14ac:dyDescent="0.25">
      <c r="A28" s="223" t="s">
        <v>347</v>
      </c>
      <c r="B28" s="224" t="s">
        <v>140</v>
      </c>
      <c r="C28" s="224">
        <v>19</v>
      </c>
      <c r="D28" s="224" t="s">
        <v>348</v>
      </c>
      <c r="E28" s="225" t="str">
        <f t="shared" ca="1" si="0"/>
        <v>MR</v>
      </c>
      <c r="F28" s="348"/>
      <c r="G28" s="349">
        <f t="shared" ca="1" si="1"/>
        <v>46</v>
      </c>
      <c r="H28" s="350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4"/>
        <v>27</v>
      </c>
      <c r="AK28" s="169" t="str">
        <f t="shared" ca="1" si="19"/>
        <v>BBB+</v>
      </c>
      <c r="AL28" s="169">
        <f t="shared" ca="1" si="19"/>
        <v>19</v>
      </c>
      <c r="AM28" s="169" t="str">
        <f t="shared" ca="1" si="5"/>
        <v/>
      </c>
      <c r="AQ28" s="207" t="s">
        <v>352</v>
      </c>
      <c r="AR28" s="207" t="s">
        <v>141</v>
      </c>
      <c r="AS28" s="207">
        <v>18</v>
      </c>
      <c r="AT28" s="207" t="s">
        <v>353</v>
      </c>
      <c r="AV28" s="168">
        <f t="shared" si="20"/>
        <v>25</v>
      </c>
      <c r="AW28" s="168">
        <f>COUNTIF( AV$7:AV28, AV28 )</f>
        <v>10</v>
      </c>
      <c r="AX28" s="208">
        <f t="shared" si="21"/>
        <v>26</v>
      </c>
      <c r="AY28" s="168">
        <f t="shared" si="22"/>
        <v>34</v>
      </c>
      <c r="AZ28" s="169"/>
      <c r="BA28" s="169"/>
      <c r="BC28" s="168">
        <f t="shared" ca="1" si="23"/>
        <v>22</v>
      </c>
      <c r="BD28" s="209">
        <f t="shared" ca="1" si="7"/>
        <v>45</v>
      </c>
      <c r="BF28" s="173" t="str">
        <f t="shared" ca="1" si="8"/>
        <v>SCANA Corporation</v>
      </c>
      <c r="BG28" s="173" t="str">
        <f t="shared" ca="1" si="8"/>
        <v>BBB+</v>
      </c>
      <c r="BH28" s="173">
        <f t="shared" ca="1" si="8"/>
        <v>19</v>
      </c>
      <c r="BI28" s="173" t="str">
        <f t="shared" ca="1" si="8"/>
        <v>SCG</v>
      </c>
    </row>
    <row r="29" spans="1:61" ht="13.8" x14ac:dyDescent="0.25">
      <c r="A29" s="223" t="s">
        <v>291</v>
      </c>
      <c r="B29" s="224" t="s">
        <v>140</v>
      </c>
      <c r="C29" s="224">
        <v>19</v>
      </c>
      <c r="D29" s="224" t="s">
        <v>292</v>
      </c>
      <c r="E29" s="225" t="str">
        <f t="shared" ca="1" si="0"/>
        <v>MR</v>
      </c>
      <c r="F29" s="348"/>
      <c r="G29" s="349">
        <f t="shared" ca="1" si="1"/>
        <v>47</v>
      </c>
      <c r="H29" s="350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4"/>
        <v>28</v>
      </c>
      <c r="AK29" s="169" t="str">
        <f t="shared" ca="1" si="19"/>
        <v>BBB+</v>
      </c>
      <c r="AL29" s="169">
        <f t="shared" ca="1" si="19"/>
        <v>19</v>
      </c>
      <c r="AM29" s="169" t="str">
        <f t="shared" ca="1" si="5"/>
        <v/>
      </c>
      <c r="AQ29" s="207" t="s">
        <v>279</v>
      </c>
      <c r="AR29" s="207" t="s">
        <v>142</v>
      </c>
      <c r="AS29" s="207">
        <v>17</v>
      </c>
      <c r="AT29" s="207" t="s">
        <v>280</v>
      </c>
      <c r="AV29" s="168">
        <f t="shared" si="20"/>
        <v>45</v>
      </c>
      <c r="AW29" s="168">
        <f>COUNTIF( AV$7:AV29, AV29 )</f>
        <v>3</v>
      </c>
      <c r="AX29" s="208">
        <f t="shared" si="21"/>
        <v>45.3</v>
      </c>
      <c r="AY29" s="168">
        <f t="shared" si="22"/>
        <v>47</v>
      </c>
      <c r="AZ29" s="169"/>
      <c r="BA29" s="169"/>
      <c r="BC29" s="168">
        <f t="shared" ca="1" si="23"/>
        <v>23</v>
      </c>
      <c r="BD29" s="209">
        <f t="shared" ca="1" si="7"/>
        <v>46</v>
      </c>
      <c r="BF29" s="173" t="str">
        <f t="shared" ca="1" si="8"/>
        <v>Sempra Energy</v>
      </c>
      <c r="BG29" s="173" t="str">
        <f t="shared" ca="1" si="8"/>
        <v>BBB+</v>
      </c>
      <c r="BH29" s="173">
        <f t="shared" ca="1" si="8"/>
        <v>19</v>
      </c>
      <c r="BI29" s="173" t="str">
        <f t="shared" ca="1" si="8"/>
        <v>SRE</v>
      </c>
    </row>
    <row r="30" spans="1:61" ht="13.8" x14ac:dyDescent="0.25">
      <c r="A30" s="223" t="s">
        <v>369</v>
      </c>
      <c r="B30" s="224" t="s">
        <v>140</v>
      </c>
      <c r="C30" s="224">
        <v>19</v>
      </c>
      <c r="D30" s="224" t="s">
        <v>375</v>
      </c>
      <c r="E30" s="225" t="str">
        <f t="shared" ca="1" si="0"/>
        <v>R</v>
      </c>
      <c r="F30" s="348"/>
      <c r="G30" s="349">
        <f t="shared" ca="1" si="1"/>
        <v>49</v>
      </c>
      <c r="H30" s="350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4"/>
        <v>29</v>
      </c>
      <c r="AK30" s="169" t="str">
        <f t="shared" ca="1" si="19"/>
        <v>BBB+</v>
      </c>
      <c r="AL30" s="169">
        <f t="shared" ca="1" si="19"/>
        <v>19</v>
      </c>
      <c r="AM30" s="169" t="str">
        <f t="shared" ca="1" si="5"/>
        <v/>
      </c>
      <c r="AQ30" s="207" t="s">
        <v>387</v>
      </c>
      <c r="AR30" s="207" t="s">
        <v>141</v>
      </c>
      <c r="AS30" s="207">
        <v>18</v>
      </c>
      <c r="AT30" s="207" t="s">
        <v>388</v>
      </c>
      <c r="AV30" s="168">
        <f t="shared" si="20"/>
        <v>25</v>
      </c>
      <c r="AW30" s="168">
        <f>COUNTIF( AV$7:AV30, AV30 )</f>
        <v>11</v>
      </c>
      <c r="AX30" s="208">
        <f t="shared" si="21"/>
        <v>26.1</v>
      </c>
      <c r="AY30" s="168">
        <f t="shared" si="22"/>
        <v>35</v>
      </c>
      <c r="AZ30" s="169"/>
      <c r="BA30" s="169"/>
      <c r="BC30" s="168">
        <f t="shared" ca="1" si="23"/>
        <v>24</v>
      </c>
      <c r="BD30" s="209">
        <f t="shared" ca="1" si="7"/>
        <v>48</v>
      </c>
      <c r="BF30" s="173" t="str">
        <f t="shared" ca="1" si="8"/>
        <v>TECO Energy, Inc.</v>
      </c>
      <c r="BG30" s="173" t="str">
        <f t="shared" ca="1" si="8"/>
        <v>BBB+</v>
      </c>
      <c r="BH30" s="173">
        <f t="shared" ca="1" si="8"/>
        <v>19</v>
      </c>
      <c r="BI30" s="173" t="str">
        <f t="shared" ca="1" si="8"/>
        <v>TE</v>
      </c>
    </row>
    <row r="31" spans="1:61" ht="13.8" x14ac:dyDescent="0.25">
      <c r="A31" s="223" t="s">
        <v>225</v>
      </c>
      <c r="B31" s="224" t="s">
        <v>141</v>
      </c>
      <c r="C31" s="224">
        <v>18</v>
      </c>
      <c r="D31" s="224" t="s">
        <v>226</v>
      </c>
      <c r="E31" s="225" t="str">
        <f t="shared" ca="1" si="0"/>
        <v>R</v>
      </c>
      <c r="F31" s="348"/>
      <c r="G31" s="349">
        <f t="shared" ca="1" si="1"/>
        <v>9</v>
      </c>
      <c r="H31" s="350"/>
      <c r="I31" s="237"/>
      <c r="J31" s="191"/>
      <c r="K31" s="237"/>
      <c r="N31" s="237"/>
      <c r="O31" s="351"/>
      <c r="Q31" s="237"/>
      <c r="T31" s="237"/>
      <c r="W31" s="237"/>
      <c r="AF31" s="169">
        <f t="shared" si="2"/>
        <v>0</v>
      </c>
      <c r="AG31" s="169" t="str">
        <f t="shared" ca="1" si="3"/>
        <v/>
      </c>
      <c r="AH31" s="169" t="str">
        <f t="shared" ca="1" si="18"/>
        <v/>
      </c>
      <c r="AJ31" s="169">
        <f t="shared" ca="1" si="4"/>
        <v>30</v>
      </c>
      <c r="AK31" s="169" t="str">
        <f t="shared" ca="1" si="19"/>
        <v>BBB</v>
      </c>
      <c r="AL31" s="169">
        <f t="shared" ca="1" si="19"/>
        <v>18</v>
      </c>
      <c r="AM31" s="169" t="str">
        <f t="shared" ca="1" si="5"/>
        <v/>
      </c>
      <c r="AQ31" s="207" t="s">
        <v>283</v>
      </c>
      <c r="AR31" s="207" t="s">
        <v>141</v>
      </c>
      <c r="AS31" s="207">
        <v>18</v>
      </c>
      <c r="AT31" s="207" t="s">
        <v>284</v>
      </c>
      <c r="AV31" s="168">
        <f t="shared" si="20"/>
        <v>25</v>
      </c>
      <c r="AW31" s="168">
        <f>COUNTIF( AV$7:AV31, AV31 )</f>
        <v>12</v>
      </c>
      <c r="AX31" s="208">
        <f t="shared" si="21"/>
        <v>26.2</v>
      </c>
      <c r="AY31" s="168">
        <f t="shared" si="22"/>
        <v>36</v>
      </c>
      <c r="AZ31" s="169"/>
      <c r="BA31" s="169"/>
      <c r="BC31" s="168">
        <f t="shared" ca="1" si="23"/>
        <v>25</v>
      </c>
      <c r="BD31" s="209">
        <f t="shared" ca="1" si="7"/>
        <v>3</v>
      </c>
      <c r="BF31" s="173" t="str">
        <f t="shared" ca="1" si="8"/>
        <v>Ameren Corporation</v>
      </c>
      <c r="BG31" s="173" t="str">
        <f t="shared" ca="1" si="8"/>
        <v>BBB</v>
      </c>
      <c r="BH31" s="173">
        <f t="shared" ca="1" si="8"/>
        <v>18</v>
      </c>
      <c r="BI31" s="173" t="str">
        <f t="shared" ca="1" si="8"/>
        <v>AEE</v>
      </c>
    </row>
    <row r="32" spans="1:61" ht="13.8" x14ac:dyDescent="0.25">
      <c r="A32" s="223" t="s">
        <v>222</v>
      </c>
      <c r="B32" s="224" t="s">
        <v>141</v>
      </c>
      <c r="C32" s="224">
        <v>18</v>
      </c>
      <c r="D32" s="224" t="s">
        <v>223</v>
      </c>
      <c r="E32" s="225" t="str">
        <f t="shared" ca="1" si="0"/>
        <v>R</v>
      </c>
      <c r="F32" s="348"/>
      <c r="G32" s="349">
        <f t="shared" ca="1" si="1"/>
        <v>10</v>
      </c>
      <c r="H32" s="350"/>
      <c r="I32" s="237"/>
      <c r="J32" s="191"/>
      <c r="K32" s="237"/>
      <c r="N32" s="237"/>
      <c r="Q32" s="237"/>
      <c r="T32" s="237"/>
      <c r="W32" s="237"/>
      <c r="AF32" s="169">
        <f t="shared" si="2"/>
        <v>0</v>
      </c>
      <c r="AG32" s="169" t="str">
        <f t="shared" ca="1" si="3"/>
        <v/>
      </c>
      <c r="AH32" s="169" t="str">
        <f t="shared" ca="1" si="18"/>
        <v/>
      </c>
      <c r="AJ32" s="169">
        <f t="shared" ca="1" si="4"/>
        <v>31</v>
      </c>
      <c r="AK32" s="169" t="str">
        <f t="shared" ca="1" si="19"/>
        <v>BBB</v>
      </c>
      <c r="AL32" s="169">
        <f t="shared" ca="1" si="19"/>
        <v>18</v>
      </c>
      <c r="AM32" s="169" t="str">
        <f t="shared" ca="1" si="5"/>
        <v/>
      </c>
      <c r="AQ32" s="207" t="s">
        <v>395</v>
      </c>
      <c r="AR32" s="207" t="s">
        <v>139</v>
      </c>
      <c r="AS32" s="207">
        <v>20</v>
      </c>
      <c r="AT32" s="207" t="s">
        <v>396</v>
      </c>
      <c r="AV32" s="168">
        <f t="shared" si="20"/>
        <v>2</v>
      </c>
      <c r="AW32" s="168">
        <f>COUNTIF( AV$7:AV32, AV32 )</f>
        <v>5</v>
      </c>
      <c r="AX32" s="208">
        <f t="shared" si="21"/>
        <v>2.5</v>
      </c>
      <c r="AY32" s="168">
        <f t="shared" si="22"/>
        <v>6</v>
      </c>
      <c r="AZ32" s="169"/>
      <c r="BA32" s="169"/>
      <c r="BC32" s="168">
        <f t="shared" ca="1" si="23"/>
        <v>26</v>
      </c>
      <c r="BD32" s="209">
        <f t="shared" ca="1" si="7"/>
        <v>4</v>
      </c>
      <c r="BF32" s="173" t="str">
        <f t="shared" ca="1" si="8"/>
        <v>American Electric Power Company, Inc.</v>
      </c>
      <c r="BG32" s="173" t="str">
        <f t="shared" ca="1" si="8"/>
        <v>BBB</v>
      </c>
      <c r="BH32" s="173">
        <f t="shared" ca="1" si="8"/>
        <v>18</v>
      </c>
      <c r="BI32" s="173" t="str">
        <f t="shared" ca="1" si="8"/>
        <v>AEP</v>
      </c>
    </row>
    <row r="33" spans="1:61" ht="13.8" x14ac:dyDescent="0.25">
      <c r="A33" s="223" t="s">
        <v>238</v>
      </c>
      <c r="B33" s="224" t="s">
        <v>141</v>
      </c>
      <c r="C33" s="224">
        <v>18</v>
      </c>
      <c r="D33" s="224" t="s">
        <v>239</v>
      </c>
      <c r="E33" s="225" t="str">
        <f t="shared" ca="1" si="0"/>
        <v>R</v>
      </c>
      <c r="F33" s="348"/>
      <c r="G33" s="349">
        <f t="shared" ca="1" si="1"/>
        <v>11</v>
      </c>
      <c r="H33" s="350"/>
      <c r="I33" s="237"/>
      <c r="J33" s="191"/>
      <c r="K33" s="237"/>
      <c r="N33" s="237"/>
      <c r="Q33" s="237"/>
      <c r="T33" s="237"/>
      <c r="W33" s="237"/>
      <c r="AF33" s="169">
        <f t="shared" si="2"/>
        <v>0</v>
      </c>
      <c r="AG33" s="169" t="str">
        <f t="shared" ca="1" si="3"/>
        <v/>
      </c>
      <c r="AH33" s="169" t="str">
        <f t="shared" ca="1" si="18"/>
        <v/>
      </c>
      <c r="AJ33" s="169">
        <f t="shared" ca="1" si="4"/>
        <v>32</v>
      </c>
      <c r="AK33" s="169" t="str">
        <f t="shared" ca="1" si="19"/>
        <v>BBB</v>
      </c>
      <c r="AL33" s="169">
        <f t="shared" ca="1" si="19"/>
        <v>18</v>
      </c>
      <c r="AM33" s="169" t="str">
        <f t="shared" ca="1" si="5"/>
        <v/>
      </c>
      <c r="AQ33" s="207" t="s">
        <v>287</v>
      </c>
      <c r="AR33" s="207" t="s">
        <v>142</v>
      </c>
      <c r="AS33" s="207">
        <v>17</v>
      </c>
      <c r="AT33" s="207" t="s">
        <v>288</v>
      </c>
      <c r="AV33" s="168">
        <f t="shared" si="20"/>
        <v>45</v>
      </c>
      <c r="AW33" s="168">
        <f>COUNTIF( AV$7:AV33, AV33 )</f>
        <v>4</v>
      </c>
      <c r="AX33" s="208">
        <f t="shared" si="21"/>
        <v>45.4</v>
      </c>
      <c r="AY33" s="168">
        <f t="shared" si="22"/>
        <v>48</v>
      </c>
      <c r="AZ33" s="169"/>
      <c r="BA33" s="169"/>
      <c r="BC33" s="168">
        <f t="shared" ca="1" si="23"/>
        <v>27</v>
      </c>
      <c r="BD33" s="209">
        <f t="shared" ca="1" si="7"/>
        <v>5</v>
      </c>
      <c r="BF33" s="173" t="str">
        <f t="shared" ca="1" si="8"/>
        <v>Avista Corporation</v>
      </c>
      <c r="BG33" s="173" t="str">
        <f t="shared" ca="1" si="8"/>
        <v>BBB</v>
      </c>
      <c r="BH33" s="173">
        <f t="shared" ca="1" si="8"/>
        <v>18</v>
      </c>
      <c r="BI33" s="173" t="str">
        <f t="shared" ca="1" si="8"/>
        <v>AVA</v>
      </c>
    </row>
    <row r="34" spans="1:61" ht="13.8" x14ac:dyDescent="0.25">
      <c r="A34" s="223" t="s">
        <v>245</v>
      </c>
      <c r="B34" s="224" t="s">
        <v>141</v>
      </c>
      <c r="C34" s="224">
        <v>18</v>
      </c>
      <c r="D34" s="224" t="s">
        <v>246</v>
      </c>
      <c r="E34" s="225" t="str">
        <f t="shared" ca="1" si="0"/>
        <v>R</v>
      </c>
      <c r="F34" s="348"/>
      <c r="G34" s="349">
        <f t="shared" ca="1" si="1"/>
        <v>12</v>
      </c>
      <c r="H34" s="350"/>
      <c r="I34" s="237"/>
      <c r="J34" s="191"/>
      <c r="K34" s="237"/>
      <c r="N34" s="237"/>
      <c r="Q34" s="237"/>
      <c r="T34" s="237"/>
      <c r="W34" s="237"/>
      <c r="AF34" s="169">
        <f t="shared" si="2"/>
        <v>0</v>
      </c>
      <c r="AG34" s="169">
        <f t="shared" ca="1" si="3"/>
        <v>1</v>
      </c>
      <c r="AH34" s="169" t="str">
        <f t="shared" ca="1" si="18"/>
        <v/>
      </c>
      <c r="AJ34" s="169">
        <f t="shared" ca="1" si="4"/>
        <v>50</v>
      </c>
      <c r="AK34" s="169" t="str">
        <f t="shared" ca="1" si="19"/>
        <v>BBB-</v>
      </c>
      <c r="AL34" s="169">
        <f t="shared" ca="1" si="19"/>
        <v>17</v>
      </c>
      <c r="AM34" s="169" t="str">
        <f t="shared" ca="1" si="5"/>
        <v>Change</v>
      </c>
      <c r="AQ34" s="207" t="s">
        <v>271</v>
      </c>
      <c r="AR34" s="207" t="s">
        <v>140</v>
      </c>
      <c r="AS34" s="207">
        <v>19</v>
      </c>
      <c r="AT34" s="207" t="s">
        <v>272</v>
      </c>
      <c r="AV34" s="168">
        <f t="shared" si="20"/>
        <v>13</v>
      </c>
      <c r="AW34" s="168">
        <f>COUNTIF( AV$7:AV34, AV34 )</f>
        <v>5</v>
      </c>
      <c r="AX34" s="208">
        <f t="shared" si="21"/>
        <v>13.5</v>
      </c>
      <c r="AY34" s="168">
        <f t="shared" si="22"/>
        <v>17</v>
      </c>
      <c r="AZ34" s="169"/>
      <c r="BA34" s="169"/>
      <c r="BC34" s="168">
        <f t="shared" ca="1" si="23"/>
        <v>28</v>
      </c>
      <c r="BD34" s="209">
        <f t="shared" ca="1" si="7"/>
        <v>6</v>
      </c>
      <c r="BF34" s="173" t="str">
        <f t="shared" ca="1" si="8"/>
        <v>Black Hills Corporation</v>
      </c>
      <c r="BG34" s="173" t="str">
        <f t="shared" ca="1" si="8"/>
        <v>BBB</v>
      </c>
      <c r="BH34" s="173">
        <f t="shared" ca="1" si="8"/>
        <v>18</v>
      </c>
      <c r="BI34" s="173" t="str">
        <f t="shared" ca="1" si="8"/>
        <v>BKH</v>
      </c>
    </row>
    <row r="35" spans="1:61" ht="13.8" x14ac:dyDescent="0.25">
      <c r="A35" s="223" t="s">
        <v>256</v>
      </c>
      <c r="B35" s="224" t="s">
        <v>141</v>
      </c>
      <c r="C35" s="224">
        <v>18</v>
      </c>
      <c r="D35" s="224" t="s">
        <v>257</v>
      </c>
      <c r="E35" s="225" t="str">
        <f t="shared" ca="1" si="0"/>
        <v>R</v>
      </c>
      <c r="F35" s="348"/>
      <c r="G35" s="349">
        <f t="shared" ca="1" si="1"/>
        <v>15</v>
      </c>
      <c r="H35" s="350"/>
      <c r="I35" s="237"/>
      <c r="K35" s="237"/>
      <c r="N35" s="237"/>
      <c r="Q35" s="237"/>
      <c r="T35" s="237"/>
      <c r="W35" s="237"/>
      <c r="AF35" s="169">
        <f t="shared" si="2"/>
        <v>0</v>
      </c>
      <c r="AG35" s="169" t="str">
        <f t="shared" ca="1" si="3"/>
        <v/>
      </c>
      <c r="AH35" s="169" t="str">
        <f t="shared" ca="1" si="18"/>
        <v/>
      </c>
      <c r="AJ35" s="169">
        <f t="shared" ca="1" si="4"/>
        <v>34</v>
      </c>
      <c r="AK35" s="169" t="str">
        <f t="shared" ca="1" si="19"/>
        <v>BBB</v>
      </c>
      <c r="AL35" s="169">
        <f t="shared" ca="1" si="19"/>
        <v>18</v>
      </c>
      <c r="AM35" s="169" t="str">
        <f t="shared" ca="1" si="5"/>
        <v/>
      </c>
      <c r="AQ35" s="207" t="s">
        <v>408</v>
      </c>
      <c r="AR35" s="207" t="s">
        <v>140</v>
      </c>
      <c r="AS35" s="207">
        <v>19</v>
      </c>
      <c r="AT35" s="207" t="s">
        <v>216</v>
      </c>
      <c r="AV35" s="168">
        <f t="shared" si="20"/>
        <v>13</v>
      </c>
      <c r="AW35" s="168">
        <f>COUNTIF( AV$7:AV35, AV35 )</f>
        <v>6</v>
      </c>
      <c r="AX35" s="208">
        <f t="shared" si="21"/>
        <v>13.6</v>
      </c>
      <c r="AY35" s="168">
        <f t="shared" si="22"/>
        <v>18</v>
      </c>
      <c r="AZ35" s="169"/>
      <c r="BA35" s="169"/>
      <c r="BC35" s="168">
        <f t="shared" ca="1" si="23"/>
        <v>29</v>
      </c>
      <c r="BD35" s="209">
        <f t="shared" ca="1" si="7"/>
        <v>9</v>
      </c>
      <c r="BF35" s="173" t="str">
        <f t="shared" ca="1" si="8"/>
        <v>CMS Energy Corporation</v>
      </c>
      <c r="BG35" s="173" t="str">
        <f t="shared" ca="1" si="8"/>
        <v>BBB</v>
      </c>
      <c r="BH35" s="173">
        <f t="shared" ca="1" si="8"/>
        <v>18</v>
      </c>
      <c r="BI35" s="173" t="str">
        <f t="shared" ca="1" si="8"/>
        <v>CMS</v>
      </c>
    </row>
    <row r="36" spans="1:61" ht="13.8" x14ac:dyDescent="0.25">
      <c r="A36" s="223" t="s">
        <v>328</v>
      </c>
      <c r="B36" s="224" t="s">
        <v>141</v>
      </c>
      <c r="C36" s="224">
        <v>18</v>
      </c>
      <c r="D36" s="224" t="s">
        <v>331</v>
      </c>
      <c r="E36" s="225" t="str">
        <f t="shared" ca="1" si="0"/>
        <v>R</v>
      </c>
      <c r="F36" s="348"/>
      <c r="G36" s="349">
        <f t="shared" ca="1" si="1"/>
        <v>21</v>
      </c>
      <c r="H36" s="350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8"/>
        <v/>
      </c>
      <c r="AJ36" s="169">
        <f t="shared" ca="1" si="4"/>
        <v>35</v>
      </c>
      <c r="AK36" s="169" t="str">
        <f t="shared" ca="1" si="19"/>
        <v>BBB</v>
      </c>
      <c r="AL36" s="169">
        <f t="shared" ca="1" si="19"/>
        <v>18</v>
      </c>
      <c r="AM36" s="169" t="str">
        <f t="shared" ca="1" si="5"/>
        <v/>
      </c>
      <c r="AQ36" s="207" t="s">
        <v>240</v>
      </c>
      <c r="AR36" s="207" t="s">
        <v>139</v>
      </c>
      <c r="AS36" s="207">
        <v>20</v>
      </c>
      <c r="AT36" s="207" t="s">
        <v>241</v>
      </c>
      <c r="AV36" s="168">
        <f t="shared" si="20"/>
        <v>2</v>
      </c>
      <c r="AW36" s="168">
        <f>COUNTIF( AV$7:AV36, AV36 )</f>
        <v>6</v>
      </c>
      <c r="AX36" s="208">
        <f t="shared" si="21"/>
        <v>2.6</v>
      </c>
      <c r="AY36" s="168">
        <f t="shared" si="22"/>
        <v>7</v>
      </c>
      <c r="AZ36" s="169"/>
      <c r="BA36" s="169"/>
      <c r="BC36" s="168">
        <f t="shared" ca="1" si="23"/>
        <v>30</v>
      </c>
      <c r="BD36" s="209">
        <f t="shared" ca="1" si="7"/>
        <v>16</v>
      </c>
      <c r="BF36" s="173" t="str">
        <f t="shared" ca="1" si="8"/>
        <v>El Paso Electric Company</v>
      </c>
      <c r="BG36" s="173" t="str">
        <f t="shared" ca="1" si="8"/>
        <v>BBB</v>
      </c>
      <c r="BH36" s="173">
        <f t="shared" ca="1" si="8"/>
        <v>18</v>
      </c>
      <c r="BI36" s="173" t="str">
        <f t="shared" ca="1" si="8"/>
        <v>EE</v>
      </c>
    </row>
    <row r="37" spans="1:61" ht="13.8" x14ac:dyDescent="0.25">
      <c r="A37" s="223" t="s">
        <v>367</v>
      </c>
      <c r="B37" s="224" t="s">
        <v>141</v>
      </c>
      <c r="C37" s="224">
        <v>18</v>
      </c>
      <c r="D37" s="224" t="s">
        <v>368</v>
      </c>
      <c r="E37" s="225" t="str">
        <f t="shared" ca="1" si="0"/>
        <v>R</v>
      </c>
      <c r="F37" s="348"/>
      <c r="G37" s="349">
        <f t="shared" ca="1" si="1"/>
        <v>22</v>
      </c>
      <c r="H37" s="350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8"/>
        <v/>
      </c>
      <c r="AJ37" s="169">
        <f t="shared" ca="1" si="4"/>
        <v>36</v>
      </c>
      <c r="AK37" s="169" t="str">
        <f t="shared" ca="1" si="19"/>
        <v>BBB</v>
      </c>
      <c r="AL37" s="169">
        <f t="shared" ca="1" si="19"/>
        <v>18</v>
      </c>
      <c r="AM37" s="169" t="str">
        <f t="shared" ca="1" si="5"/>
        <v/>
      </c>
      <c r="AQ37" s="207" t="s">
        <v>273</v>
      </c>
      <c r="AR37" s="207" t="s">
        <v>142</v>
      </c>
      <c r="AS37" s="207">
        <v>17</v>
      </c>
      <c r="AT37" s="207" t="s">
        <v>274</v>
      </c>
      <c r="AV37" s="168">
        <f t="shared" si="20"/>
        <v>45</v>
      </c>
      <c r="AW37" s="168">
        <f>COUNTIF( AV$7:AV37, AV37 )</f>
        <v>5</v>
      </c>
      <c r="AX37" s="208">
        <f t="shared" si="21"/>
        <v>45.5</v>
      </c>
      <c r="AY37" s="168">
        <f t="shared" si="22"/>
        <v>49</v>
      </c>
      <c r="AZ37" s="169"/>
      <c r="BA37" s="169"/>
      <c r="BC37" s="168">
        <f t="shared" ca="1" si="23"/>
        <v>31</v>
      </c>
      <c r="BD37" s="209">
        <f t="shared" ca="1" si="7"/>
        <v>17</v>
      </c>
      <c r="BF37" s="173" t="str">
        <f t="shared" ca="1" si="8"/>
        <v>Empire District Electric Company</v>
      </c>
      <c r="BG37" s="173" t="str">
        <f t="shared" ca="1" si="8"/>
        <v>BBB</v>
      </c>
      <c r="BH37" s="173">
        <f t="shared" ca="1" si="8"/>
        <v>18</v>
      </c>
      <c r="BI37" s="173" t="str">
        <f t="shared" ca="1" si="8"/>
        <v>EDE</v>
      </c>
    </row>
    <row r="38" spans="1:61" ht="13.8" x14ac:dyDescent="0.25">
      <c r="A38" s="223" t="s">
        <v>267</v>
      </c>
      <c r="B38" s="224" t="s">
        <v>141</v>
      </c>
      <c r="C38" s="224">
        <v>18</v>
      </c>
      <c r="D38" s="224" t="s">
        <v>268</v>
      </c>
      <c r="E38" s="225" t="str">
        <f t="shared" ca="1" si="0"/>
        <v>R</v>
      </c>
      <c r="F38" s="348"/>
      <c r="G38" s="349">
        <f t="shared" ca="1" si="1"/>
        <v>23</v>
      </c>
      <c r="H38" s="350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4"/>
        <v>37</v>
      </c>
      <c r="AK38" s="169" t="str">
        <f t="shared" ca="1" si="19"/>
        <v>BBB</v>
      </c>
      <c r="AL38" s="169">
        <f t="shared" ca="1" si="19"/>
        <v>18</v>
      </c>
      <c r="AM38" s="169" t="str">
        <f t="shared" ca="1" si="5"/>
        <v/>
      </c>
      <c r="AQ38" s="207" t="s">
        <v>394</v>
      </c>
      <c r="AR38" s="207" t="s">
        <v>139</v>
      </c>
      <c r="AS38" s="207">
        <v>20</v>
      </c>
      <c r="AT38" s="207" t="s">
        <v>236</v>
      </c>
      <c r="AV38" s="168">
        <f t="shared" si="20"/>
        <v>2</v>
      </c>
      <c r="AW38" s="168">
        <f>COUNTIF( AV$7:AV38, AV38 )</f>
        <v>7</v>
      </c>
      <c r="AX38" s="208">
        <f t="shared" si="21"/>
        <v>2.7</v>
      </c>
      <c r="AY38" s="168">
        <f t="shared" si="22"/>
        <v>8</v>
      </c>
      <c r="AZ38" s="169"/>
      <c r="BA38" s="169"/>
      <c r="BC38" s="168">
        <f t="shared" ca="1" si="23"/>
        <v>32</v>
      </c>
      <c r="BD38" s="209">
        <f t="shared" ca="1" si="7"/>
        <v>19</v>
      </c>
      <c r="BF38" s="173" t="str">
        <f t="shared" ca="1" si="8"/>
        <v>Entergy Corporation</v>
      </c>
      <c r="BG38" s="173" t="str">
        <f t="shared" ca="1" si="8"/>
        <v>BBB</v>
      </c>
      <c r="BH38" s="173">
        <f t="shared" ca="1" si="8"/>
        <v>18</v>
      </c>
      <c r="BI38" s="173" t="str">
        <f t="shared" ca="1" si="8"/>
        <v>ETR</v>
      </c>
    </row>
    <row r="39" spans="1:61" ht="13.8" x14ac:dyDescent="0.25">
      <c r="A39" s="223" t="s">
        <v>269</v>
      </c>
      <c r="B39" s="224" t="s">
        <v>141</v>
      </c>
      <c r="C39" s="224">
        <v>18</v>
      </c>
      <c r="D39" s="224" t="s">
        <v>270</v>
      </c>
      <c r="E39" s="225" t="str">
        <f t="shared" ca="1" si="0"/>
        <v>MR</v>
      </c>
      <c r="F39" s="348"/>
      <c r="G39" s="349">
        <f t="shared" ca="1" si="1"/>
        <v>24</v>
      </c>
      <c r="H39" s="350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4"/>
        <v>38</v>
      </c>
      <c r="AK39" s="169" t="str">
        <f t="shared" ca="1" si="19"/>
        <v>BBB</v>
      </c>
      <c r="AL39" s="169">
        <f t="shared" ca="1" si="19"/>
        <v>18</v>
      </c>
      <c r="AM39" s="169" t="str">
        <f t="shared" ca="1" si="5"/>
        <v/>
      </c>
      <c r="AQ39" s="207" t="s">
        <v>297</v>
      </c>
      <c r="AR39" s="207" t="s">
        <v>141</v>
      </c>
      <c r="AS39" s="207">
        <v>18</v>
      </c>
      <c r="AT39" s="207" t="s">
        <v>298</v>
      </c>
      <c r="AV39" s="168">
        <f t="shared" si="20"/>
        <v>25</v>
      </c>
      <c r="AW39" s="168">
        <f>COUNTIF( AV$7:AV39, AV39 )</f>
        <v>13</v>
      </c>
      <c r="AX39" s="208">
        <f t="shared" si="21"/>
        <v>26.3</v>
      </c>
      <c r="AY39" s="168">
        <f t="shared" si="22"/>
        <v>37</v>
      </c>
      <c r="AZ39" s="169"/>
      <c r="BA39" s="169"/>
      <c r="BC39" s="168">
        <f t="shared" ca="1" si="23"/>
        <v>33</v>
      </c>
      <c r="BD39" s="209">
        <f t="shared" ca="1" si="7"/>
        <v>20</v>
      </c>
      <c r="BF39" s="173" t="str">
        <f t="shared" ref="BF39:BI63" ca="1" si="24">OFFSET( AQ$6, $BD39, 0 )</f>
        <v>Exelon Corporation</v>
      </c>
      <c r="BG39" s="173" t="str">
        <f t="shared" ca="1" si="24"/>
        <v>BBB</v>
      </c>
      <c r="BH39" s="173">
        <f t="shared" ca="1" si="24"/>
        <v>18</v>
      </c>
      <c r="BI39" s="173" t="str">
        <f t="shared" ca="1" si="24"/>
        <v>EXC</v>
      </c>
    </row>
    <row r="40" spans="1:61" ht="13.8" x14ac:dyDescent="0.25">
      <c r="A40" s="223" t="s">
        <v>352</v>
      </c>
      <c r="B40" s="224" t="s">
        <v>141</v>
      </c>
      <c r="C40" s="224">
        <v>18</v>
      </c>
      <c r="D40" s="224" t="s">
        <v>353</v>
      </c>
      <c r="E40" s="225" t="str">
        <f t="shared" ca="1" si="0"/>
        <v>R</v>
      </c>
      <c r="F40" s="348"/>
      <c r="G40" s="349">
        <f t="shared" ca="1" si="1"/>
        <v>26</v>
      </c>
      <c r="H40" s="350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8"/>
        <v/>
      </c>
      <c r="AJ40" s="169">
        <f t="shared" ca="1" si="4"/>
        <v>39</v>
      </c>
      <c r="AK40" s="169" t="str">
        <f t="shared" ca="1" si="19"/>
        <v>BBB</v>
      </c>
      <c r="AL40" s="169">
        <f t="shared" ca="1" si="19"/>
        <v>18</v>
      </c>
      <c r="AM40" s="169" t="str">
        <f t="shared" ca="1" si="5"/>
        <v/>
      </c>
      <c r="AQ40" s="207" t="s">
        <v>411</v>
      </c>
      <c r="AR40" s="207" t="s">
        <v>142</v>
      </c>
      <c r="AS40" s="207">
        <v>17</v>
      </c>
      <c r="AT40" s="207" t="s">
        <v>412</v>
      </c>
      <c r="AV40" s="168">
        <f t="shared" si="20"/>
        <v>45</v>
      </c>
      <c r="AW40" s="168">
        <f>COUNTIF( AV$7:AV40, AV40 )</f>
        <v>6</v>
      </c>
      <c r="AX40" s="208">
        <f t="shared" si="21"/>
        <v>45.6</v>
      </c>
      <c r="AY40" s="168">
        <f t="shared" si="22"/>
        <v>50</v>
      </c>
      <c r="AZ40" s="169"/>
      <c r="BA40" s="169"/>
      <c r="BC40" s="168">
        <f t="shared" ca="1" si="23"/>
        <v>34</v>
      </c>
      <c r="BD40" s="209">
        <f t="shared" ca="1" si="7"/>
        <v>22</v>
      </c>
      <c r="BF40" s="173" t="str">
        <f t="shared" ca="1" si="24"/>
        <v>Great Plains Energy Inc.</v>
      </c>
      <c r="BG40" s="173" t="str">
        <f t="shared" ca="1" si="24"/>
        <v>BBB</v>
      </c>
      <c r="BH40" s="173">
        <f t="shared" ca="1" si="24"/>
        <v>18</v>
      </c>
      <c r="BI40" s="173" t="str">
        <f t="shared" ca="1" si="24"/>
        <v>GXP</v>
      </c>
    </row>
    <row r="41" spans="1:61" ht="13.8" x14ac:dyDescent="0.25">
      <c r="A41" s="223" t="s">
        <v>387</v>
      </c>
      <c r="B41" s="224" t="s">
        <v>141</v>
      </c>
      <c r="C41" s="224">
        <v>18</v>
      </c>
      <c r="D41" s="224" t="s">
        <v>388</v>
      </c>
      <c r="E41" s="225" t="str">
        <f t="shared" ca="1" si="0"/>
        <v>R</v>
      </c>
      <c r="F41" s="348"/>
      <c r="G41" s="349">
        <f t="shared" ca="1" si="1"/>
        <v>58</v>
      </c>
      <c r="H41" s="350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4"/>
        <v>40</v>
      </c>
      <c r="AK41" s="169" t="str">
        <f t="shared" ca="1" si="19"/>
        <v>BBB</v>
      </c>
      <c r="AL41" s="169">
        <f t="shared" ca="1" si="19"/>
        <v>18</v>
      </c>
      <c r="AM41" s="169" t="str">
        <f t="shared" ca="1" si="5"/>
        <v/>
      </c>
      <c r="AQ41" s="207" t="s">
        <v>277</v>
      </c>
      <c r="AR41" s="207" t="s">
        <v>139</v>
      </c>
      <c r="AS41" s="207">
        <v>20</v>
      </c>
      <c r="AT41" s="207" t="s">
        <v>278</v>
      </c>
      <c r="AV41" s="168">
        <f t="shared" si="20"/>
        <v>2</v>
      </c>
      <c r="AW41" s="168">
        <f>COUNTIF( AV$7:AV41, AV41 )</f>
        <v>8</v>
      </c>
      <c r="AX41" s="208">
        <f t="shared" si="21"/>
        <v>2.8</v>
      </c>
      <c r="AY41" s="168">
        <f t="shared" si="22"/>
        <v>9</v>
      </c>
      <c r="AZ41" s="169"/>
      <c r="BA41" s="169"/>
      <c r="BC41" s="168">
        <f t="shared" ca="1" si="23"/>
        <v>35</v>
      </c>
      <c r="BD41" s="209">
        <f t="shared" ca="1" si="7"/>
        <v>24</v>
      </c>
      <c r="BF41" s="173" t="str">
        <f t="shared" ca="1" si="24"/>
        <v>Iberdrola USA</v>
      </c>
      <c r="BG41" s="173" t="str">
        <f t="shared" ca="1" si="24"/>
        <v>BBB</v>
      </c>
      <c r="BH41" s="173">
        <f t="shared" ca="1" si="24"/>
        <v>18</v>
      </c>
      <c r="BI41" s="173" t="str">
        <f t="shared" ca="1" si="24"/>
        <v>**EAST</v>
      </c>
    </row>
    <row r="42" spans="1:61" ht="13.8" x14ac:dyDescent="0.25">
      <c r="A42" s="223" t="s">
        <v>283</v>
      </c>
      <c r="B42" s="224" t="s">
        <v>141</v>
      </c>
      <c r="C42" s="224">
        <v>18</v>
      </c>
      <c r="D42" s="224" t="s">
        <v>284</v>
      </c>
      <c r="E42" s="225" t="str">
        <f t="shared" ca="1" si="0"/>
        <v>R</v>
      </c>
      <c r="F42" s="348"/>
      <c r="G42" s="349">
        <f t="shared" ca="1" si="1"/>
        <v>28</v>
      </c>
      <c r="H42" s="350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4"/>
        <v>41</v>
      </c>
      <c r="AK42" s="169" t="str">
        <f t="shared" ca="1" si="19"/>
        <v>BBB</v>
      </c>
      <c r="AL42" s="169">
        <f t="shared" ca="1" si="19"/>
        <v>18</v>
      </c>
      <c r="AM42" s="169" t="str">
        <f t="shared" ca="1" si="5"/>
        <v/>
      </c>
      <c r="AQ42" s="207" t="s">
        <v>299</v>
      </c>
      <c r="AR42" s="207" t="s">
        <v>141</v>
      </c>
      <c r="AS42" s="207">
        <v>18</v>
      </c>
      <c r="AT42" s="207" t="s">
        <v>300</v>
      </c>
      <c r="AV42" s="168">
        <f t="shared" si="20"/>
        <v>25</v>
      </c>
      <c r="AW42" s="168">
        <f>COUNTIF( AV$7:AV42, AV42 )</f>
        <v>14</v>
      </c>
      <c r="AX42" s="208">
        <f t="shared" si="21"/>
        <v>26.4</v>
      </c>
      <c r="AY42" s="168">
        <f t="shared" si="22"/>
        <v>38</v>
      </c>
      <c r="AZ42" s="169"/>
      <c r="BA42" s="169"/>
      <c r="BC42" s="168">
        <f t="shared" ca="1" si="23"/>
        <v>36</v>
      </c>
      <c r="BD42" s="209">
        <f t="shared" ca="1" si="7"/>
        <v>25</v>
      </c>
      <c r="BF42" s="173" t="str">
        <f t="shared" ca="1" si="24"/>
        <v>IDACORP, Inc.</v>
      </c>
      <c r="BG42" s="173" t="str">
        <f t="shared" ca="1" si="24"/>
        <v>BBB</v>
      </c>
      <c r="BH42" s="173">
        <f t="shared" ca="1" si="24"/>
        <v>18</v>
      </c>
      <c r="BI42" s="173" t="str">
        <f t="shared" ca="1" si="24"/>
        <v>IDA</v>
      </c>
    </row>
    <row r="43" spans="1:61" ht="13.8" x14ac:dyDescent="0.25">
      <c r="A43" s="223" t="s">
        <v>297</v>
      </c>
      <c r="B43" s="224" t="s">
        <v>141</v>
      </c>
      <c r="C43" s="224">
        <v>18</v>
      </c>
      <c r="D43" s="224" t="s">
        <v>298</v>
      </c>
      <c r="E43" s="225" t="str">
        <f t="shared" ca="1" si="0"/>
        <v>R</v>
      </c>
      <c r="F43" s="348"/>
      <c r="G43" s="349">
        <f t="shared" ca="1" si="1"/>
        <v>35</v>
      </c>
      <c r="H43" s="350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4"/>
        <v>42</v>
      </c>
      <c r="AK43" s="169" t="str">
        <f t="shared" ca="1" si="19"/>
        <v>BBB</v>
      </c>
      <c r="AL43" s="169">
        <f t="shared" ca="1" si="19"/>
        <v>18</v>
      </c>
      <c r="AM43" s="169" t="str">
        <f t="shared" ca="1" si="5"/>
        <v/>
      </c>
      <c r="AQ43" s="207" t="s">
        <v>382</v>
      </c>
      <c r="AR43" s="207" t="s">
        <v>140</v>
      </c>
      <c r="AS43" s="207">
        <v>19</v>
      </c>
      <c r="AT43" s="207" t="s">
        <v>383</v>
      </c>
      <c r="AV43" s="168">
        <f t="shared" si="20"/>
        <v>13</v>
      </c>
      <c r="AW43" s="168">
        <f>COUNTIF( AV$7:AV43, AV43 )</f>
        <v>7</v>
      </c>
      <c r="AX43" s="208">
        <f t="shared" si="21"/>
        <v>13.7</v>
      </c>
      <c r="AY43" s="168">
        <f t="shared" si="22"/>
        <v>19</v>
      </c>
      <c r="AZ43" s="169"/>
      <c r="BA43" s="169"/>
      <c r="BC43" s="168">
        <f t="shared" ca="1" si="23"/>
        <v>37</v>
      </c>
      <c r="BD43" s="209">
        <f t="shared" ca="1" si="7"/>
        <v>33</v>
      </c>
      <c r="BF43" s="173" t="str">
        <f t="shared" ca="1" si="24"/>
        <v>NorthWestern Corporation</v>
      </c>
      <c r="BG43" s="173" t="str">
        <f t="shared" ca="1" si="24"/>
        <v>BBB</v>
      </c>
      <c r="BH43" s="173">
        <f t="shared" ca="1" si="24"/>
        <v>18</v>
      </c>
      <c r="BI43" s="173" t="str">
        <f t="shared" ca="1" si="24"/>
        <v>NWE</v>
      </c>
    </row>
    <row r="44" spans="1:61" ht="13.8" x14ac:dyDescent="0.25">
      <c r="A44" s="223" t="s">
        <v>299</v>
      </c>
      <c r="B44" s="224" t="s">
        <v>141</v>
      </c>
      <c r="C44" s="224">
        <v>18</v>
      </c>
      <c r="D44" s="224" t="s">
        <v>300</v>
      </c>
      <c r="E44" s="225" t="str">
        <f t="shared" ca="1" si="0"/>
        <v>MR</v>
      </c>
      <c r="F44" s="348"/>
      <c r="G44" s="349">
        <f t="shared" ca="1" si="1"/>
        <v>38</v>
      </c>
      <c r="H44" s="350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4"/>
        <v>43</v>
      </c>
      <c r="AK44" s="169" t="str">
        <f t="shared" ca="1" si="19"/>
        <v>BBB</v>
      </c>
      <c r="AL44" s="169">
        <f t="shared" ca="1" si="19"/>
        <v>18</v>
      </c>
      <c r="AM44" s="169" t="str">
        <f t="shared" ca="1" si="5"/>
        <v/>
      </c>
      <c r="AQ44" s="207" t="s">
        <v>301</v>
      </c>
      <c r="AR44" s="207" t="s">
        <v>141</v>
      </c>
      <c r="AS44" s="207">
        <v>18</v>
      </c>
      <c r="AT44" s="207" t="s">
        <v>302</v>
      </c>
      <c r="AV44" s="168">
        <f t="shared" si="20"/>
        <v>25</v>
      </c>
      <c r="AW44" s="168">
        <f>COUNTIF( AV$7:AV44, AV44 )</f>
        <v>15</v>
      </c>
      <c r="AX44" s="208">
        <f t="shared" si="21"/>
        <v>26.5</v>
      </c>
      <c r="AY44" s="168">
        <f t="shared" si="22"/>
        <v>39</v>
      </c>
      <c r="AZ44" s="169"/>
      <c r="BA44" s="169"/>
      <c r="BC44" s="168">
        <f t="shared" ca="1" si="23"/>
        <v>38</v>
      </c>
      <c r="BD44" s="209">
        <f t="shared" ca="1" si="7"/>
        <v>36</v>
      </c>
      <c r="BF44" s="173" t="str">
        <f t="shared" ca="1" si="24"/>
        <v>Otter Tail Corporation</v>
      </c>
      <c r="BG44" s="173" t="str">
        <f t="shared" ca="1" si="24"/>
        <v>BBB</v>
      </c>
      <c r="BH44" s="173">
        <f t="shared" ca="1" si="24"/>
        <v>18</v>
      </c>
      <c r="BI44" s="173" t="str">
        <f t="shared" ca="1" si="24"/>
        <v>OTTR</v>
      </c>
    </row>
    <row r="45" spans="1:61" ht="13.8" x14ac:dyDescent="0.25">
      <c r="A45" s="223" t="s">
        <v>301</v>
      </c>
      <c r="B45" s="224" t="s">
        <v>141</v>
      </c>
      <c r="C45" s="224">
        <v>18</v>
      </c>
      <c r="D45" s="224" t="s">
        <v>302</v>
      </c>
      <c r="E45" s="225" t="str">
        <f t="shared" ca="1" si="0"/>
        <v>R</v>
      </c>
      <c r="F45" s="348"/>
      <c r="G45" s="349">
        <f t="shared" ca="1" si="1"/>
        <v>40</v>
      </c>
      <c r="H45" s="350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4"/>
        <v>44</v>
      </c>
      <c r="AK45" s="169" t="str">
        <f t="shared" ca="1" si="19"/>
        <v>BBB</v>
      </c>
      <c r="AL45" s="169">
        <f t="shared" ca="1" si="19"/>
        <v>18</v>
      </c>
      <c r="AM45" s="169" t="str">
        <f t="shared" ca="1" si="5"/>
        <v/>
      </c>
      <c r="AQ45" s="207" t="s">
        <v>281</v>
      </c>
      <c r="AR45" s="207" t="s">
        <v>140</v>
      </c>
      <c r="AS45" s="207">
        <v>19</v>
      </c>
      <c r="AT45" s="207" t="s">
        <v>282</v>
      </c>
      <c r="AV45" s="168">
        <f t="shared" si="20"/>
        <v>13</v>
      </c>
      <c r="AW45" s="168">
        <f>COUNTIF( AV$7:AV45, AV45 )</f>
        <v>8</v>
      </c>
      <c r="AX45" s="208">
        <f t="shared" si="21"/>
        <v>13.8</v>
      </c>
      <c r="AY45" s="168">
        <f t="shared" si="22"/>
        <v>20</v>
      </c>
      <c r="AZ45" s="169"/>
      <c r="BA45" s="169"/>
      <c r="BC45" s="168">
        <f t="shared" ca="1" si="23"/>
        <v>39</v>
      </c>
      <c r="BD45" s="209">
        <f t="shared" ca="1" si="7"/>
        <v>38</v>
      </c>
      <c r="BF45" s="173" t="str">
        <f t="shared" ca="1" si="24"/>
        <v>PG&amp;E Corporation</v>
      </c>
      <c r="BG45" s="173" t="str">
        <f t="shared" ca="1" si="24"/>
        <v>BBB</v>
      </c>
      <c r="BH45" s="173">
        <f t="shared" ca="1" si="24"/>
        <v>18</v>
      </c>
      <c r="BI45" s="173" t="str">
        <f t="shared" ca="1" si="24"/>
        <v>PCG</v>
      </c>
    </row>
    <row r="46" spans="1:61" ht="13.8" x14ac:dyDescent="0.25">
      <c r="A46" s="223" t="s">
        <v>303</v>
      </c>
      <c r="B46" s="224" t="s">
        <v>141</v>
      </c>
      <c r="C46" s="224">
        <v>18</v>
      </c>
      <c r="D46" s="224" t="s">
        <v>304</v>
      </c>
      <c r="E46" s="225" t="str">
        <f t="shared" ca="1" si="0"/>
        <v>R</v>
      </c>
      <c r="F46" s="348"/>
      <c r="G46" s="349">
        <f t="shared" ca="1" si="1"/>
        <v>42</v>
      </c>
      <c r="H46" s="350"/>
      <c r="I46" s="191"/>
      <c r="K46" s="191"/>
      <c r="N46" s="351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4"/>
        <v>45</v>
      </c>
      <c r="AK46" s="169" t="str">
        <f t="shared" ca="1" si="19"/>
        <v>BBB</v>
      </c>
      <c r="AL46" s="169">
        <f t="shared" ca="1" si="19"/>
        <v>18</v>
      </c>
      <c r="AM46" s="169" t="str">
        <f t="shared" ca="1" si="5"/>
        <v/>
      </c>
      <c r="AQ46" s="207" t="s">
        <v>303</v>
      </c>
      <c r="AR46" s="207" t="s">
        <v>141</v>
      </c>
      <c r="AS46" s="207">
        <v>18</v>
      </c>
      <c r="AT46" s="207" t="s">
        <v>304</v>
      </c>
      <c r="AV46" s="168">
        <f t="shared" si="20"/>
        <v>25</v>
      </c>
      <c r="AW46" s="168">
        <f>COUNTIF( AV$7:AV46, AV46 )</f>
        <v>16</v>
      </c>
      <c r="AX46" s="208">
        <f t="shared" si="21"/>
        <v>26.6</v>
      </c>
      <c r="AY46" s="168">
        <f t="shared" si="22"/>
        <v>40</v>
      </c>
      <c r="AZ46" s="169"/>
      <c r="BA46" s="169"/>
      <c r="BC46" s="168">
        <f t="shared" ca="1" si="23"/>
        <v>40</v>
      </c>
      <c r="BD46" s="209">
        <f t="shared" ca="1" si="7"/>
        <v>40</v>
      </c>
      <c r="BF46" s="173" t="str">
        <f t="shared" ca="1" si="24"/>
        <v>PNM Resources, Inc.</v>
      </c>
      <c r="BG46" s="173" t="str">
        <f t="shared" ca="1" si="24"/>
        <v>BBB</v>
      </c>
      <c r="BH46" s="173">
        <f t="shared" ca="1" si="24"/>
        <v>18</v>
      </c>
      <c r="BI46" s="173" t="str">
        <f t="shared" ca="1" si="24"/>
        <v>PNM</v>
      </c>
    </row>
    <row r="47" spans="1:61" ht="13.8" x14ac:dyDescent="0.25">
      <c r="A47" s="223" t="s">
        <v>285</v>
      </c>
      <c r="B47" s="224" t="s">
        <v>141</v>
      </c>
      <c r="C47" s="224">
        <v>18</v>
      </c>
      <c r="D47" s="224" t="s">
        <v>286</v>
      </c>
      <c r="E47" s="225" t="str">
        <f t="shared" ca="1" si="0"/>
        <v>R</v>
      </c>
      <c r="F47" s="348"/>
      <c r="G47" s="349">
        <f t="shared" ca="1" si="1"/>
        <v>43</v>
      </c>
      <c r="H47" s="350"/>
      <c r="I47" s="350"/>
      <c r="J47" s="187" t="s">
        <v>373</v>
      </c>
      <c r="K47" s="191"/>
      <c r="M47" s="351"/>
      <c r="N47" s="351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4"/>
        <v>46</v>
      </c>
      <c r="AK47" s="169" t="str">
        <f t="shared" ca="1" si="19"/>
        <v>BBB</v>
      </c>
      <c r="AL47" s="169">
        <f t="shared" ca="1" si="19"/>
        <v>18</v>
      </c>
      <c r="AM47" s="169" t="str">
        <f t="shared" ca="1" si="5"/>
        <v/>
      </c>
      <c r="AQ47" s="207" t="s">
        <v>285</v>
      </c>
      <c r="AR47" s="207" t="s">
        <v>141</v>
      </c>
      <c r="AS47" s="207">
        <v>18</v>
      </c>
      <c r="AT47" s="207" t="s">
        <v>286</v>
      </c>
      <c r="AV47" s="168">
        <f t="shared" si="20"/>
        <v>25</v>
      </c>
      <c r="AW47" s="168">
        <f>COUNTIF( AV$7:AV47, AV47 )</f>
        <v>17</v>
      </c>
      <c r="AX47" s="208">
        <f t="shared" si="21"/>
        <v>26.7</v>
      </c>
      <c r="AY47" s="168">
        <f t="shared" si="22"/>
        <v>41</v>
      </c>
      <c r="AZ47" s="169"/>
      <c r="BA47" s="169"/>
      <c r="BC47" s="168">
        <f t="shared" ca="1" si="23"/>
        <v>41</v>
      </c>
      <c r="BD47" s="209">
        <f t="shared" ca="1" si="7"/>
        <v>41</v>
      </c>
      <c r="BF47" s="173" t="str">
        <f t="shared" ca="1" si="24"/>
        <v>Portland General Electric Company</v>
      </c>
      <c r="BG47" s="173" t="str">
        <f t="shared" ca="1" si="24"/>
        <v>BBB</v>
      </c>
      <c r="BH47" s="173">
        <f t="shared" ca="1" si="24"/>
        <v>18</v>
      </c>
      <c r="BI47" s="173" t="str">
        <f t="shared" ca="1" si="24"/>
        <v>POR</v>
      </c>
    </row>
    <row r="48" spans="1:61" ht="13.8" x14ac:dyDescent="0.25">
      <c r="A48" s="223" t="s">
        <v>243</v>
      </c>
      <c r="B48" s="224" t="s">
        <v>141</v>
      </c>
      <c r="C48" s="224">
        <v>18</v>
      </c>
      <c r="D48" s="224" t="s">
        <v>244</v>
      </c>
      <c r="E48" s="225" t="str">
        <f t="shared" ca="1" si="0"/>
        <v>MR</v>
      </c>
      <c r="F48" s="348"/>
      <c r="G48" s="349">
        <f t="shared" ca="1" si="1"/>
        <v>44</v>
      </c>
      <c r="H48" s="350"/>
      <c r="I48" s="350"/>
      <c r="K48" s="191"/>
      <c r="M48" s="351"/>
      <c r="N48" s="351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4"/>
        <v>47</v>
      </c>
      <c r="AK48" s="169" t="str">
        <f t="shared" ca="1" si="19"/>
        <v>BBB</v>
      </c>
      <c r="AL48" s="169">
        <f t="shared" ca="1" si="19"/>
        <v>18</v>
      </c>
      <c r="AM48" s="169" t="str">
        <f t="shared" ca="1" si="5"/>
        <v/>
      </c>
      <c r="AQ48" s="207" t="s">
        <v>243</v>
      </c>
      <c r="AR48" s="207" t="s">
        <v>141</v>
      </c>
      <c r="AS48" s="207">
        <v>18</v>
      </c>
      <c r="AT48" s="207" t="s">
        <v>244</v>
      </c>
      <c r="AV48" s="168">
        <f t="shared" si="20"/>
        <v>25</v>
      </c>
      <c r="AW48" s="168">
        <f>COUNTIF( AV$7:AV48, AV48 )</f>
        <v>18</v>
      </c>
      <c r="AX48" s="208">
        <f t="shared" si="21"/>
        <v>26.8</v>
      </c>
      <c r="AY48" s="168">
        <f t="shared" si="22"/>
        <v>42</v>
      </c>
      <c r="AZ48" s="169"/>
      <c r="BA48" s="169"/>
      <c r="BC48" s="168">
        <f t="shared" ca="1" si="23"/>
        <v>42</v>
      </c>
      <c r="BD48" s="209">
        <f t="shared" ca="1" si="7"/>
        <v>42</v>
      </c>
      <c r="BF48" s="173" t="str">
        <f t="shared" ca="1" si="24"/>
        <v>PPL Corporation</v>
      </c>
      <c r="BG48" s="173" t="str">
        <f t="shared" ca="1" si="24"/>
        <v>BBB</v>
      </c>
      <c r="BH48" s="173">
        <f t="shared" ca="1" si="24"/>
        <v>18</v>
      </c>
      <c r="BI48" s="173" t="str">
        <f t="shared" ca="1" si="24"/>
        <v>PPL</v>
      </c>
    </row>
    <row r="49" spans="1:61" ht="13.8" x14ac:dyDescent="0.25">
      <c r="A49" s="223" t="s">
        <v>389</v>
      </c>
      <c r="B49" s="224" t="s">
        <v>141</v>
      </c>
      <c r="C49" s="224">
        <v>18</v>
      </c>
      <c r="D49" s="224" t="s">
        <v>390</v>
      </c>
      <c r="E49" s="225" t="str">
        <f t="shared" ca="1" si="0"/>
        <v>R</v>
      </c>
      <c r="F49" s="348"/>
      <c r="G49" s="349">
        <f t="shared" ca="1" si="1"/>
        <v>50</v>
      </c>
      <c r="H49" s="350"/>
      <c r="I49" s="350"/>
      <c r="J49" s="191"/>
      <c r="K49" s="191"/>
      <c r="M49" s="351"/>
      <c r="N49" s="351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4"/>
        <v>48</v>
      </c>
      <c r="AK49" s="169" t="str">
        <f t="shared" ca="1" si="19"/>
        <v>BBB</v>
      </c>
      <c r="AL49" s="169">
        <f t="shared" ca="1" si="19"/>
        <v>18</v>
      </c>
      <c r="AM49" s="169" t="str">
        <f t="shared" ca="1" si="5"/>
        <v/>
      </c>
      <c r="AQ49" s="207" t="s">
        <v>289</v>
      </c>
      <c r="AR49" s="207" t="s">
        <v>140</v>
      </c>
      <c r="AS49" s="207">
        <v>19</v>
      </c>
      <c r="AT49" s="207" t="s">
        <v>290</v>
      </c>
      <c r="AV49" s="168">
        <f t="shared" si="20"/>
        <v>13</v>
      </c>
      <c r="AW49" s="168">
        <f>COUNTIF( AV$7:AV49, AV49 )</f>
        <v>9</v>
      </c>
      <c r="AX49" s="208">
        <f t="shared" si="21"/>
        <v>13.9</v>
      </c>
      <c r="AY49" s="168">
        <f t="shared" si="22"/>
        <v>21</v>
      </c>
      <c r="AZ49" s="169"/>
      <c r="BA49" s="169"/>
      <c r="BC49" s="168">
        <f t="shared" ca="1" si="23"/>
        <v>43</v>
      </c>
      <c r="BD49" s="209">
        <f t="shared" ca="1" si="7"/>
        <v>49</v>
      </c>
      <c r="BF49" s="173" t="str">
        <f t="shared" ca="1" si="24"/>
        <v>UIL Holdings Corporation</v>
      </c>
      <c r="BG49" s="173" t="str">
        <f t="shared" ca="1" si="24"/>
        <v>BBB</v>
      </c>
      <c r="BH49" s="173">
        <f t="shared" ca="1" si="24"/>
        <v>18</v>
      </c>
      <c r="BI49" s="173" t="str">
        <f t="shared" ca="1" si="24"/>
        <v>UIL</v>
      </c>
    </row>
    <row r="50" spans="1:61" ht="13.8" x14ac:dyDescent="0.25">
      <c r="A50" s="223" t="s">
        <v>354</v>
      </c>
      <c r="B50" s="224" t="s">
        <v>141</v>
      </c>
      <c r="C50" s="224">
        <v>18</v>
      </c>
      <c r="D50" s="224" t="s">
        <v>355</v>
      </c>
      <c r="E50" s="225" t="str">
        <f t="shared" ca="1" si="0"/>
        <v>R</v>
      </c>
      <c r="F50" s="348"/>
      <c r="G50" s="349">
        <f t="shared" ca="1" si="1"/>
        <v>54</v>
      </c>
      <c r="H50" s="350"/>
      <c r="I50" s="350"/>
      <c r="J50" s="191"/>
      <c r="K50" s="191"/>
      <c r="M50" s="351"/>
      <c r="N50" s="351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4"/>
        <v>49</v>
      </c>
      <c r="AK50" s="169" t="str">
        <f t="shared" ca="1" si="19"/>
        <v>BBB</v>
      </c>
      <c r="AL50" s="169">
        <f t="shared" ca="1" si="19"/>
        <v>18</v>
      </c>
      <c r="AM50" s="169" t="str">
        <f t="shared" ca="1" si="5"/>
        <v/>
      </c>
      <c r="AQ50" s="207" t="s">
        <v>305</v>
      </c>
      <c r="AR50" s="207" t="s">
        <v>173</v>
      </c>
      <c r="AS50" s="207">
        <v>16</v>
      </c>
      <c r="AT50" s="207" t="s">
        <v>306</v>
      </c>
      <c r="AV50" s="168">
        <f t="shared" si="20"/>
        <v>51</v>
      </c>
      <c r="AW50" s="168">
        <f>COUNTIF( AV$7:AV50, AV50 )</f>
        <v>1</v>
      </c>
      <c r="AX50" s="208">
        <f t="shared" si="21"/>
        <v>51.1</v>
      </c>
      <c r="AY50" s="168">
        <f t="shared" si="22"/>
        <v>51</v>
      </c>
      <c r="AZ50" s="169"/>
      <c r="BA50" s="169"/>
      <c r="BC50" s="168">
        <f t="shared" ca="1" si="23"/>
        <v>44</v>
      </c>
      <c r="BD50" s="209">
        <f t="shared" ca="1" si="7"/>
        <v>51</v>
      </c>
      <c r="BF50" s="173" t="str">
        <f t="shared" ca="1" si="24"/>
        <v>Westar Energy, Inc.</v>
      </c>
      <c r="BG50" s="173" t="str">
        <f t="shared" ca="1" si="24"/>
        <v>BBB</v>
      </c>
      <c r="BH50" s="173">
        <f t="shared" ca="1" si="24"/>
        <v>18</v>
      </c>
      <c r="BI50" s="173" t="str">
        <f t="shared" ca="1" si="24"/>
        <v>WR</v>
      </c>
    </row>
    <row r="51" spans="1:61" ht="13.8" x14ac:dyDescent="0.25">
      <c r="A51" s="223" t="s">
        <v>265</v>
      </c>
      <c r="B51" s="224" t="s">
        <v>142</v>
      </c>
      <c r="C51" s="224">
        <v>17</v>
      </c>
      <c r="D51" s="224" t="s">
        <v>266</v>
      </c>
      <c r="E51" s="225" t="str">
        <f t="shared" ca="1" si="0"/>
        <v>R</v>
      </c>
      <c r="F51" s="348"/>
      <c r="G51" s="349">
        <f t="shared" ca="1" si="1"/>
        <v>20</v>
      </c>
      <c r="H51" s="350"/>
      <c r="I51" s="350"/>
      <c r="J51" s="191"/>
      <c r="K51" s="191"/>
      <c r="M51" s="351"/>
      <c r="N51" s="351"/>
      <c r="AF51" s="169">
        <f t="shared" si="2"/>
        <v>1</v>
      </c>
      <c r="AG51" s="169" t="str">
        <f t="shared" ca="1" si="3"/>
        <v/>
      </c>
      <c r="AH51" s="169" t="str">
        <f t="shared" ca="1" si="18"/>
        <v/>
      </c>
      <c r="AJ51" s="169">
        <f t="shared" ca="1" si="4"/>
        <v>51</v>
      </c>
      <c r="AK51" s="169" t="str">
        <f t="shared" ca="1" si="19"/>
        <v>BBB-</v>
      </c>
      <c r="AL51" s="169">
        <f t="shared" ca="1" si="19"/>
        <v>17</v>
      </c>
      <c r="AM51" s="169" t="str">
        <f t="shared" ca="1" si="5"/>
        <v/>
      </c>
      <c r="AQ51" s="207" t="s">
        <v>347</v>
      </c>
      <c r="AR51" s="207" t="s">
        <v>140</v>
      </c>
      <c r="AS51" s="207">
        <v>19</v>
      </c>
      <c r="AT51" s="207" t="s">
        <v>348</v>
      </c>
      <c r="AV51" s="168">
        <f t="shared" si="20"/>
        <v>13</v>
      </c>
      <c r="AW51" s="168">
        <f>COUNTIF( AV$7:AV51, AV51 )</f>
        <v>10</v>
      </c>
      <c r="AX51" s="208">
        <f t="shared" si="21"/>
        <v>14</v>
      </c>
      <c r="AY51" s="168">
        <f t="shared" si="22"/>
        <v>22</v>
      </c>
      <c r="AZ51" s="169"/>
      <c r="BA51" s="169"/>
      <c r="BC51" s="168">
        <f t="shared" ca="1" si="23"/>
        <v>45</v>
      </c>
      <c r="BD51" s="209">
        <f t="shared" ca="1" si="7"/>
        <v>15</v>
      </c>
      <c r="BF51" s="173" t="str">
        <f t="shared" ca="1" si="24"/>
        <v>Edison International</v>
      </c>
      <c r="BG51" s="173" t="str">
        <f t="shared" ca="1" si="24"/>
        <v>BBB-</v>
      </c>
      <c r="BH51" s="173">
        <f t="shared" ca="1" si="24"/>
        <v>17</v>
      </c>
      <c r="BI51" s="173" t="str">
        <f t="shared" ca="1" si="24"/>
        <v>EIX</v>
      </c>
    </row>
    <row r="52" spans="1:61" ht="13.8" x14ac:dyDescent="0.25">
      <c r="A52" s="223" t="s">
        <v>275</v>
      </c>
      <c r="B52" s="224" t="s">
        <v>142</v>
      </c>
      <c r="C52" s="224">
        <v>17</v>
      </c>
      <c r="D52" s="224" t="s">
        <v>276</v>
      </c>
      <c r="E52" s="225" t="str">
        <f t="shared" ca="1" si="0"/>
        <v>MR</v>
      </c>
      <c r="F52" s="348"/>
      <c r="G52" s="349">
        <f t="shared" ca="1" si="1"/>
        <v>25</v>
      </c>
      <c r="H52" s="350"/>
      <c r="I52" s="350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8"/>
        <v/>
      </c>
      <c r="AJ52" s="169">
        <f t="shared" ca="1" si="4"/>
        <v>52</v>
      </c>
      <c r="AK52" s="169" t="str">
        <f t="shared" ca="1" si="19"/>
        <v>BBB-</v>
      </c>
      <c r="AL52" s="169">
        <f t="shared" ca="1" si="19"/>
        <v>17</v>
      </c>
      <c r="AM52" s="169" t="str">
        <f t="shared" ca="1" si="5"/>
        <v/>
      </c>
      <c r="AQ52" s="207" t="s">
        <v>291</v>
      </c>
      <c r="AR52" s="207" t="s">
        <v>140</v>
      </c>
      <c r="AS52" s="207">
        <v>19</v>
      </c>
      <c r="AT52" s="207" t="s">
        <v>292</v>
      </c>
      <c r="AV52" s="168">
        <f t="shared" si="20"/>
        <v>13</v>
      </c>
      <c r="AW52" s="168">
        <f>COUNTIF( AV$7:AV52, AV52 )</f>
        <v>11</v>
      </c>
      <c r="AX52" s="208">
        <f t="shared" si="21"/>
        <v>14.1</v>
      </c>
      <c r="AY52" s="168">
        <f t="shared" si="22"/>
        <v>23</v>
      </c>
      <c r="AZ52" s="169"/>
      <c r="BA52" s="169"/>
      <c r="BC52" s="168">
        <f t="shared" ca="1" si="23"/>
        <v>46</v>
      </c>
      <c r="BD52" s="209">
        <f t="shared" ca="1" si="7"/>
        <v>21</v>
      </c>
      <c r="BF52" s="173" t="str">
        <f t="shared" ca="1" si="24"/>
        <v>FirstEnergy Corp.</v>
      </c>
      <c r="BG52" s="173" t="str">
        <f t="shared" ca="1" si="24"/>
        <v>BBB-</v>
      </c>
      <c r="BH52" s="173">
        <f t="shared" ca="1" si="24"/>
        <v>17</v>
      </c>
      <c r="BI52" s="173" t="str">
        <f t="shared" ca="1" si="24"/>
        <v>FE</v>
      </c>
    </row>
    <row r="53" spans="1:61" ht="13.8" x14ac:dyDescent="0.25">
      <c r="A53" s="223" t="s">
        <v>279</v>
      </c>
      <c r="B53" s="224" t="s">
        <v>142</v>
      </c>
      <c r="C53" s="224">
        <v>17</v>
      </c>
      <c r="D53" s="224" t="s">
        <v>280</v>
      </c>
      <c r="E53" s="225" t="str">
        <f t="shared" ca="1" si="0"/>
        <v>MR</v>
      </c>
      <c r="F53" s="348"/>
      <c r="G53" s="349">
        <f t="shared" ca="1" si="1"/>
        <v>27</v>
      </c>
      <c r="H53" s="350"/>
      <c r="I53" s="350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4"/>
        <v>53</v>
      </c>
      <c r="AK53" s="169" t="str">
        <f t="shared" ca="1" si="19"/>
        <v>BBB-</v>
      </c>
      <c r="AL53" s="169">
        <f t="shared" ca="1" si="19"/>
        <v>17</v>
      </c>
      <c r="AM53" s="169" t="str">
        <f t="shared" ca="1" si="5"/>
        <v/>
      </c>
      <c r="AQ53" s="207" t="s">
        <v>293</v>
      </c>
      <c r="AR53" s="207" t="s">
        <v>166</v>
      </c>
      <c r="AS53" s="207">
        <v>21</v>
      </c>
      <c r="AT53" s="207" t="s">
        <v>294</v>
      </c>
      <c r="AV53" s="168">
        <f t="shared" si="20"/>
        <v>1</v>
      </c>
      <c r="AW53" s="168">
        <f>COUNTIF( AV$7:AV53, AV53 )</f>
        <v>1</v>
      </c>
      <c r="AX53" s="208">
        <f t="shared" si="21"/>
        <v>1.1000000000000001</v>
      </c>
      <c r="AY53" s="168">
        <f t="shared" si="22"/>
        <v>1</v>
      </c>
      <c r="AZ53" s="169"/>
      <c r="BA53" s="169"/>
      <c r="BC53" s="168">
        <f t="shared" ca="1" si="23"/>
        <v>47</v>
      </c>
      <c r="BD53" s="209">
        <f t="shared" ca="1" si="7"/>
        <v>23</v>
      </c>
      <c r="BF53" s="173" t="str">
        <f t="shared" ca="1" si="24"/>
        <v>Hawaiian Electric Industries, Inc.</v>
      </c>
      <c r="BG53" s="173" t="str">
        <f t="shared" ca="1" si="24"/>
        <v>BBB-</v>
      </c>
      <c r="BH53" s="173">
        <f t="shared" ca="1" si="24"/>
        <v>17</v>
      </c>
      <c r="BI53" s="173" t="str">
        <f t="shared" ca="1" si="24"/>
        <v>HE</v>
      </c>
    </row>
    <row r="54" spans="1:61" ht="13.8" x14ac:dyDescent="0.25">
      <c r="A54" s="223" t="s">
        <v>287</v>
      </c>
      <c r="B54" s="224" t="s">
        <v>142</v>
      </c>
      <c r="C54" s="224">
        <v>17</v>
      </c>
      <c r="D54" s="224" t="s">
        <v>288</v>
      </c>
      <c r="E54" s="225" t="str">
        <f t="shared" ca="1" si="0"/>
        <v>R</v>
      </c>
      <c r="F54" s="348"/>
      <c r="G54" s="349">
        <f t="shared" ca="1" si="1"/>
        <v>61</v>
      </c>
      <c r="H54" s="350"/>
      <c r="I54" s="350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8"/>
        <v/>
      </c>
      <c r="AJ54" s="169">
        <f t="shared" ca="1" si="4"/>
        <v>54</v>
      </c>
      <c r="AK54" s="169" t="str">
        <f t="shared" ca="1" si="19"/>
        <v>BBB-</v>
      </c>
      <c r="AL54" s="169">
        <f t="shared" ca="1" si="19"/>
        <v>17</v>
      </c>
      <c r="AM54" s="169" t="str">
        <f t="shared" ca="1" si="5"/>
        <v/>
      </c>
      <c r="AQ54" s="207" t="s">
        <v>369</v>
      </c>
      <c r="AR54" s="207" t="s">
        <v>140</v>
      </c>
      <c r="AS54" s="207">
        <v>19</v>
      </c>
      <c r="AT54" s="207" t="s">
        <v>375</v>
      </c>
      <c r="AV54" s="168">
        <f t="shared" si="20"/>
        <v>13</v>
      </c>
      <c r="AW54" s="168">
        <f>COUNTIF( AV$7:AV54, AV54 )</f>
        <v>12</v>
      </c>
      <c r="AX54" s="208">
        <f t="shared" si="21"/>
        <v>14.2</v>
      </c>
      <c r="AY54" s="168">
        <f t="shared" si="22"/>
        <v>24</v>
      </c>
      <c r="AZ54" s="169"/>
      <c r="BA54" s="169"/>
      <c r="BC54" s="168">
        <f t="shared" ca="1" si="23"/>
        <v>48</v>
      </c>
      <c r="BD54" s="209">
        <f t="shared" ca="1" si="7"/>
        <v>27</v>
      </c>
      <c r="BF54" s="173" t="str">
        <f t="shared" ca="1" si="24"/>
        <v>IPALCO Enterprises, Inc.</v>
      </c>
      <c r="BG54" s="173" t="str">
        <f t="shared" ca="1" si="24"/>
        <v>BBB-</v>
      </c>
      <c r="BH54" s="173">
        <f t="shared" ca="1" si="24"/>
        <v>17</v>
      </c>
      <c r="BI54" s="173" t="str">
        <f t="shared" ca="1" si="24"/>
        <v>**IPALCO</v>
      </c>
    </row>
    <row r="55" spans="1:61" ht="13.8" x14ac:dyDescent="0.25">
      <c r="A55" s="223" t="s">
        <v>273</v>
      </c>
      <c r="B55" s="224" t="s">
        <v>142</v>
      </c>
      <c r="C55" s="224">
        <v>17</v>
      </c>
      <c r="D55" s="224" t="s">
        <v>274</v>
      </c>
      <c r="E55" s="225" t="str">
        <f t="shared" ca="1" si="0"/>
        <v>MR</v>
      </c>
      <c r="F55" s="348"/>
      <c r="G55" s="349">
        <f t="shared" ca="1" si="1"/>
        <v>33</v>
      </c>
      <c r="H55" s="350"/>
      <c r="I55" s="350"/>
      <c r="J55" s="191"/>
      <c r="K55" s="191"/>
      <c r="AF55" s="169">
        <f t="shared" si="2"/>
        <v>1</v>
      </c>
      <c r="AG55" s="169" t="str">
        <f t="shared" ca="1" si="3"/>
        <v/>
      </c>
      <c r="AH55" s="169" t="str">
        <f t="shared" ca="1" si="18"/>
        <v/>
      </c>
      <c r="AJ55" s="169">
        <f t="shared" ca="1" si="4"/>
        <v>55</v>
      </c>
      <c r="AK55" s="169" t="str">
        <f t="shared" ca="1" si="19"/>
        <v>BBB-</v>
      </c>
      <c r="AL55" s="169">
        <f t="shared" ca="1" si="19"/>
        <v>17</v>
      </c>
      <c r="AM55" s="169" t="str">
        <f t="shared" ca="1" si="5"/>
        <v/>
      </c>
      <c r="AQ55" s="207" t="s">
        <v>389</v>
      </c>
      <c r="AR55" s="207" t="s">
        <v>141</v>
      </c>
      <c r="AS55" s="207">
        <v>18</v>
      </c>
      <c r="AT55" s="207" t="s">
        <v>390</v>
      </c>
      <c r="AV55" s="168">
        <f t="shared" si="20"/>
        <v>25</v>
      </c>
      <c r="AW55" s="168">
        <f>COUNTIF( AV$7:AV55, AV55 )</f>
        <v>19</v>
      </c>
      <c r="AX55" s="208">
        <f t="shared" si="21"/>
        <v>26.9</v>
      </c>
      <c r="AY55" s="168">
        <f t="shared" si="22"/>
        <v>43</v>
      </c>
      <c r="AZ55" s="169"/>
      <c r="BA55" s="169"/>
      <c r="BC55" s="168">
        <f t="shared" ca="1" si="23"/>
        <v>49</v>
      </c>
      <c r="BD55" s="209">
        <f t="shared" ca="1" si="7"/>
        <v>31</v>
      </c>
      <c r="BF55" s="173" t="str">
        <f t="shared" ca="1" si="24"/>
        <v>NiSource Inc.</v>
      </c>
      <c r="BG55" s="173" t="str">
        <f t="shared" ca="1" si="24"/>
        <v>BBB-</v>
      </c>
      <c r="BH55" s="173">
        <f t="shared" ca="1" si="24"/>
        <v>17</v>
      </c>
      <c r="BI55" s="173" t="str">
        <f t="shared" ca="1" si="24"/>
        <v>NI</v>
      </c>
    </row>
    <row r="56" spans="1:61" ht="13.8" x14ac:dyDescent="0.25">
      <c r="A56" s="223" t="s">
        <v>411</v>
      </c>
      <c r="B56" s="224" t="s">
        <v>142</v>
      </c>
      <c r="C56" s="224">
        <v>17</v>
      </c>
      <c r="D56" s="224" t="s">
        <v>412</v>
      </c>
      <c r="E56" s="225" t="str">
        <f t="shared" ca="1" si="0"/>
        <v>R</v>
      </c>
      <c r="F56" s="348"/>
      <c r="G56" s="349">
        <f t="shared" ca="1" si="1"/>
        <v>36</v>
      </c>
      <c r="H56" s="350"/>
      <c r="I56" s="350"/>
      <c r="J56" s="191"/>
      <c r="K56" s="191"/>
      <c r="AF56" s="169">
        <f t="shared" si="2"/>
        <v>1</v>
      </c>
      <c r="AG56" s="169" t="str">
        <f t="shared" ca="1" si="3"/>
        <v/>
      </c>
      <c r="AH56" s="169" t="str">
        <f t="shared" ca="1" si="18"/>
        <v/>
      </c>
      <c r="AJ56" s="169">
        <f t="shared" ca="1" si="4"/>
        <v>56</v>
      </c>
      <c r="AK56" s="169" t="str">
        <f t="shared" ca="1" si="19"/>
        <v>BBB-</v>
      </c>
      <c r="AL56" s="169">
        <f t="shared" ca="1" si="19"/>
        <v>17</v>
      </c>
      <c r="AM56" s="169" t="str">
        <f t="shared" ca="1" si="5"/>
        <v/>
      </c>
      <c r="AQ56" s="207" t="s">
        <v>345</v>
      </c>
      <c r="AR56" s="207" t="s">
        <v>139</v>
      </c>
      <c r="AS56" s="207">
        <v>20</v>
      </c>
      <c r="AT56" s="207" t="s">
        <v>346</v>
      </c>
      <c r="AV56" s="168">
        <f t="shared" si="20"/>
        <v>2</v>
      </c>
      <c r="AW56" s="168">
        <f>COUNTIF( AV$7:AV56, AV56 )</f>
        <v>9</v>
      </c>
      <c r="AX56" s="208">
        <f t="shared" si="21"/>
        <v>2.9</v>
      </c>
      <c r="AY56" s="168">
        <f t="shared" si="22"/>
        <v>10</v>
      </c>
      <c r="AZ56" s="169"/>
      <c r="BA56" s="169"/>
      <c r="BC56" s="168">
        <f t="shared" ca="1" si="23"/>
        <v>50</v>
      </c>
      <c r="BD56" s="209">
        <f t="shared" ca="1" si="7"/>
        <v>34</v>
      </c>
      <c r="BF56" s="173" t="str">
        <f t="shared" ca="1" si="24"/>
        <v>NV Energy, Inc.</v>
      </c>
      <c r="BG56" s="173" t="str">
        <f t="shared" ca="1" si="24"/>
        <v>BBB-</v>
      </c>
      <c r="BH56" s="173">
        <f t="shared" ca="1" si="24"/>
        <v>17</v>
      </c>
      <c r="BI56" s="173" t="str">
        <f t="shared" ca="1" si="24"/>
        <v>NVE</v>
      </c>
    </row>
    <row r="57" spans="1:61" ht="13.8" x14ac:dyDescent="0.25">
      <c r="A57" s="223" t="s">
        <v>305</v>
      </c>
      <c r="B57" s="224" t="s">
        <v>173</v>
      </c>
      <c r="C57" s="224">
        <v>16</v>
      </c>
      <c r="D57" s="224" t="s">
        <v>306</v>
      </c>
      <c r="E57" s="225" t="str">
        <f t="shared" ca="1" si="0"/>
        <v>R</v>
      </c>
      <c r="F57" s="348"/>
      <c r="G57" s="349">
        <f t="shared" ca="1" si="1"/>
        <v>63</v>
      </c>
      <c r="H57" s="350"/>
      <c r="I57" s="350"/>
      <c r="J57" s="191"/>
      <c r="K57" s="191"/>
      <c r="AF57" s="169">
        <f t="shared" si="2"/>
        <v>0</v>
      </c>
      <c r="AG57" s="169" t="str">
        <f t="shared" ca="1" si="3"/>
        <v/>
      </c>
      <c r="AH57" s="169" t="str">
        <f t="shared" ca="1" si="18"/>
        <v/>
      </c>
      <c r="AJ57" s="169">
        <f t="shared" ca="1" si="4"/>
        <v>57</v>
      </c>
      <c r="AK57" s="169" t="str">
        <f t="shared" ca="1" si="19"/>
        <v>BB+</v>
      </c>
      <c r="AL57" s="169">
        <f t="shared" ca="1" si="19"/>
        <v>16</v>
      </c>
      <c r="AM57" s="169" t="str">
        <f t="shared" ca="1" si="5"/>
        <v/>
      </c>
      <c r="AQ57" s="207" t="s">
        <v>354</v>
      </c>
      <c r="AR57" s="207" t="s">
        <v>141</v>
      </c>
      <c r="AS57" s="207">
        <v>18</v>
      </c>
      <c r="AT57" s="207" t="s">
        <v>355</v>
      </c>
      <c r="AV57" s="168">
        <f t="shared" si="20"/>
        <v>25</v>
      </c>
      <c r="AW57" s="168">
        <f>COUNTIF( AV$7:AV57, AV57 )</f>
        <v>20</v>
      </c>
      <c r="AX57" s="208">
        <f t="shared" si="21"/>
        <v>27</v>
      </c>
      <c r="AY57" s="168">
        <f t="shared" si="22"/>
        <v>44</v>
      </c>
      <c r="AZ57" s="169"/>
      <c r="BA57" s="169"/>
      <c r="BC57" s="168">
        <f t="shared" ca="1" si="23"/>
        <v>51</v>
      </c>
      <c r="BD57" s="209">
        <f t="shared" ca="1" si="7"/>
        <v>44</v>
      </c>
      <c r="BF57" s="173" t="str">
        <f t="shared" ca="1" si="24"/>
        <v>Puget Energy, Inc.</v>
      </c>
      <c r="BG57" s="173" t="str">
        <f t="shared" ca="1" si="24"/>
        <v>BB+</v>
      </c>
      <c r="BH57" s="173">
        <f t="shared" ca="1" si="24"/>
        <v>16</v>
      </c>
      <c r="BI57" s="173" t="str">
        <f t="shared" ca="1" si="24"/>
        <v>**PSD</v>
      </c>
    </row>
    <row r="58" spans="1:61" ht="13.8" x14ac:dyDescent="0.25">
      <c r="A58" s="223" t="s">
        <v>259</v>
      </c>
      <c r="B58" s="224" t="s">
        <v>175</v>
      </c>
      <c r="C58" s="224">
        <v>15</v>
      </c>
      <c r="D58" s="224" t="s">
        <v>260</v>
      </c>
      <c r="E58" s="225" t="str">
        <f t="shared" ca="1" si="0"/>
        <v>R</v>
      </c>
      <c r="F58" s="348"/>
      <c r="G58" s="349">
        <f t="shared" ca="1" si="1"/>
        <v>59</v>
      </c>
      <c r="H58" s="350"/>
      <c r="I58" s="350"/>
      <c r="J58" s="191"/>
      <c r="K58" s="191"/>
      <c r="AF58" s="169">
        <f t="shared" si="2"/>
        <v>1</v>
      </c>
      <c r="AG58" s="169" t="str">
        <f t="shared" ca="1" si="3"/>
        <v/>
      </c>
      <c r="AH58" s="169" t="str">
        <f t="shared" ca="1" si="18"/>
        <v/>
      </c>
      <c r="AJ58" s="169">
        <f t="shared" ca="1" si="4"/>
        <v>58</v>
      </c>
      <c r="AK58" s="169" t="str">
        <f t="shared" ca="1" si="19"/>
        <v>BB</v>
      </c>
      <c r="AL58" s="169">
        <f t="shared" ca="1" si="19"/>
        <v>15</v>
      </c>
      <c r="AM58" s="169" t="str">
        <f t="shared" ca="1" si="5"/>
        <v/>
      </c>
      <c r="AQ58" s="207" t="s">
        <v>247</v>
      </c>
      <c r="AR58" s="207" t="s">
        <v>139</v>
      </c>
      <c r="AS58" s="207">
        <v>20</v>
      </c>
      <c r="AT58" s="207" t="s">
        <v>248</v>
      </c>
      <c r="AV58" s="168">
        <f t="shared" si="20"/>
        <v>2</v>
      </c>
      <c r="AW58" s="168">
        <f>COUNTIF( AV$7:AV58, AV58 )</f>
        <v>10</v>
      </c>
      <c r="AX58" s="208">
        <f t="shared" si="21"/>
        <v>3</v>
      </c>
      <c r="AY58" s="168">
        <f t="shared" si="22"/>
        <v>11</v>
      </c>
      <c r="AZ58" s="169"/>
      <c r="BA58" s="169"/>
      <c r="BC58" s="168">
        <f t="shared" ca="1" si="23"/>
        <v>52</v>
      </c>
      <c r="BD58" s="209">
        <f t="shared" ca="1" si="7"/>
        <v>12</v>
      </c>
      <c r="BF58" s="173" t="str">
        <f t="shared" ca="1" si="24"/>
        <v>DPL Inc.</v>
      </c>
      <c r="BG58" s="173" t="str">
        <f t="shared" ca="1" si="24"/>
        <v>BB</v>
      </c>
      <c r="BH58" s="173">
        <f t="shared" ca="1" si="24"/>
        <v>15</v>
      </c>
      <c r="BI58" s="173" t="str">
        <f t="shared" ca="1" si="24"/>
        <v>**DPL</v>
      </c>
    </row>
    <row r="59" spans="1:61" ht="13.8" x14ac:dyDescent="0.25">
      <c r="A59" s="223" t="s">
        <v>371</v>
      </c>
      <c r="B59" s="224" t="s">
        <v>187</v>
      </c>
      <c r="C59" s="224">
        <v>9</v>
      </c>
      <c r="D59" s="224" t="s">
        <v>359</v>
      </c>
      <c r="E59" s="225" t="str">
        <f t="shared" ca="1" si="0"/>
        <v>D</v>
      </c>
      <c r="F59" s="348"/>
      <c r="G59" s="349">
        <f t="shared" ca="1" si="1"/>
        <v>60</v>
      </c>
      <c r="H59" s="350"/>
      <c r="I59" s="350"/>
      <c r="J59" s="191"/>
      <c r="K59" s="191"/>
      <c r="AF59" s="169">
        <f t="shared" si="2"/>
        <v>0</v>
      </c>
      <c r="AG59" s="169" t="str">
        <f t="shared" ca="1" si="3"/>
        <v/>
      </c>
      <c r="AH59" s="169" t="str">
        <f t="shared" ca="1" si="18"/>
        <v/>
      </c>
      <c r="AJ59" s="169">
        <f t="shared" ca="1" si="4"/>
        <v>59</v>
      </c>
      <c r="AK59" s="169" t="str">
        <f t="shared" ca="1" si="19"/>
        <v>CCC</v>
      </c>
      <c r="AL59" s="169">
        <f t="shared" ca="1" si="19"/>
        <v>9</v>
      </c>
      <c r="AM59" s="169" t="str">
        <f t="shared" ca="1" si="5"/>
        <v/>
      </c>
      <c r="AQ59" s="207" t="s">
        <v>251</v>
      </c>
      <c r="AR59" s="207" t="s">
        <v>139</v>
      </c>
      <c r="AS59" s="207">
        <v>20</v>
      </c>
      <c r="AT59" s="207" t="s">
        <v>252</v>
      </c>
      <c r="AV59" s="168">
        <f t="shared" si="20"/>
        <v>2</v>
      </c>
      <c r="AW59" s="168">
        <f>COUNTIF( AV$7:AV59, AV59 )</f>
        <v>11</v>
      </c>
      <c r="AX59" s="208">
        <f t="shared" si="21"/>
        <v>3.1</v>
      </c>
      <c r="AY59" s="168">
        <f t="shared" si="22"/>
        <v>12</v>
      </c>
      <c r="AZ59" s="169"/>
      <c r="BA59" s="169"/>
      <c r="BC59" s="168">
        <f t="shared" ca="1" si="23"/>
        <v>53</v>
      </c>
      <c r="BD59" s="209">
        <f t="shared" ca="1" si="7"/>
        <v>18</v>
      </c>
      <c r="BF59" s="173" t="str">
        <f t="shared" ca="1" si="24"/>
        <v>Energy Future Holdings Corp.</v>
      </c>
      <c r="BG59" s="173" t="str">
        <f t="shared" ca="1" si="24"/>
        <v>CCC</v>
      </c>
      <c r="BH59" s="173">
        <f t="shared" ca="1" si="24"/>
        <v>9</v>
      </c>
      <c r="BI59" s="173" t="str">
        <f t="shared" ca="1" si="24"/>
        <v>**EFH</v>
      </c>
    </row>
    <row r="60" spans="1:61" ht="13.8" x14ac:dyDescent="0.25">
      <c r="A60" s="180"/>
      <c r="B60" s="181"/>
      <c r="C60" s="181"/>
      <c r="D60" s="181"/>
      <c r="E60" s="182"/>
      <c r="F60" s="350"/>
      <c r="G60" s="353" t="str">
        <f t="shared" ca="1" si="1"/>
        <v/>
      </c>
      <c r="H60" s="350"/>
      <c r="I60" s="350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4"/>
        <v>#N/A</v>
      </c>
      <c r="AK60" s="169" t="str">
        <f t="shared" ca="1" si="19"/>
        <v/>
      </c>
      <c r="AL60" s="169" t="str">
        <f t="shared" ca="1" si="19"/>
        <v/>
      </c>
      <c r="AM60" s="169" t="str">
        <f t="shared" ca="1" si="5"/>
        <v/>
      </c>
      <c r="AQ60" s="207"/>
      <c r="AR60" s="207"/>
      <c r="AS60" s="207"/>
      <c r="AT60" s="207"/>
      <c r="AV60" s="168">
        <f t="shared" si="20"/>
        <v>99</v>
      </c>
      <c r="AW60" s="168">
        <f>COUNTIF( AV$7:AV60, AV60 )</f>
        <v>1</v>
      </c>
      <c r="AX60" s="208">
        <f t="shared" si="21"/>
        <v>99.1</v>
      </c>
      <c r="AY60" s="168">
        <f t="shared" si="22"/>
        <v>54</v>
      </c>
      <c r="AZ60" s="169"/>
      <c r="BA60" s="169"/>
      <c r="BC60" s="168">
        <f t="shared" ca="1" si="23"/>
        <v>54</v>
      </c>
      <c r="BD60" s="209">
        <f t="shared" ca="1" si="7"/>
        <v>54</v>
      </c>
      <c r="BF60" s="173">
        <f t="shared" ca="1" si="24"/>
        <v>0</v>
      </c>
      <c r="BG60" s="173">
        <f t="shared" ca="1" si="24"/>
        <v>0</v>
      </c>
      <c r="BH60" s="173">
        <f t="shared" ca="1" si="24"/>
        <v>0</v>
      </c>
      <c r="BI60" s="173">
        <f t="shared" ca="1" si="24"/>
        <v>0</v>
      </c>
    </row>
    <row r="61" spans="1:61" ht="14.4" thickBot="1" x14ac:dyDescent="0.3">
      <c r="A61" s="192"/>
      <c r="B61" s="193"/>
      <c r="C61" s="193"/>
      <c r="D61" s="193"/>
      <c r="E61" s="194"/>
      <c r="F61" s="350"/>
      <c r="G61" s="353" t="str">
        <f t="shared" ca="1" si="1"/>
        <v/>
      </c>
      <c r="H61" s="350"/>
      <c r="I61" s="350"/>
      <c r="AF61" s="169">
        <f t="shared" si="2"/>
        <v>0</v>
      </c>
      <c r="AG61" s="169" t="str">
        <f t="shared" si="3"/>
        <v/>
      </c>
      <c r="AH61" s="169" t="str">
        <f t="shared" si="18"/>
        <v/>
      </c>
      <c r="AJ61" s="169" t="e">
        <f t="shared" ca="1" si="4"/>
        <v>#N/A</v>
      </c>
      <c r="AK61" s="169" t="str">
        <f t="shared" ca="1" si="19"/>
        <v/>
      </c>
      <c r="AL61" s="169" t="str">
        <f t="shared" ca="1" si="19"/>
        <v/>
      </c>
      <c r="AM61" s="169" t="str">
        <f t="shared" ca="1" si="5"/>
        <v/>
      </c>
      <c r="AQ61" s="207"/>
      <c r="AR61" s="207"/>
      <c r="AS61" s="207"/>
      <c r="AT61" s="207"/>
      <c r="AV61" s="168">
        <f t="shared" si="20"/>
        <v>99</v>
      </c>
      <c r="AW61" s="168">
        <f>COUNTIF( AV$7:AV61, AV61 )</f>
        <v>2</v>
      </c>
      <c r="AX61" s="208">
        <f t="shared" si="21"/>
        <v>99.2</v>
      </c>
      <c r="AY61" s="168">
        <f t="shared" si="22"/>
        <v>55</v>
      </c>
      <c r="AZ61" s="169"/>
      <c r="BA61" s="169"/>
      <c r="BC61" s="168">
        <f t="shared" ca="1" si="23"/>
        <v>55</v>
      </c>
      <c r="BD61" s="209">
        <f t="shared" ca="1" si="7"/>
        <v>55</v>
      </c>
      <c r="BF61" s="173">
        <f t="shared" ca="1" si="24"/>
        <v>0</v>
      </c>
      <c r="BG61" s="173">
        <f t="shared" ca="1" si="24"/>
        <v>0</v>
      </c>
      <c r="BH61" s="173">
        <f t="shared" ca="1" si="24"/>
        <v>0</v>
      </c>
      <c r="BI61" s="173">
        <f t="shared" ca="1" si="24"/>
        <v>0</v>
      </c>
    </row>
    <row r="62" spans="1:61" ht="13.8" x14ac:dyDescent="0.25">
      <c r="A62" s="226" t="s">
        <v>384</v>
      </c>
      <c r="B62" s="227" t="s">
        <v>162</v>
      </c>
      <c r="C62" s="227">
        <v>23</v>
      </c>
      <c r="D62" s="227" t="s">
        <v>309</v>
      </c>
      <c r="E62" s="228" t="str">
        <f ca="1">OFFSET( INDIRECT( E$3 &amp; E$4 ), $G62 - 1, 0 )</f>
        <v>MR</v>
      </c>
      <c r="F62" s="354"/>
      <c r="G62" s="355">
        <f t="shared" ca="1" si="1"/>
        <v>31</v>
      </c>
      <c r="H62" s="350"/>
      <c r="I62" s="350"/>
      <c r="AF62" s="169">
        <f t="shared" si="2"/>
        <v>1</v>
      </c>
      <c r="AG62" s="169" t="str">
        <f t="shared" ca="1" si="3"/>
        <v/>
      </c>
      <c r="AH62" s="169" t="str">
        <f t="shared" ca="1" si="18"/>
        <v/>
      </c>
      <c r="AJ62" s="169">
        <f t="shared" ca="1" si="4"/>
        <v>62</v>
      </c>
      <c r="AK62" s="169" t="str">
        <f t="shared" ca="1" si="19"/>
        <v>AA-</v>
      </c>
      <c r="AL62" s="169">
        <f t="shared" ca="1" si="19"/>
        <v>23</v>
      </c>
      <c r="AM62" s="169" t="str">
        <f t="shared" ca="1" si="5"/>
        <v/>
      </c>
      <c r="AQ62" s="207"/>
      <c r="AR62" s="207"/>
      <c r="AS62" s="207"/>
      <c r="AT62" s="207"/>
      <c r="AV62" s="168">
        <f t="shared" si="20"/>
        <v>99</v>
      </c>
      <c r="AW62" s="168">
        <f>COUNTIF( AV$7:AV62, AV62 )</f>
        <v>3</v>
      </c>
      <c r="AX62" s="208">
        <f t="shared" si="21"/>
        <v>99.3</v>
      </c>
      <c r="AY62" s="168">
        <f t="shared" si="22"/>
        <v>56</v>
      </c>
      <c r="AZ62" s="169"/>
      <c r="BA62" s="169"/>
      <c r="BC62" s="168">
        <f t="shared" ca="1" si="23"/>
        <v>56</v>
      </c>
      <c r="BD62" s="209">
        <f t="shared" ca="1" si="7"/>
        <v>56</v>
      </c>
      <c r="BF62" s="173">
        <f t="shared" ca="1" si="24"/>
        <v>0</v>
      </c>
      <c r="BG62" s="173">
        <f t="shared" ca="1" si="24"/>
        <v>0</v>
      </c>
      <c r="BH62" s="173">
        <f t="shared" ca="1" si="24"/>
        <v>0</v>
      </c>
      <c r="BI62" s="173">
        <f t="shared" ca="1" si="24"/>
        <v>0</v>
      </c>
    </row>
    <row r="63" spans="1:61" ht="13.8" x14ac:dyDescent="0.25">
      <c r="A63" s="223" t="s">
        <v>399</v>
      </c>
      <c r="B63" s="224" t="s">
        <v>141</v>
      </c>
      <c r="C63" s="224">
        <v>18</v>
      </c>
      <c r="D63" s="224" t="s">
        <v>400</v>
      </c>
      <c r="E63" s="225" t="str">
        <f ca="1">OFFSET( INDIRECT( E$3 &amp; E$4 ), $G63 - 1, 0 )</f>
        <v>R</v>
      </c>
      <c r="F63" s="348"/>
      <c r="G63" s="349">
        <f t="shared" ca="1" si="1"/>
        <v>52</v>
      </c>
      <c r="H63" s="350"/>
      <c r="I63" s="350"/>
      <c r="AF63" s="169">
        <f t="shared" si="2"/>
        <v>0</v>
      </c>
      <c r="AG63" s="169">
        <f t="shared" ca="1" si="3"/>
        <v>1</v>
      </c>
      <c r="AH63" s="169" t="str">
        <f t="shared" ca="1" si="18"/>
        <v/>
      </c>
      <c r="AJ63" s="169">
        <f t="shared" ca="1" si="4"/>
        <v>63</v>
      </c>
      <c r="AK63" s="169" t="str">
        <f t="shared" ca="1" si="19"/>
        <v>BB+</v>
      </c>
      <c r="AL63" s="169">
        <f t="shared" ca="1" si="19"/>
        <v>16</v>
      </c>
      <c r="AM63" s="169" t="str">
        <f t="shared" ca="1" si="5"/>
        <v>Change</v>
      </c>
      <c r="AQ63" s="207"/>
      <c r="AR63" s="207"/>
      <c r="AS63" s="207"/>
      <c r="AT63" s="207"/>
      <c r="AU63" s="207"/>
      <c r="AV63" s="168">
        <f t="shared" si="20"/>
        <v>99</v>
      </c>
      <c r="AW63" s="168">
        <f>COUNTIF( AV$7:AV63, AV63 )</f>
        <v>4</v>
      </c>
      <c r="AX63" s="208">
        <f t="shared" si="21"/>
        <v>99.4</v>
      </c>
      <c r="AY63" s="168">
        <f t="shared" si="22"/>
        <v>57</v>
      </c>
      <c r="AZ63" s="169"/>
      <c r="BA63" s="169"/>
      <c r="BC63" s="168">
        <f t="shared" ca="1" si="23"/>
        <v>57</v>
      </c>
      <c r="BD63" s="209">
        <f ca="1">MATCH( BC63, $AY$7:$AY$63, 0 )</f>
        <v>57</v>
      </c>
      <c r="BF63" s="173">
        <f t="shared" ca="1" si="24"/>
        <v>0</v>
      </c>
      <c r="BG63" s="173">
        <f t="shared" ca="1" si="24"/>
        <v>0</v>
      </c>
      <c r="BH63" s="173">
        <f t="shared" ca="1" si="24"/>
        <v>0</v>
      </c>
      <c r="BI63" s="173">
        <f t="shared" ca="1" si="24"/>
        <v>0</v>
      </c>
    </row>
    <row r="64" spans="1:61" ht="13.8" x14ac:dyDescent="0.25">
      <c r="A64" s="223" t="s">
        <v>401</v>
      </c>
      <c r="B64" s="224"/>
      <c r="C64" s="224"/>
      <c r="D64" s="224" t="s">
        <v>376</v>
      </c>
      <c r="E64" s="225" t="str">
        <f ca="1">OFFSET( INDIRECT( E$3 &amp; E$4 ), $G64 - 1, 0 )</f>
        <v>R</v>
      </c>
      <c r="F64" s="348"/>
      <c r="G64" s="349">
        <f t="shared" ca="1" si="1"/>
        <v>51</v>
      </c>
      <c r="H64" s="350"/>
      <c r="I64" s="350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>
        <f t="shared" ca="1" si="4"/>
        <v>64</v>
      </c>
      <c r="AK64" s="169">
        <f t="shared" ca="1" si="19"/>
        <v>0</v>
      </c>
      <c r="AL64" s="169">
        <f t="shared" ca="1" si="19"/>
        <v>0</v>
      </c>
      <c r="AM64" s="169" t="str">
        <f t="shared" ca="1" si="5"/>
        <v/>
      </c>
      <c r="AQ64" s="207"/>
      <c r="AR64" s="207"/>
      <c r="AS64" s="207"/>
      <c r="AT64" s="207"/>
      <c r="AU64" s="207"/>
      <c r="AZ64" s="169"/>
      <c r="BA64" s="169"/>
      <c r="BF64" s="169"/>
    </row>
    <row r="65" spans="1:58" ht="13.8" x14ac:dyDescent="0.25">
      <c r="A65" s="223"/>
      <c r="B65" s="229"/>
      <c r="C65" s="224"/>
      <c r="D65" s="224"/>
      <c r="E65" s="225"/>
      <c r="F65" s="348"/>
      <c r="G65" s="349"/>
      <c r="H65" s="350"/>
      <c r="I65" s="350"/>
      <c r="N65" s="168" t="s">
        <v>310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4"/>
        <v>#N/A</v>
      </c>
      <c r="AK65" s="169" t="str">
        <f t="shared" ca="1" si="19"/>
        <v/>
      </c>
      <c r="AL65" s="169" t="str">
        <f t="shared" ca="1" si="19"/>
        <v/>
      </c>
      <c r="AM65" s="169" t="str">
        <f t="shared" ca="1" si="5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3.8" x14ac:dyDescent="0.25">
      <c r="A66" s="195"/>
      <c r="B66" s="196"/>
      <c r="C66" s="185"/>
      <c r="D66" s="185"/>
      <c r="E66" s="182"/>
      <c r="F66" s="350"/>
      <c r="H66" s="350"/>
      <c r="I66" s="350"/>
      <c r="AF66" s="169">
        <f t="shared" si="2"/>
        <v>0</v>
      </c>
      <c r="AG66" s="169" t="str">
        <f t="shared" ref="AG66:AG67" si="25">IF( LEN( $C66 ) = 0, "", IF( $C66 &gt; $AL66, 1, "" ) )</f>
        <v/>
      </c>
      <c r="AH66" s="169" t="str">
        <f t="shared" si="18"/>
        <v/>
      </c>
      <c r="AJ66" s="169" t="e">
        <f t="shared" ca="1" si="4"/>
        <v>#N/A</v>
      </c>
      <c r="AK66" s="169" t="str">
        <f t="shared" ca="1" si="19"/>
        <v/>
      </c>
      <c r="AL66" s="169" t="str">
        <f t="shared" ca="1" si="19"/>
        <v/>
      </c>
      <c r="AM66" s="169" t="str">
        <f t="shared" ca="1" si="5"/>
        <v/>
      </c>
      <c r="AQ66" s="207" t="s">
        <v>384</v>
      </c>
      <c r="AR66" s="207" t="s">
        <v>162</v>
      </c>
      <c r="AS66" s="207">
        <v>23</v>
      </c>
      <c r="AT66" s="207" t="s">
        <v>309</v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50"/>
      <c r="H67" s="350"/>
      <c r="I67" s="350"/>
      <c r="AF67" s="169">
        <f t="shared" si="2"/>
        <v>0</v>
      </c>
      <c r="AG67" s="169" t="str">
        <f t="shared" si="25"/>
        <v/>
      </c>
      <c r="AH67" s="169" t="str">
        <f t="shared" si="18"/>
        <v/>
      </c>
      <c r="AJ67" s="169" t="e">
        <f t="shared" ca="1" si="4"/>
        <v>#N/A</v>
      </c>
      <c r="AK67" s="169" t="str">
        <f t="shared" ca="1" si="19"/>
        <v/>
      </c>
      <c r="AL67" s="169" t="str">
        <f t="shared" ca="1" si="19"/>
        <v/>
      </c>
      <c r="AM67" s="169" t="str">
        <f t="shared" ca="1" si="5"/>
        <v/>
      </c>
      <c r="AQ67" s="207" t="s">
        <v>402</v>
      </c>
      <c r="AR67" s="207" t="s">
        <v>141</v>
      </c>
      <c r="AS67" s="207">
        <v>18</v>
      </c>
      <c r="AT67" s="207" t="s">
        <v>400</v>
      </c>
      <c r="AX67" s="208"/>
      <c r="AZ67" s="169"/>
      <c r="BA67" s="169"/>
      <c r="BD67" s="209"/>
      <c r="BF67" s="169"/>
    </row>
    <row r="68" spans="1:58" ht="13.8" x14ac:dyDescent="0.25">
      <c r="A68" s="200" t="s">
        <v>311</v>
      </c>
      <c r="B68" s="189" t="s">
        <v>141</v>
      </c>
      <c r="C68" s="201">
        <f>AVERAGE(C7:C65)</f>
        <v>18.399999999999999</v>
      </c>
      <c r="D68" s="201"/>
      <c r="E68" s="201"/>
      <c r="F68" s="350"/>
      <c r="H68" s="350"/>
      <c r="I68" s="350"/>
      <c r="J68" s="351"/>
      <c r="K68" s="351"/>
      <c r="AQ68" s="207" t="s">
        <v>401</v>
      </c>
      <c r="AR68" s="207"/>
      <c r="AS68" s="207"/>
      <c r="AT68" s="207" t="s">
        <v>376</v>
      </c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50"/>
      <c r="H69" s="350"/>
      <c r="I69" s="350"/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1"/>
      <c r="K70" s="351"/>
    </row>
    <row r="71" spans="1:58" x14ac:dyDescent="0.25">
      <c r="A71" s="203" t="s">
        <v>312</v>
      </c>
      <c r="F71" s="173"/>
      <c r="H71" s="173"/>
      <c r="I71" s="173"/>
    </row>
    <row r="72" spans="1:58" x14ac:dyDescent="0.25">
      <c r="A72" s="203" t="s">
        <v>313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314</v>
      </c>
      <c r="B73" s="173"/>
      <c r="D73" s="173"/>
      <c r="E73" s="173"/>
      <c r="F73" s="204"/>
      <c r="H73" s="204"/>
      <c r="I73" s="204"/>
    </row>
    <row r="74" spans="1:58" x14ac:dyDescent="0.25">
      <c r="A74" s="205" t="s">
        <v>403</v>
      </c>
      <c r="D74" s="204"/>
      <c r="F74" s="206"/>
      <c r="H74" s="206"/>
      <c r="I74" s="206"/>
    </row>
    <row r="75" spans="1:58" x14ac:dyDescent="0.25">
      <c r="A75" s="203" t="s">
        <v>315</v>
      </c>
      <c r="D75" s="204"/>
      <c r="F75" s="206"/>
      <c r="H75" s="206"/>
      <c r="I75" s="206"/>
      <c r="AQ75" s="207"/>
      <c r="AR75" s="207"/>
      <c r="AS75" s="207"/>
    </row>
    <row r="76" spans="1:58" x14ac:dyDescent="0.25">
      <c r="A76" s="203"/>
      <c r="D76" s="204"/>
      <c r="F76" s="206"/>
      <c r="H76" s="206"/>
      <c r="I76" s="206"/>
      <c r="AQ76" s="207"/>
      <c r="AR76" s="207"/>
      <c r="AS76" s="207"/>
    </row>
    <row r="77" spans="1:58" x14ac:dyDescent="0.25">
      <c r="A77" s="203"/>
      <c r="AQ77" s="207"/>
      <c r="AR77" s="207"/>
      <c r="AS77" s="207"/>
    </row>
    <row r="78" spans="1:58" x14ac:dyDescent="0.25">
      <c r="C78" s="190">
        <f>SUMPRODUCT( L8:L13, Y8:Y13 ) / L14</f>
        <v>18.509090909090908</v>
      </c>
      <c r="E78" s="191"/>
      <c r="G78" s="353"/>
      <c r="J78" s="173"/>
      <c r="K78" s="173"/>
      <c r="AQ78" s="207"/>
      <c r="AR78" s="207"/>
      <c r="AS78" s="207"/>
    </row>
    <row r="79" spans="1:58" s="173" customFormat="1" ht="13.8" x14ac:dyDescent="0.25">
      <c r="A79" s="195"/>
      <c r="B79" s="185"/>
      <c r="C79" s="185"/>
      <c r="D79" s="185"/>
      <c r="E79" s="182"/>
      <c r="F79" s="168"/>
      <c r="G79" s="169"/>
      <c r="H79" s="168"/>
      <c r="I79" s="168"/>
      <c r="Q79" s="168"/>
      <c r="T79" s="169"/>
      <c r="U79" s="169"/>
      <c r="V79" s="169"/>
      <c r="AF79" s="169"/>
      <c r="AG79" s="169"/>
      <c r="AH79" s="169"/>
      <c r="AJ79" s="169"/>
      <c r="AK79" s="169"/>
      <c r="AL79" s="169"/>
      <c r="AM79" s="169"/>
      <c r="AN79" s="169"/>
      <c r="AQ79" s="207"/>
      <c r="AR79" s="207"/>
      <c r="AS79" s="207"/>
    </row>
  </sheetData>
  <sortState ref="AQ7:AT59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7:E59 E62:E65">
    <cfRule type="expression" dxfId="377" priority="28" stopIfTrue="1">
      <formula>IF( $AH7 = 1, TRUE, FALSE )</formula>
    </cfRule>
    <cfRule type="expression" dxfId="376" priority="29" stopIfTrue="1">
      <formula>IF( $AG7 = 1, TRUE, FALSE )</formula>
    </cfRule>
    <cfRule type="expression" dxfId="375" priority="30" stopIfTrue="1">
      <formula>IF( $AF7 = 1, TRUE, FALSE )</formula>
    </cfRule>
  </conditionalFormatting>
  <conditionalFormatting sqref="A67:E67">
    <cfRule type="expression" dxfId="374" priority="31" stopIfTrue="1">
      <formula>IF( $AH67 = 1, TRUE, FALSE )</formula>
    </cfRule>
    <cfRule type="expression" dxfId="373" priority="32" stopIfTrue="1">
      <formula>IF( $AG67 = 1, TRUE, FALSE )</formula>
    </cfRule>
    <cfRule type="expression" dxfId="372" priority="33" stopIfTrue="1">
      <formula>IF( $AF67 = 1, TRUE, FALSE )</formula>
    </cfRule>
  </conditionalFormatting>
  <conditionalFormatting sqref="A66:E66">
    <cfRule type="expression" dxfId="371" priority="25" stopIfTrue="1">
      <formula>IF( $AH66 = 1, TRUE, FALSE )</formula>
    </cfRule>
    <cfRule type="expression" dxfId="370" priority="26" stopIfTrue="1">
      <formula>IF( $AG66 = 1, TRUE, FALSE )</formula>
    </cfRule>
    <cfRule type="expression" dxfId="369" priority="27" stopIfTrue="1">
      <formula>IF( $AF66 = 1, TRUE, FALSE )</formula>
    </cfRule>
  </conditionalFormatting>
  <conditionalFormatting sqref="A8:D58 B7:D7">
    <cfRule type="expression" dxfId="368" priority="22" stopIfTrue="1">
      <formula>IF( $AH7 = 1, TRUE, FALSE )</formula>
    </cfRule>
    <cfRule type="expression" dxfId="367" priority="23" stopIfTrue="1">
      <formula>IF( $AG7 = 1, TRUE, FALSE )</formula>
    </cfRule>
    <cfRule type="expression" dxfId="366" priority="24" stopIfTrue="1">
      <formula>IF( $AF7 = 1, TRUE, FALSE )</formula>
    </cfRule>
  </conditionalFormatting>
  <conditionalFormatting sqref="A59:D59">
    <cfRule type="expression" dxfId="365" priority="19" stopIfTrue="1">
      <formula>IF( $AH59 = 1, TRUE, FALSE )</formula>
    </cfRule>
    <cfRule type="expression" dxfId="364" priority="20" stopIfTrue="1">
      <formula>IF( $AG59 = 1, TRUE, FALSE )</formula>
    </cfRule>
    <cfRule type="expression" dxfId="363" priority="21" stopIfTrue="1">
      <formula>IF( $AF59 = 1, TRUE, FALSE )</formula>
    </cfRule>
  </conditionalFormatting>
  <conditionalFormatting sqref="A62:D65">
    <cfRule type="expression" dxfId="362" priority="16" stopIfTrue="1">
      <formula>IF( $AH62 = 1, TRUE, FALSE )</formula>
    </cfRule>
    <cfRule type="expression" dxfId="361" priority="17" stopIfTrue="1">
      <formula>IF( $AG62 = 1, TRUE, FALSE )</formula>
    </cfRule>
    <cfRule type="expression" dxfId="360" priority="18" stopIfTrue="1">
      <formula>IF( $AF62 = 1, TRUE, FALSE )</formula>
    </cfRule>
  </conditionalFormatting>
  <conditionalFormatting sqref="U8:U12">
    <cfRule type="cellIs" dxfId="359" priority="15" operator="equal">
      <formula>0</formula>
    </cfRule>
  </conditionalFormatting>
  <conditionalFormatting sqref="O8:O12 Q8:Q12">
    <cfRule type="cellIs" dxfId="358" priority="14" operator="equal">
      <formula>0</formula>
    </cfRule>
  </conditionalFormatting>
  <conditionalFormatting sqref="V8:V12">
    <cfRule type="cellIs" dxfId="357" priority="13" operator="equal">
      <formula>0</formula>
    </cfRule>
  </conditionalFormatting>
  <conditionalFormatting sqref="S8:S12">
    <cfRule type="cellIs" dxfId="356" priority="11" operator="equal">
      <formula>0</formula>
    </cfRule>
  </conditionalFormatting>
  <conditionalFormatting sqref="R8:R12">
    <cfRule type="cellIs" dxfId="355" priority="12" operator="equal">
      <formula>0</formula>
    </cfRule>
  </conditionalFormatting>
  <conditionalFormatting sqref="P8:P12">
    <cfRule type="cellIs" dxfId="354" priority="10" operator="equal">
      <formula>0</formula>
    </cfRule>
  </conditionalFormatting>
  <conditionalFormatting sqref="M8:M12">
    <cfRule type="cellIs" dxfId="353" priority="9" operator="equal">
      <formula>0</formula>
    </cfRule>
  </conditionalFormatting>
  <conditionalFormatting sqref="T8:T12">
    <cfRule type="cellIs" dxfId="352" priority="8" operator="equal">
      <formula>0</formula>
    </cfRule>
  </conditionalFormatting>
  <conditionalFormatting sqref="N8:N12">
    <cfRule type="cellIs" dxfId="351" priority="7" operator="equal">
      <formula>0</formula>
    </cfRule>
  </conditionalFormatting>
  <conditionalFormatting sqref="K8:K12">
    <cfRule type="cellIs" dxfId="350" priority="6" operator="equal">
      <formula>0</formula>
    </cfRule>
  </conditionalFormatting>
  <conditionalFormatting sqref="I8:I12">
    <cfRule type="cellIs" dxfId="349" priority="5" operator="equal">
      <formula>0</formula>
    </cfRule>
  </conditionalFormatting>
  <conditionalFormatting sqref="W8:W12">
    <cfRule type="cellIs" dxfId="348" priority="4" operator="equal">
      <formula>0</formula>
    </cfRule>
  </conditionalFormatting>
  <conditionalFormatting sqref="A7">
    <cfRule type="expression" dxfId="347" priority="1" stopIfTrue="1">
      <formula>IF( $AH7 = 1, TRUE, FALSE )</formula>
    </cfRule>
    <cfRule type="expression" dxfId="346" priority="2" stopIfTrue="1">
      <formula>IF( $AG7 = 1, TRUE, FALSE )</formula>
    </cfRule>
    <cfRule type="expression" dxfId="345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9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customWidth="1"/>
    <col min="23" max="23" width="2" style="168" customWidth="1"/>
    <col min="24" max="24" width="4.109375" style="168" customWidth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7.88671875" style="169" hidden="1" customWidth="1" outlineLevel="1" collapsed="1"/>
    <col min="37" max="38" width="9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3.441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style="168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-- 2013 Q2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</row>
    <row r="2" spans="1:61" ht="18" hidden="1" outlineLevel="1" x14ac:dyDescent="0.25">
      <c r="A2" s="167"/>
      <c r="E2" s="171" t="str">
        <f>G2</f>
        <v>Reg_Percent_2012</v>
      </c>
      <c r="G2" s="172" t="s">
        <v>405</v>
      </c>
      <c r="AJ2" s="173" t="str">
        <f>AJ4 &amp; AJ3</f>
        <v>'Credit_2013Q1'!a:a</v>
      </c>
      <c r="AK2" s="173" t="str">
        <f>AK4 &amp; AK3</f>
        <v>'Credit_2013Q1'!b1</v>
      </c>
      <c r="AL2" s="173" t="str">
        <f>AL4 &amp; AL3</f>
        <v>'Credit_2013Q1'!c1</v>
      </c>
    </row>
    <row r="3" spans="1:61" ht="18" hidden="1" outlineLevel="1" x14ac:dyDescent="0.25">
      <c r="A3" s="167"/>
      <c r="E3" s="174" t="str">
        <f>"'" &amp; E2 &amp; "'!"</f>
        <v>'Reg_Percent_2012'!</v>
      </c>
      <c r="G3" s="168" t="str">
        <f>"'" &amp; G2 &amp; "'!"</f>
        <v>'Reg_Percent_2012'!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406</v>
      </c>
      <c r="AK3" s="149" t="s">
        <v>206</v>
      </c>
      <c r="AL3" s="149" t="s">
        <v>207</v>
      </c>
    </row>
    <row r="4" spans="1:61" ht="18" hidden="1" outlineLevel="1" x14ac:dyDescent="0.25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6" t="s">
        <v>413</v>
      </c>
      <c r="AK4" s="169" t="str">
        <f>AJ4</f>
        <v>'Credit_2013Q1'!</v>
      </c>
      <c r="AL4" s="169" t="str">
        <f>AK4</f>
        <v>'Credit_2013Q1'!</v>
      </c>
    </row>
    <row r="5" spans="1:61" ht="13.8" collapsed="1" x14ac:dyDescent="0.25">
      <c r="E5" s="176" t="s">
        <v>209</v>
      </c>
      <c r="G5" s="170" t="s">
        <v>199</v>
      </c>
      <c r="I5" s="230"/>
      <c r="J5" s="389" t="s">
        <v>210</v>
      </c>
      <c r="K5" s="230"/>
      <c r="L5" s="391" t="str">
        <f>"All Companies" &amp; CHAR( 10 ) &amp; "("&amp; L14 &amp; ")"</f>
        <v>All Companies
(55)</v>
      </c>
      <c r="M5" s="391"/>
      <c r="N5" s="230"/>
      <c r="O5" s="389" t="str">
        <f ca="1">"Regulated" &amp; CHAR( 10 ) &amp; "(" &amp; O14 &amp; ")"</f>
        <v>Regulated
(36)</v>
      </c>
      <c r="P5" s="393"/>
      <c r="Q5" s="230"/>
      <c r="R5" s="389" t="str">
        <f ca="1">"Mostly Regulated" &amp; CHAR( 10 ) &amp; "(" &amp; R14 &amp; ")"</f>
        <v>Mostly Regulated
(17)</v>
      </c>
      <c r="S5" s="393"/>
      <c r="T5" s="230"/>
      <c r="U5" s="389" t="str">
        <f ca="1">"Diversified" &amp; CHAR( 10 ) &amp; "(" &amp; U14 &amp; ")"</f>
        <v>Diversified
(2)</v>
      </c>
      <c r="V5" s="393"/>
      <c r="W5" s="230"/>
      <c r="AE5" s="177"/>
      <c r="AF5" s="168"/>
      <c r="AG5" s="168"/>
      <c r="AH5" s="168"/>
      <c r="AJ5" s="168"/>
      <c r="AK5" s="168"/>
      <c r="AL5" s="168"/>
      <c r="AM5" s="168"/>
      <c r="AN5" s="168"/>
    </row>
    <row r="6" spans="1:61" ht="28.5" customHeight="1" x14ac:dyDescent="0.25">
      <c r="A6" s="219" t="s">
        <v>212</v>
      </c>
      <c r="B6" s="220" t="s">
        <v>53</v>
      </c>
      <c r="C6" s="249" t="s">
        <v>214</v>
      </c>
      <c r="D6" s="221"/>
      <c r="E6" s="222">
        <v>41274</v>
      </c>
      <c r="I6" s="231"/>
      <c r="J6" s="390"/>
      <c r="K6" s="231"/>
      <c r="L6" s="392"/>
      <c r="M6" s="392"/>
      <c r="N6" s="231"/>
      <c r="O6" s="390"/>
      <c r="P6" s="390"/>
      <c r="Q6" s="231"/>
      <c r="R6" s="390" t="s">
        <v>136</v>
      </c>
      <c r="S6" s="390"/>
      <c r="T6" s="231"/>
      <c r="U6" s="390"/>
      <c r="V6" s="390"/>
      <c r="W6" s="231"/>
      <c r="AE6" s="178"/>
      <c r="AJ6" s="179"/>
    </row>
    <row r="7" spans="1:61" ht="13.8" x14ac:dyDescent="0.25">
      <c r="A7" s="223" t="s">
        <v>293</v>
      </c>
      <c r="B7" s="224" t="s">
        <v>166</v>
      </c>
      <c r="C7" s="224">
        <v>21</v>
      </c>
      <c r="D7" s="224" t="s">
        <v>294</v>
      </c>
      <c r="E7" s="225" t="str">
        <f t="shared" ref="E7:E59" ca="1" si="0">OFFSET( INDIRECT( E$3 &amp; E$4 ), $G7 - 1, 0 )</f>
        <v>R</v>
      </c>
      <c r="F7" s="348"/>
      <c r="G7" s="349">
        <f t="shared" ref="G7:G64" ca="1" si="1">IF( LEN( $D7 ) = 0, "", MATCH( $D7, INDIRECT( G$3 &amp; G$4 ), 0 ) )</f>
        <v>48</v>
      </c>
      <c r="H7" s="350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t="shared" ref="AJ7:AJ67" ca="1" si="4">MATCH( $A7,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5">IF( B7 = AK7, "", "Change" )</f>
        <v/>
      </c>
      <c r="AQ7" s="207" t="s">
        <v>217</v>
      </c>
      <c r="AR7" s="207" t="s">
        <v>140</v>
      </c>
      <c r="AS7" s="207">
        <v>19</v>
      </c>
      <c r="AT7" s="207" t="s">
        <v>218</v>
      </c>
      <c r="AV7" s="168">
        <f>IF( LEN( AS7 ) = 0, 99, RANK( AS7, $AS$7:$AS$63 ) )</f>
        <v>13</v>
      </c>
      <c r="AW7" s="168">
        <f>COUNTIF( AV7:AV$7, AV7 )</f>
        <v>1</v>
      </c>
      <c r="AX7" s="208">
        <f>AV7 + AW7 / 10</f>
        <v>13.1</v>
      </c>
      <c r="AY7" s="168">
        <f>RANK( AX7, $AX$7:$AX$63, 1 )</f>
        <v>13</v>
      </c>
      <c r="AZ7" s="169"/>
      <c r="BA7" s="169"/>
      <c r="BC7" s="168">
        <f t="shared" ref="BC7" ca="1" si="6">OFFSET( BC7, -1, 0 ) + 1</f>
        <v>1</v>
      </c>
      <c r="BD7" s="209">
        <f t="shared" ref="BD7:BD62" ca="1" si="7">MATCH( BC7, $AY$7:$AY$63, 0 )</f>
        <v>47</v>
      </c>
      <c r="BF7" s="173" t="str">
        <f t="shared" ref="BF7:BF38" ca="1" si="8">OFFSET( AQ$6, $BD7, 0 )</f>
        <v>Southern Company</v>
      </c>
      <c r="BG7" s="173" t="str">
        <f t="shared" ref="BG7:BI62" ca="1" si="9">OFFSET( AR$6, $BD7, 0 )</f>
        <v>A</v>
      </c>
      <c r="BH7" s="173">
        <f t="shared" ca="1" si="9"/>
        <v>21</v>
      </c>
      <c r="BI7" s="173" t="str">
        <f t="shared" ca="1" si="9"/>
        <v>SO</v>
      </c>
    </row>
    <row r="8" spans="1:61" ht="13.8" x14ac:dyDescent="0.25">
      <c r="A8" s="223" t="s">
        <v>219</v>
      </c>
      <c r="B8" s="224" t="s">
        <v>139</v>
      </c>
      <c r="C8" s="224">
        <v>20</v>
      </c>
      <c r="D8" s="224" t="s">
        <v>220</v>
      </c>
      <c r="E8" s="225" t="str">
        <f t="shared" ca="1" si="0"/>
        <v>R</v>
      </c>
      <c r="F8" s="348"/>
      <c r="G8" s="349">
        <f t="shared" ca="1" si="1"/>
        <v>8</v>
      </c>
      <c r="H8" s="350"/>
      <c r="I8" s="233"/>
      <c r="J8" s="213" t="s">
        <v>137</v>
      </c>
      <c r="K8" s="233"/>
      <c r="L8" s="213">
        <f t="shared" ref="L8:L13" si="10">COUNTIF($C$7:$C$67,$X8)</f>
        <v>2</v>
      </c>
      <c r="M8" s="214">
        <f t="shared" ref="M8:M13" si="11">IF( L8 = 0, "", L8/L$14 )</f>
        <v>3.6363636363636362E-2</v>
      </c>
      <c r="N8" s="233"/>
      <c r="O8" s="213">
        <f t="shared" ref="O8:O13" ca="1" si="12">COUNTIFS( $E$7:$E$66, O$3, $C$7:$C$66, $X8 )</f>
        <v>1</v>
      </c>
      <c r="P8" s="214">
        <f t="shared" ref="P8:P13" ca="1" si="13">IF( O8 = 0, "", O8/O$14 )</f>
        <v>2.7777777777777776E-2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5.8823529411764705E-2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8">SUM(O8, R8, U8)</f>
        <v>2</v>
      </c>
      <c r="AC8" s="351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ca="1" si="4"/>
        <v>8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5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ref="AV8:AV63" si="21">IF( LEN( AS8 ) = 0, 99, RANK( AS8, $AS$7:$AS$63 ) )</f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ref="AY8:AY63" si="23">RANK( AX8, $AX$7:$AX$63, 1 )</f>
        <v>2</v>
      </c>
      <c r="AZ8" s="169"/>
      <c r="BA8" s="169"/>
      <c r="BC8" s="168">
        <f ca="1">OFFSET( BC8, -1, 0 ) + 1</f>
        <v>2</v>
      </c>
      <c r="BD8" s="209">
        <f t="shared" ca="1" si="7"/>
        <v>2</v>
      </c>
      <c r="BF8" s="173" t="str">
        <f t="shared" ca="1" si="8"/>
        <v>Alliant Energy Corporation</v>
      </c>
      <c r="BG8" s="173" t="str">
        <f t="shared" ca="1" si="9"/>
        <v>A-</v>
      </c>
      <c r="BH8" s="173">
        <f t="shared" ca="1" si="9"/>
        <v>20</v>
      </c>
      <c r="BI8" s="173" t="str">
        <f t="shared" ca="1" si="9"/>
        <v>LNT</v>
      </c>
    </row>
    <row r="9" spans="1:61" ht="13.8" x14ac:dyDescent="0.25">
      <c r="A9" s="223" t="s">
        <v>249</v>
      </c>
      <c r="B9" s="224" t="s">
        <v>139</v>
      </c>
      <c r="C9" s="224">
        <v>20</v>
      </c>
      <c r="D9" s="224" t="s">
        <v>250</v>
      </c>
      <c r="E9" s="225" t="str">
        <f t="shared" ca="1" si="0"/>
        <v>MR</v>
      </c>
      <c r="F9" s="348"/>
      <c r="G9" s="349">
        <f t="shared" ca="1" si="1"/>
        <v>13</v>
      </c>
      <c r="H9" s="350"/>
      <c r="I9" s="234"/>
      <c r="J9" s="215" t="s">
        <v>139</v>
      </c>
      <c r="K9" s="234"/>
      <c r="L9" s="215">
        <f t="shared" si="10"/>
        <v>11</v>
      </c>
      <c r="M9" s="216">
        <f t="shared" si="11"/>
        <v>0.2</v>
      </c>
      <c r="N9" s="234"/>
      <c r="O9" s="215">
        <f t="shared" ca="1" si="12"/>
        <v>6</v>
      </c>
      <c r="P9" s="216">
        <f t="shared" ca="1" si="13"/>
        <v>0.16666666666666666</v>
      </c>
      <c r="Q9" s="234"/>
      <c r="R9" s="215">
        <f t="shared" ca="1" si="14"/>
        <v>5</v>
      </c>
      <c r="S9" s="216">
        <f t="shared" ca="1" si="15"/>
        <v>0.29411764705882354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8"/>
        <v>11</v>
      </c>
      <c r="AC9" s="351"/>
      <c r="AE9" s="184"/>
      <c r="AF9" s="169">
        <f t="shared" si="2"/>
        <v>0</v>
      </c>
      <c r="AG9" s="169">
        <f t="shared" ca="1" si="3"/>
        <v>1</v>
      </c>
      <c r="AH9" s="169" t="str">
        <f t="shared" ca="1" si="19"/>
        <v/>
      </c>
      <c r="AJ9" s="169">
        <f t="shared" ca="1" si="4"/>
        <v>18</v>
      </c>
      <c r="AK9" s="169" t="str">
        <f t="shared" ca="1" si="20"/>
        <v>BBB+</v>
      </c>
      <c r="AL9" s="169">
        <f t="shared" ca="1" si="20"/>
        <v>19</v>
      </c>
      <c r="AM9" s="169" t="str">
        <f t="shared" ca="1" si="5"/>
        <v>Change</v>
      </c>
      <c r="AQ9" s="207" t="s">
        <v>225</v>
      </c>
      <c r="AR9" s="207" t="s">
        <v>141</v>
      </c>
      <c r="AS9" s="207">
        <v>18</v>
      </c>
      <c r="AT9" s="207" t="s">
        <v>226</v>
      </c>
      <c r="AV9" s="168">
        <f t="shared" si="21"/>
        <v>24</v>
      </c>
      <c r="AW9" s="168">
        <f>COUNTIF( AV$7:AV9, AV9 )</f>
        <v>1</v>
      </c>
      <c r="AX9" s="208">
        <f t="shared" si="22"/>
        <v>24.1</v>
      </c>
      <c r="AY9" s="168">
        <f t="shared" si="23"/>
        <v>24</v>
      </c>
      <c r="AZ9" s="169"/>
      <c r="BA9" s="169"/>
      <c r="BC9" s="168">
        <f t="shared" ref="BC9:BC63" ca="1" si="24">OFFSET( BC9, -1, 0 ) + 1</f>
        <v>3</v>
      </c>
      <c r="BD9" s="209">
        <f t="shared" ca="1" si="7"/>
        <v>7</v>
      </c>
      <c r="BF9" s="173" t="str">
        <f t="shared" ca="1" si="8"/>
        <v>CenterPoint Energy, Inc.</v>
      </c>
      <c r="BG9" s="173" t="str">
        <f t="shared" ca="1" si="9"/>
        <v>A-</v>
      </c>
      <c r="BH9" s="173">
        <f t="shared" ca="1" si="9"/>
        <v>20</v>
      </c>
      <c r="BI9" s="173" t="str">
        <f t="shared" ca="1" si="9"/>
        <v>CNP</v>
      </c>
    </row>
    <row r="10" spans="1:61" ht="13.8" x14ac:dyDescent="0.25">
      <c r="A10" s="223" t="s">
        <v>227</v>
      </c>
      <c r="B10" s="224" t="s">
        <v>139</v>
      </c>
      <c r="C10" s="224">
        <v>20</v>
      </c>
      <c r="D10" s="224" t="s">
        <v>228</v>
      </c>
      <c r="E10" s="225" t="str">
        <f t="shared" ca="1" si="0"/>
        <v>R</v>
      </c>
      <c r="F10" s="348"/>
      <c r="G10" s="349">
        <f t="shared" ca="1" si="1"/>
        <v>16</v>
      </c>
      <c r="H10" s="350"/>
      <c r="I10" s="234"/>
      <c r="J10" s="215" t="s">
        <v>140</v>
      </c>
      <c r="K10" s="234"/>
      <c r="L10" s="215">
        <f t="shared" si="10"/>
        <v>11</v>
      </c>
      <c r="M10" s="216">
        <f t="shared" si="11"/>
        <v>0.2</v>
      </c>
      <c r="N10" s="234"/>
      <c r="O10" s="215">
        <f t="shared" ca="1" si="12"/>
        <v>5</v>
      </c>
      <c r="P10" s="216">
        <f t="shared" ca="1" si="13"/>
        <v>0.1388888888888889</v>
      </c>
      <c r="Q10" s="234"/>
      <c r="R10" s="215">
        <f t="shared" ca="1" si="14"/>
        <v>5</v>
      </c>
      <c r="S10" s="216">
        <f t="shared" ca="1" si="15"/>
        <v>0.29411764705882354</v>
      </c>
      <c r="T10" s="234"/>
      <c r="U10" s="215">
        <f t="shared" ca="1" si="16"/>
        <v>1</v>
      </c>
      <c r="V10" s="216">
        <f t="shared" ca="1" si="17"/>
        <v>0.5</v>
      </c>
      <c r="W10" s="234"/>
      <c r="X10" s="186" t="s">
        <v>229</v>
      </c>
      <c r="Y10" s="186">
        <v>19</v>
      </c>
      <c r="Z10" s="186">
        <v>1</v>
      </c>
      <c r="AA10" s="185">
        <f t="shared" ca="1" si="18"/>
        <v>11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4"/>
        <v>9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5"/>
        <v/>
      </c>
      <c r="AQ10" s="207" t="s">
        <v>222</v>
      </c>
      <c r="AR10" s="207" t="s">
        <v>141</v>
      </c>
      <c r="AS10" s="207">
        <v>18</v>
      </c>
      <c r="AT10" s="207" t="s">
        <v>223</v>
      </c>
      <c r="AV10" s="168">
        <f t="shared" si="21"/>
        <v>24</v>
      </c>
      <c r="AW10" s="168">
        <f>COUNTIF( AV$7:AV10, AV10 )</f>
        <v>2</v>
      </c>
      <c r="AX10" s="208">
        <f t="shared" si="22"/>
        <v>24.2</v>
      </c>
      <c r="AY10" s="168">
        <f t="shared" si="23"/>
        <v>25</v>
      </c>
      <c r="AZ10" s="169"/>
      <c r="BA10" s="169"/>
      <c r="BC10" s="168">
        <f t="shared" ca="1" si="24"/>
        <v>4</v>
      </c>
      <c r="BD10" s="209">
        <f t="shared" ca="1" si="7"/>
        <v>10</v>
      </c>
      <c r="BF10" s="173" t="str">
        <f t="shared" ca="1" si="8"/>
        <v>Consolidated Edison, Inc.</v>
      </c>
      <c r="BG10" s="173" t="str">
        <f t="shared" ca="1" si="9"/>
        <v>A-</v>
      </c>
      <c r="BH10" s="173">
        <f t="shared" ca="1" si="9"/>
        <v>20</v>
      </c>
      <c r="BI10" s="173" t="str">
        <f t="shared" ca="1" si="9"/>
        <v>ED</v>
      </c>
    </row>
    <row r="11" spans="1:61" ht="13.8" x14ac:dyDescent="0.25">
      <c r="A11" s="223" t="s">
        <v>361</v>
      </c>
      <c r="B11" s="224" t="s">
        <v>139</v>
      </c>
      <c r="C11" s="224">
        <v>20</v>
      </c>
      <c r="D11" s="224" t="s">
        <v>194</v>
      </c>
      <c r="E11" s="225" t="str">
        <f t="shared" ca="1" si="0"/>
        <v>MR</v>
      </c>
      <c r="F11" s="348"/>
      <c r="G11" s="349">
        <f t="shared" ca="1" si="1"/>
        <v>17</v>
      </c>
      <c r="H11" s="350"/>
      <c r="I11" s="234"/>
      <c r="J11" s="215" t="s">
        <v>141</v>
      </c>
      <c r="K11" s="234"/>
      <c r="L11" s="215">
        <f t="shared" si="10"/>
        <v>20</v>
      </c>
      <c r="M11" s="216">
        <f t="shared" si="11"/>
        <v>0.36363636363636365</v>
      </c>
      <c r="N11" s="234"/>
      <c r="O11" s="215">
        <f t="shared" ca="1" si="12"/>
        <v>17</v>
      </c>
      <c r="P11" s="216">
        <f t="shared" ca="1" si="13"/>
        <v>0.47222222222222221</v>
      </c>
      <c r="Q11" s="234"/>
      <c r="R11" s="215">
        <f t="shared" ca="1" si="14"/>
        <v>3</v>
      </c>
      <c r="S11" s="216">
        <f t="shared" ca="1" si="15"/>
        <v>0.17647058823529413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8"/>
        <v>20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4"/>
        <v>10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5"/>
        <v/>
      </c>
      <c r="AQ11" s="207" t="s">
        <v>238</v>
      </c>
      <c r="AR11" s="207" t="s">
        <v>141</v>
      </c>
      <c r="AS11" s="207">
        <v>18</v>
      </c>
      <c r="AT11" s="207" t="s">
        <v>239</v>
      </c>
      <c r="AV11" s="168">
        <f t="shared" si="21"/>
        <v>24</v>
      </c>
      <c r="AW11" s="168">
        <f>COUNTIF( AV$7:AV11, AV11 )</f>
        <v>3</v>
      </c>
      <c r="AX11" s="208">
        <f t="shared" si="22"/>
        <v>24.3</v>
      </c>
      <c r="AY11" s="168">
        <f t="shared" si="23"/>
        <v>26</v>
      </c>
      <c r="AZ11" s="169"/>
      <c r="BA11" s="169"/>
      <c r="BC11" s="168">
        <f t="shared" ca="1" si="24"/>
        <v>5</v>
      </c>
      <c r="BD11" s="209">
        <f t="shared" ca="1" si="7"/>
        <v>11</v>
      </c>
      <c r="BF11" s="173" t="str">
        <f t="shared" ca="1" si="8"/>
        <v>Dominion Resources, Inc.</v>
      </c>
      <c r="BG11" s="173" t="str">
        <f t="shared" ca="1" si="9"/>
        <v>A-</v>
      </c>
      <c r="BH11" s="173">
        <f t="shared" ca="1" si="9"/>
        <v>20</v>
      </c>
      <c r="BI11" s="173" t="str">
        <f t="shared" ca="1" si="9"/>
        <v>D</v>
      </c>
    </row>
    <row r="12" spans="1:61" ht="13.8" x14ac:dyDescent="0.25">
      <c r="A12" s="223" t="s">
        <v>395</v>
      </c>
      <c r="B12" s="224" t="s">
        <v>139</v>
      </c>
      <c r="C12" s="224">
        <v>20</v>
      </c>
      <c r="D12" s="224" t="s">
        <v>396</v>
      </c>
      <c r="E12" s="225" t="str">
        <f t="shared" ca="1" si="0"/>
        <v>R</v>
      </c>
      <c r="F12" s="348"/>
      <c r="G12" s="349">
        <f t="shared" ca="1" si="1"/>
        <v>29</v>
      </c>
      <c r="H12" s="350"/>
      <c r="I12" s="234"/>
      <c r="J12" s="215" t="s">
        <v>142</v>
      </c>
      <c r="K12" s="234"/>
      <c r="L12" s="215">
        <f t="shared" si="10"/>
        <v>7</v>
      </c>
      <c r="M12" s="216">
        <f t="shared" si="11"/>
        <v>0.12727272727272726</v>
      </c>
      <c r="N12" s="234"/>
      <c r="O12" s="215">
        <f t="shared" ca="1" si="12"/>
        <v>4</v>
      </c>
      <c r="P12" s="216">
        <f t="shared" ca="1" si="13"/>
        <v>0.1111111111111111</v>
      </c>
      <c r="Q12" s="234"/>
      <c r="R12" s="215">
        <f t="shared" ca="1" si="14"/>
        <v>3</v>
      </c>
      <c r="S12" s="216">
        <f t="shared" ca="1" si="15"/>
        <v>0.17647058823529413</v>
      </c>
      <c r="T12" s="234"/>
      <c r="U12" s="215">
        <f t="shared" ca="1" si="16"/>
        <v>0</v>
      </c>
      <c r="V12" s="216" t="str">
        <f t="shared" ca="1" si="17"/>
        <v/>
      </c>
      <c r="W12" s="234"/>
      <c r="X12" s="186" t="s">
        <v>237</v>
      </c>
      <c r="Y12" s="186">
        <v>17</v>
      </c>
      <c r="Z12" s="186">
        <v>1</v>
      </c>
      <c r="AA12" s="185">
        <f t="shared" ca="1" si="18"/>
        <v>7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4"/>
        <v>11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5"/>
        <v/>
      </c>
      <c r="AQ12" s="207" t="s">
        <v>245</v>
      </c>
      <c r="AR12" s="207" t="s">
        <v>142</v>
      </c>
      <c r="AS12" s="207">
        <v>17</v>
      </c>
      <c r="AT12" s="207" t="s">
        <v>246</v>
      </c>
      <c r="AV12" s="168">
        <f t="shared" si="21"/>
        <v>44</v>
      </c>
      <c r="AW12" s="168">
        <f>COUNTIF( AV$7:AV12, AV12 )</f>
        <v>1</v>
      </c>
      <c r="AX12" s="208">
        <f t="shared" si="22"/>
        <v>44.1</v>
      </c>
      <c r="AY12" s="168">
        <f t="shared" si="23"/>
        <v>44</v>
      </c>
      <c r="AZ12" s="169"/>
      <c r="BA12" s="169"/>
      <c r="BC12" s="168">
        <f t="shared" ca="1" si="24"/>
        <v>6</v>
      </c>
      <c r="BD12" s="209">
        <f t="shared" ca="1" si="7"/>
        <v>26</v>
      </c>
      <c r="BF12" s="173" t="str">
        <f t="shared" ca="1" si="8"/>
        <v>Integrys Energy Group, Inc.</v>
      </c>
      <c r="BG12" s="173" t="str">
        <f t="shared" ca="1" si="9"/>
        <v>A-</v>
      </c>
      <c r="BH12" s="173">
        <f t="shared" ca="1" si="9"/>
        <v>20</v>
      </c>
      <c r="BI12" s="173" t="str">
        <f t="shared" ca="1" si="9"/>
        <v>TEG</v>
      </c>
    </row>
    <row r="13" spans="1:61" ht="13.8" x14ac:dyDescent="0.25">
      <c r="A13" s="223" t="s">
        <v>240</v>
      </c>
      <c r="B13" s="224" t="s">
        <v>139</v>
      </c>
      <c r="C13" s="224">
        <v>20</v>
      </c>
      <c r="D13" s="224" t="s">
        <v>241</v>
      </c>
      <c r="E13" s="225" t="str">
        <f t="shared" ca="1" si="0"/>
        <v>MR</v>
      </c>
      <c r="F13" s="348"/>
      <c r="G13" s="349">
        <f t="shared" ca="1" si="1"/>
        <v>32</v>
      </c>
      <c r="H13" s="350"/>
      <c r="I13" s="235"/>
      <c r="J13" s="217" t="s">
        <v>143</v>
      </c>
      <c r="K13" s="235"/>
      <c r="L13" s="217">
        <f t="shared" si="10"/>
        <v>4</v>
      </c>
      <c r="M13" s="218">
        <f t="shared" si="11"/>
        <v>7.2727272727272724E-2</v>
      </c>
      <c r="N13" s="235"/>
      <c r="O13" s="217">
        <f t="shared" ca="1" si="12"/>
        <v>3</v>
      </c>
      <c r="P13" s="218">
        <f t="shared" ca="1" si="13"/>
        <v>8.3333333333333329E-2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1</v>
      </c>
      <c r="V13" s="218">
        <f t="shared" ca="1" si="17"/>
        <v>0.5</v>
      </c>
      <c r="W13" s="235"/>
      <c r="X13" s="186" t="s">
        <v>242</v>
      </c>
      <c r="Y13" s="186">
        <v>16</v>
      </c>
      <c r="Z13" s="186">
        <v>1</v>
      </c>
      <c r="AA13" s="188">
        <f t="shared" ca="1" si="18"/>
        <v>4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9"/>
        <v/>
      </c>
      <c r="AJ13" s="169">
        <f t="shared" ca="1" si="4"/>
        <v>12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5"/>
        <v/>
      </c>
      <c r="AQ13" s="207" t="s">
        <v>249</v>
      </c>
      <c r="AR13" s="207" t="s">
        <v>139</v>
      </c>
      <c r="AS13" s="207">
        <v>20</v>
      </c>
      <c r="AT13" s="207" t="s">
        <v>250</v>
      </c>
      <c r="AV13" s="168">
        <f t="shared" si="21"/>
        <v>2</v>
      </c>
      <c r="AW13" s="168">
        <f>COUNTIF( AV$7:AV13, AV13 )</f>
        <v>2</v>
      </c>
      <c r="AX13" s="208">
        <f t="shared" si="22"/>
        <v>2.2000000000000002</v>
      </c>
      <c r="AY13" s="168">
        <f t="shared" si="23"/>
        <v>3</v>
      </c>
      <c r="AZ13" s="169"/>
      <c r="BA13" s="169"/>
      <c r="BC13" s="168">
        <f t="shared" ca="1" si="24"/>
        <v>7</v>
      </c>
      <c r="BD13" s="209">
        <f t="shared" ca="1" si="7"/>
        <v>30</v>
      </c>
      <c r="BF13" s="173" t="str">
        <f t="shared" ca="1" si="8"/>
        <v>NextEra Energy, Inc.</v>
      </c>
      <c r="BG13" s="173" t="str">
        <f t="shared" ca="1" si="9"/>
        <v>A-</v>
      </c>
      <c r="BH13" s="173">
        <f t="shared" ca="1" si="9"/>
        <v>20</v>
      </c>
      <c r="BI13" s="173" t="str">
        <f t="shared" ca="1" si="9"/>
        <v>NEE</v>
      </c>
    </row>
    <row r="14" spans="1:61" ht="13.8" x14ac:dyDescent="0.25">
      <c r="A14" s="223" t="s">
        <v>394</v>
      </c>
      <c r="B14" s="224" t="s">
        <v>139</v>
      </c>
      <c r="C14" s="224">
        <v>20</v>
      </c>
      <c r="D14" s="224" t="s">
        <v>236</v>
      </c>
      <c r="E14" s="225" t="str">
        <f t="shared" ca="1" si="0"/>
        <v>R</v>
      </c>
      <c r="F14" s="348"/>
      <c r="G14" s="349">
        <f t="shared" ca="1" si="1"/>
        <v>34</v>
      </c>
      <c r="H14" s="350"/>
      <c r="I14" s="236"/>
      <c r="J14" s="211" t="s">
        <v>144</v>
      </c>
      <c r="K14" s="236"/>
      <c r="L14" s="211">
        <f>SUM(L8:L13)</f>
        <v>55</v>
      </c>
      <c r="M14" s="212">
        <f>L14/L$14</f>
        <v>1</v>
      </c>
      <c r="N14" s="236"/>
      <c r="O14" s="211">
        <f ca="1">SUM(O8:O13)</f>
        <v>36</v>
      </c>
      <c r="P14" s="212">
        <f ca="1">O14/O$14</f>
        <v>1</v>
      </c>
      <c r="Q14" s="236"/>
      <c r="R14" s="211">
        <f ca="1">SUM(R8:R13)</f>
        <v>17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18.436363636363637</v>
      </c>
      <c r="Z14" s="190"/>
      <c r="AA14" s="189">
        <f ca="1">SUM(AA8:AA13)</f>
        <v>55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4"/>
        <v>13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5"/>
        <v/>
      </c>
      <c r="AQ14" s="207" t="s">
        <v>254</v>
      </c>
      <c r="AR14" s="207" t="s">
        <v>141</v>
      </c>
      <c r="AS14" s="207">
        <v>18</v>
      </c>
      <c r="AT14" s="207" t="s">
        <v>378</v>
      </c>
      <c r="AV14" s="168">
        <f>IF( LEN( AS14 ) = 0, 99, RANK( AS14, $AS$7:$AS$63 ) )</f>
        <v>24</v>
      </c>
      <c r="AW14" s="168">
        <f>COUNTIF( AV$7:AV14, AV14 )</f>
        <v>4</v>
      </c>
      <c r="AX14" s="208">
        <f t="shared" si="22"/>
        <v>24.4</v>
      </c>
      <c r="AY14" s="168">
        <f t="shared" si="23"/>
        <v>27</v>
      </c>
      <c r="AZ14" s="169"/>
      <c r="BA14" s="169"/>
      <c r="BC14" s="168">
        <f t="shared" ca="1" si="24"/>
        <v>8</v>
      </c>
      <c r="BD14" s="209">
        <f t="shared" ca="1" si="7"/>
        <v>32</v>
      </c>
      <c r="BF14" s="173" t="str">
        <f t="shared" ca="1" si="8"/>
        <v>Eversource</v>
      </c>
      <c r="BG14" s="173" t="str">
        <f t="shared" ca="1" si="9"/>
        <v>A-</v>
      </c>
      <c r="BH14" s="173">
        <f t="shared" ca="1" si="9"/>
        <v>20</v>
      </c>
      <c r="BI14" s="173" t="str">
        <f t="shared" ca="1" si="9"/>
        <v>ES</v>
      </c>
    </row>
    <row r="15" spans="1:61" ht="13.8" x14ac:dyDescent="0.25">
      <c r="A15" s="223" t="s">
        <v>277</v>
      </c>
      <c r="B15" s="224" t="s">
        <v>139</v>
      </c>
      <c r="C15" s="224">
        <v>20</v>
      </c>
      <c r="D15" s="224" t="s">
        <v>278</v>
      </c>
      <c r="E15" s="225" t="str">
        <f t="shared" ca="1" si="0"/>
        <v>MR</v>
      </c>
      <c r="F15" s="348"/>
      <c r="G15" s="349">
        <f t="shared" ca="1" si="1"/>
        <v>37</v>
      </c>
      <c r="H15" s="350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>
        <f t="shared" ca="1" si="3"/>
        <v>1</v>
      </c>
      <c r="AH15" s="169" t="str">
        <f t="shared" ca="1" si="19"/>
        <v/>
      </c>
      <c r="AJ15" s="169">
        <f t="shared" ca="1" si="4"/>
        <v>23</v>
      </c>
      <c r="AK15" s="169" t="str">
        <f t="shared" ca="1" si="20"/>
        <v>BBB+</v>
      </c>
      <c r="AL15" s="169">
        <f t="shared" ca="1" si="20"/>
        <v>19</v>
      </c>
      <c r="AM15" s="169" t="str">
        <f t="shared" ca="1" si="5"/>
        <v>Change</v>
      </c>
      <c r="AQ15" s="207" t="s">
        <v>256</v>
      </c>
      <c r="AR15" s="207" t="s">
        <v>141</v>
      </c>
      <c r="AS15" s="207">
        <v>18</v>
      </c>
      <c r="AT15" s="207" t="s">
        <v>257</v>
      </c>
      <c r="AV15" s="168">
        <f t="shared" si="21"/>
        <v>24</v>
      </c>
      <c r="AW15" s="168">
        <f>COUNTIF( AV$7:AV15, AV15 )</f>
        <v>5</v>
      </c>
      <c r="AX15" s="208">
        <f t="shared" si="22"/>
        <v>24.5</v>
      </c>
      <c r="AY15" s="168">
        <f t="shared" si="23"/>
        <v>28</v>
      </c>
      <c r="AZ15" s="169"/>
      <c r="BA15" s="169"/>
      <c r="BC15" s="168">
        <f t="shared" ca="1" si="24"/>
        <v>9</v>
      </c>
      <c r="BD15" s="209">
        <f t="shared" ca="1" si="7"/>
        <v>35</v>
      </c>
      <c r="BF15" s="173" t="str">
        <f t="shared" ca="1" si="8"/>
        <v>OGE Energy Corp.</v>
      </c>
      <c r="BG15" s="173" t="str">
        <f t="shared" ca="1" si="9"/>
        <v>A-</v>
      </c>
      <c r="BH15" s="173">
        <f t="shared" ca="1" si="9"/>
        <v>20</v>
      </c>
      <c r="BI15" s="173" t="str">
        <f t="shared" ca="1" si="9"/>
        <v>OGE</v>
      </c>
    </row>
    <row r="16" spans="1:61" ht="13.8" x14ac:dyDescent="0.25">
      <c r="A16" s="223" t="s">
        <v>345</v>
      </c>
      <c r="B16" s="224" t="s">
        <v>139</v>
      </c>
      <c r="C16" s="224">
        <v>20</v>
      </c>
      <c r="D16" s="224" t="s">
        <v>346</v>
      </c>
      <c r="E16" s="225" t="str">
        <f t="shared" ca="1" si="0"/>
        <v>MR</v>
      </c>
      <c r="F16" s="348"/>
      <c r="G16" s="349">
        <f t="shared" ca="1" si="1"/>
        <v>53</v>
      </c>
      <c r="H16" s="350"/>
      <c r="I16" s="232"/>
      <c r="J16" s="210" t="s">
        <v>253</v>
      </c>
      <c r="K16" s="232"/>
      <c r="L16" s="386">
        <f t="array" ref="L16">SUM( IF( LEN( $C$7:$C$65 ) = 0, 0, $C$7:$C$65 ) ) / SUM( IF( LEN( $C$7:$C$65 ) = 0, 0, 1  ) )</f>
        <v>18.327272727272728</v>
      </c>
      <c r="M16" s="387"/>
      <c r="N16" s="232"/>
      <c r="O16" s="386">
        <f t="array" aca="1" ref="O16" ca="1">SUM( IF( LEN( $C$7:$C$65 ) = 0, 0, IF( $E$7:$E$65 = O3, $C$7:$C$65, 0 ) ) ) / SUM( IF( LEN( $C$7:$C$65 ) = 0, 0, IF( $E$7:$E$65 = O3, 1, 0 ) ) )</f>
        <v>18.25</v>
      </c>
      <c r="P16" s="387"/>
      <c r="Q16" s="232"/>
      <c r="R16" s="386">
        <f t="array" aca="1" ref="R16" ca="1">SUM( IF( LEN( $C$7:$C$65 ) = 0, 0, IF( $E$7:$E$65 = R3, $C$7:$C$65, 0 ) ) ) / SUM( IF( LEN( $C$7:$C$65 ) = 0, 0, IF( $E$7:$E$65 = R3, 1, 0 ) ) )</f>
        <v>19</v>
      </c>
      <c r="S16" s="387"/>
      <c r="T16" s="232"/>
      <c r="U16" s="386">
        <f t="array" aca="1" ref="U16" ca="1">SUM( IF( LEN( $C$7:$C$65 ) = 0, 0, IF( $E$7:$E$65 = U3, $C$7:$C$65, 0 ) ) ) / SUM( IF( LEN( $C$7:$C$65 ) = 0, 0, IF( $E$7:$E$65 = U3, 1, 0 ) ) )</f>
        <v>14</v>
      </c>
      <c r="V16" s="388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9"/>
        <v/>
      </c>
      <c r="AJ16" s="169">
        <f t="shared" ca="1" si="4"/>
        <v>14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5"/>
        <v/>
      </c>
      <c r="AQ16" s="207" t="s">
        <v>227</v>
      </c>
      <c r="AR16" s="207" t="s">
        <v>139</v>
      </c>
      <c r="AS16" s="207">
        <v>20</v>
      </c>
      <c r="AT16" s="207" t="s">
        <v>228</v>
      </c>
      <c r="AV16" s="168">
        <f t="shared" si="21"/>
        <v>2</v>
      </c>
      <c r="AW16" s="168">
        <f>COUNTIF( AV$7:AV16, AV16 )</f>
        <v>3</v>
      </c>
      <c r="AX16" s="208">
        <f t="shared" si="22"/>
        <v>2.2999999999999998</v>
      </c>
      <c r="AY16" s="168">
        <f t="shared" si="23"/>
        <v>4</v>
      </c>
      <c r="AZ16" s="169"/>
      <c r="BA16" s="169"/>
      <c r="BC16" s="168">
        <f t="shared" ca="1" si="24"/>
        <v>10</v>
      </c>
      <c r="BD16" s="209">
        <f t="shared" ca="1" si="7"/>
        <v>50</v>
      </c>
      <c r="BF16" s="173" t="str">
        <f t="shared" ca="1" si="8"/>
        <v>Vectren Corporation</v>
      </c>
      <c r="BG16" s="173" t="str">
        <f t="shared" ca="1" si="9"/>
        <v>A-</v>
      </c>
      <c r="BH16" s="173">
        <f t="shared" ca="1" si="9"/>
        <v>20</v>
      </c>
      <c r="BI16" s="173" t="str">
        <f t="shared" ca="1" si="9"/>
        <v>VVC</v>
      </c>
    </row>
    <row r="17" spans="1:61" ht="13.8" x14ac:dyDescent="0.25">
      <c r="A17" s="223" t="s">
        <v>247</v>
      </c>
      <c r="B17" s="224" t="s">
        <v>139</v>
      </c>
      <c r="C17" s="224">
        <v>20</v>
      </c>
      <c r="D17" s="224" t="s">
        <v>248</v>
      </c>
      <c r="E17" s="225" t="str">
        <f t="shared" ca="1" si="0"/>
        <v>R</v>
      </c>
      <c r="F17" s="348"/>
      <c r="G17" s="349">
        <f t="shared" ca="1" si="1"/>
        <v>55</v>
      </c>
      <c r="H17" s="350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9"/>
        <v/>
      </c>
      <c r="AJ17" s="169">
        <f t="shared" ca="1" si="4"/>
        <v>15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5"/>
        <v/>
      </c>
      <c r="AQ17" s="207" t="s">
        <v>361</v>
      </c>
      <c r="AR17" s="207" t="s">
        <v>139</v>
      </c>
      <c r="AS17" s="207">
        <v>20</v>
      </c>
      <c r="AT17" s="207" t="s">
        <v>194</v>
      </c>
      <c r="AV17" s="168">
        <f t="shared" si="21"/>
        <v>2</v>
      </c>
      <c r="AW17" s="168">
        <f>COUNTIF( AV$7:AV17, AV17 )</f>
        <v>4</v>
      </c>
      <c r="AX17" s="208">
        <f t="shared" si="22"/>
        <v>2.4</v>
      </c>
      <c r="AY17" s="168">
        <f t="shared" si="23"/>
        <v>5</v>
      </c>
      <c r="AZ17" s="169"/>
      <c r="BA17" s="169"/>
      <c r="BC17" s="168">
        <f t="shared" ca="1" si="24"/>
        <v>11</v>
      </c>
      <c r="BD17" s="209">
        <f t="shared" ca="1" si="7"/>
        <v>52</v>
      </c>
      <c r="BF17" s="173" t="str">
        <f t="shared" ca="1" si="8"/>
        <v>Wisconsin Energy Corporation</v>
      </c>
      <c r="BG17" s="173" t="str">
        <f t="shared" ca="1" si="9"/>
        <v>A-</v>
      </c>
      <c r="BH17" s="173">
        <f t="shared" ca="1" si="9"/>
        <v>20</v>
      </c>
      <c r="BI17" s="173" t="str">
        <f t="shared" ca="1" si="9"/>
        <v>WEC</v>
      </c>
    </row>
    <row r="18" spans="1:61" ht="13.8" x14ac:dyDescent="0.25">
      <c r="A18" s="223" t="s">
        <v>251</v>
      </c>
      <c r="B18" s="224" t="s">
        <v>139</v>
      </c>
      <c r="C18" s="224">
        <v>20</v>
      </c>
      <c r="D18" s="224" t="s">
        <v>252</v>
      </c>
      <c r="E18" s="225" t="str">
        <f t="shared" ca="1" si="0"/>
        <v>R</v>
      </c>
      <c r="F18" s="348"/>
      <c r="G18" s="349">
        <f t="shared" ca="1" si="1"/>
        <v>56</v>
      </c>
      <c r="H18" s="350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9"/>
        <v/>
      </c>
      <c r="AJ18" s="169">
        <f t="shared" ca="1" si="4"/>
        <v>16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5"/>
        <v/>
      </c>
      <c r="AQ18" s="207" t="s">
        <v>259</v>
      </c>
      <c r="AR18" s="207" t="s">
        <v>175</v>
      </c>
      <c r="AS18" s="207">
        <v>15</v>
      </c>
      <c r="AT18" s="207" t="s">
        <v>260</v>
      </c>
      <c r="AV18" s="168">
        <f t="shared" si="21"/>
        <v>52</v>
      </c>
      <c r="AW18" s="168">
        <f>COUNTIF( AV$7:AV18, AV18 )</f>
        <v>1</v>
      </c>
      <c r="AX18" s="208">
        <f t="shared" si="22"/>
        <v>52.1</v>
      </c>
      <c r="AY18" s="168">
        <f t="shared" si="23"/>
        <v>52</v>
      </c>
      <c r="AZ18" s="169"/>
      <c r="BA18" s="169"/>
      <c r="BC18" s="168">
        <f t="shared" ca="1" si="24"/>
        <v>12</v>
      </c>
      <c r="BD18" s="209">
        <f t="shared" ca="1" si="7"/>
        <v>53</v>
      </c>
      <c r="BF18" s="173" t="str">
        <f t="shared" ca="1" si="8"/>
        <v>Xcel Energy Inc.</v>
      </c>
      <c r="BG18" s="173" t="str">
        <f t="shared" ca="1" si="9"/>
        <v>A-</v>
      </c>
      <c r="BH18" s="173">
        <f t="shared" ca="1" si="9"/>
        <v>20</v>
      </c>
      <c r="BI18" s="173" t="str">
        <f t="shared" ca="1" si="9"/>
        <v>XEL</v>
      </c>
    </row>
    <row r="19" spans="1:61" ht="13.8" x14ac:dyDescent="0.25">
      <c r="A19" s="223" t="s">
        <v>217</v>
      </c>
      <c r="B19" s="224" t="s">
        <v>140</v>
      </c>
      <c r="C19" s="224">
        <v>19</v>
      </c>
      <c r="D19" s="224" t="s">
        <v>218</v>
      </c>
      <c r="E19" s="225" t="str">
        <f t="shared" ca="1" si="0"/>
        <v>R</v>
      </c>
      <c r="F19" s="348"/>
      <c r="G19" s="349">
        <f t="shared" ca="1" si="1"/>
        <v>7</v>
      </c>
      <c r="H19" s="350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9"/>
        <v/>
      </c>
      <c r="AJ19" s="169">
        <f t="shared" ca="1" si="4"/>
        <v>17</v>
      </c>
      <c r="AK19" s="169" t="str">
        <f t="shared" ca="1" si="20"/>
        <v>BBB+</v>
      </c>
      <c r="AL19" s="169">
        <f t="shared" ca="1" si="20"/>
        <v>19</v>
      </c>
      <c r="AM19" s="169" t="str">
        <f t="shared" ca="1" si="5"/>
        <v/>
      </c>
      <c r="AQ19" s="207" t="s">
        <v>261</v>
      </c>
      <c r="AR19" s="207" t="s">
        <v>140</v>
      </c>
      <c r="AS19" s="207">
        <v>19</v>
      </c>
      <c r="AT19" s="207" t="s">
        <v>262</v>
      </c>
      <c r="AV19" s="168">
        <f t="shared" si="21"/>
        <v>13</v>
      </c>
      <c r="AW19" s="168">
        <f>COUNTIF( AV$7:AV19, AV19 )</f>
        <v>2</v>
      </c>
      <c r="AX19" s="208">
        <f t="shared" si="22"/>
        <v>13.2</v>
      </c>
      <c r="AY19" s="168">
        <f t="shared" si="23"/>
        <v>14</v>
      </c>
      <c r="AZ19" s="169"/>
      <c r="BA19" s="169"/>
      <c r="BC19" s="168">
        <f t="shared" ca="1" si="24"/>
        <v>13</v>
      </c>
      <c r="BD19" s="209">
        <f t="shared" ca="1" si="7"/>
        <v>1</v>
      </c>
      <c r="BF19" s="173" t="str">
        <f t="shared" ca="1" si="8"/>
        <v>ALLETE, Inc.</v>
      </c>
      <c r="BG19" s="173" t="str">
        <f t="shared" ca="1" si="9"/>
        <v>BBB+</v>
      </c>
      <c r="BH19" s="173">
        <f t="shared" ca="1" si="9"/>
        <v>19</v>
      </c>
      <c r="BI19" s="173" t="str">
        <f t="shared" ca="1" si="9"/>
        <v>ALE</v>
      </c>
    </row>
    <row r="20" spans="1:61" ht="13.8" x14ac:dyDescent="0.25">
      <c r="A20" s="223" t="s">
        <v>261</v>
      </c>
      <c r="B20" s="224" t="s">
        <v>140</v>
      </c>
      <c r="C20" s="224">
        <v>19</v>
      </c>
      <c r="D20" s="224" t="s">
        <v>262</v>
      </c>
      <c r="E20" s="225" t="str">
        <f t="shared" ca="1" si="0"/>
        <v>R</v>
      </c>
      <c r="F20" s="348"/>
      <c r="G20" s="349">
        <f t="shared" ca="1" si="1"/>
        <v>18</v>
      </c>
      <c r="H20" s="350"/>
      <c r="I20" s="352"/>
      <c r="K20" s="352"/>
      <c r="N20" s="352"/>
      <c r="O20" s="173"/>
      <c r="Q20" s="352"/>
      <c r="T20" s="352"/>
      <c r="W20" s="352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9"/>
        <v/>
      </c>
      <c r="AJ20" s="169">
        <f t="shared" ca="1" si="4"/>
        <v>19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5"/>
        <v/>
      </c>
      <c r="AQ20" s="207" t="s">
        <v>263</v>
      </c>
      <c r="AR20" s="207" t="s">
        <v>140</v>
      </c>
      <c r="AS20" s="207">
        <v>19</v>
      </c>
      <c r="AT20" s="207" t="s">
        <v>264</v>
      </c>
      <c r="AV20" s="168">
        <f t="shared" si="21"/>
        <v>13</v>
      </c>
      <c r="AW20" s="168">
        <f>COUNTIF( AV$7:AV20, AV20 )</f>
        <v>3</v>
      </c>
      <c r="AX20" s="208">
        <f t="shared" si="22"/>
        <v>13.3</v>
      </c>
      <c r="AY20" s="168">
        <f t="shared" si="23"/>
        <v>15</v>
      </c>
      <c r="AZ20" s="169"/>
      <c r="BA20" s="169"/>
      <c r="BC20" s="168">
        <f t="shared" ca="1" si="24"/>
        <v>14</v>
      </c>
      <c r="BD20" s="209">
        <f t="shared" ca="1" si="7"/>
        <v>13</v>
      </c>
      <c r="BF20" s="173" t="str">
        <f t="shared" ca="1" si="8"/>
        <v>DTE Energy Company</v>
      </c>
      <c r="BG20" s="173" t="str">
        <f t="shared" ca="1" si="9"/>
        <v>BBB+</v>
      </c>
      <c r="BH20" s="173">
        <f t="shared" ca="1" si="9"/>
        <v>19</v>
      </c>
      <c r="BI20" s="173" t="str">
        <f t="shared" ca="1" si="9"/>
        <v>DTE</v>
      </c>
    </row>
    <row r="21" spans="1:61" ht="13.8" x14ac:dyDescent="0.25">
      <c r="A21" s="223" t="s">
        <v>263</v>
      </c>
      <c r="B21" s="224" t="s">
        <v>140</v>
      </c>
      <c r="C21" s="224">
        <v>19</v>
      </c>
      <c r="D21" s="224" t="s">
        <v>264</v>
      </c>
      <c r="E21" s="225" t="str">
        <f t="shared" ca="1" si="0"/>
        <v>R</v>
      </c>
      <c r="F21" s="348"/>
      <c r="G21" s="349">
        <f t="shared" ca="1" si="1"/>
        <v>19</v>
      </c>
      <c r="H21" s="350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9"/>
        <v/>
      </c>
      <c r="AJ21" s="169">
        <f t="shared" ca="1" si="4"/>
        <v>20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5"/>
        <v/>
      </c>
      <c r="AQ21" s="207" t="s">
        <v>265</v>
      </c>
      <c r="AR21" s="207" t="s">
        <v>142</v>
      </c>
      <c r="AS21" s="207">
        <v>17</v>
      </c>
      <c r="AT21" s="207" t="s">
        <v>266</v>
      </c>
      <c r="AV21" s="168">
        <f t="shared" si="21"/>
        <v>44</v>
      </c>
      <c r="AW21" s="168">
        <f>COUNTIF( AV$7:AV21, AV21 )</f>
        <v>2</v>
      </c>
      <c r="AX21" s="208">
        <f t="shared" si="22"/>
        <v>44.2</v>
      </c>
      <c r="AY21" s="168">
        <f t="shared" si="23"/>
        <v>45</v>
      </c>
      <c r="AZ21" s="169"/>
      <c r="BA21" s="169"/>
      <c r="BC21" s="168">
        <f t="shared" ca="1" si="24"/>
        <v>15</v>
      </c>
      <c r="BD21" s="209">
        <f t="shared" ca="1" si="7"/>
        <v>14</v>
      </c>
      <c r="BF21" s="173" t="str">
        <f t="shared" ca="1" si="8"/>
        <v>Duke Energy Corporation</v>
      </c>
      <c r="BG21" s="173" t="str">
        <f t="shared" ca="1" si="9"/>
        <v>BBB+</v>
      </c>
      <c r="BH21" s="173">
        <f t="shared" ca="1" si="9"/>
        <v>19</v>
      </c>
      <c r="BI21" s="173" t="str">
        <f t="shared" ca="1" si="9"/>
        <v>DUK</v>
      </c>
    </row>
    <row r="22" spans="1:61" ht="13.8" x14ac:dyDescent="0.25">
      <c r="A22" s="223" t="s">
        <v>271</v>
      </c>
      <c r="B22" s="224" t="s">
        <v>140</v>
      </c>
      <c r="C22" s="224">
        <v>19</v>
      </c>
      <c r="D22" s="224" t="s">
        <v>272</v>
      </c>
      <c r="E22" s="225" t="str">
        <f t="shared" ca="1" si="0"/>
        <v>D</v>
      </c>
      <c r="F22" s="348"/>
      <c r="G22" s="349">
        <f t="shared" ca="1" si="1"/>
        <v>30</v>
      </c>
      <c r="H22" s="350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4"/>
        <v>21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5"/>
        <v/>
      </c>
      <c r="AQ22" s="207" t="s">
        <v>328</v>
      </c>
      <c r="AR22" s="207" t="s">
        <v>141</v>
      </c>
      <c r="AS22" s="207">
        <v>18</v>
      </c>
      <c r="AT22" s="207" t="s">
        <v>331</v>
      </c>
      <c r="AV22" s="168">
        <f t="shared" si="21"/>
        <v>24</v>
      </c>
      <c r="AW22" s="168">
        <f>COUNTIF( AV$7:AV22, AV22 )</f>
        <v>6</v>
      </c>
      <c r="AX22" s="208">
        <f t="shared" si="22"/>
        <v>24.6</v>
      </c>
      <c r="AY22" s="168">
        <f t="shared" si="23"/>
        <v>29</v>
      </c>
      <c r="AZ22" s="169"/>
      <c r="BA22" s="169"/>
      <c r="BC22" s="168">
        <f t="shared" ca="1" si="24"/>
        <v>16</v>
      </c>
      <c r="BD22" s="209">
        <f t="shared" ca="1" si="7"/>
        <v>28</v>
      </c>
      <c r="BF22" s="173" t="str">
        <f t="shared" ca="1" si="8"/>
        <v>MDU Resources Group, Inc.</v>
      </c>
      <c r="BG22" s="173" t="str">
        <f t="shared" ca="1" si="9"/>
        <v>BBB+</v>
      </c>
      <c r="BH22" s="173">
        <f t="shared" ca="1" si="9"/>
        <v>19</v>
      </c>
      <c r="BI22" s="173" t="str">
        <f t="shared" ca="1" si="9"/>
        <v>MDU</v>
      </c>
    </row>
    <row r="23" spans="1:61" ht="13.8" x14ac:dyDescent="0.25">
      <c r="A23" s="223" t="s">
        <v>408</v>
      </c>
      <c r="B23" s="224" t="s">
        <v>140</v>
      </c>
      <c r="C23" s="224">
        <v>19</v>
      </c>
      <c r="D23" s="224" t="s">
        <v>216</v>
      </c>
      <c r="E23" s="225" t="str">
        <f t="shared" ca="1" si="0"/>
        <v>MR</v>
      </c>
      <c r="F23" s="348"/>
      <c r="G23" s="349">
        <f t="shared" ca="1" si="1"/>
        <v>62</v>
      </c>
      <c r="H23" s="350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4"/>
        <v>22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5"/>
        <v/>
      </c>
      <c r="AQ23" s="207" t="s">
        <v>367</v>
      </c>
      <c r="AR23" s="207" t="s">
        <v>141</v>
      </c>
      <c r="AS23" s="207">
        <v>18</v>
      </c>
      <c r="AT23" s="207" t="s">
        <v>368</v>
      </c>
      <c r="AV23" s="168">
        <f t="shared" si="21"/>
        <v>24</v>
      </c>
      <c r="AW23" s="168">
        <f>COUNTIF( AV$7:AV23, AV23 )</f>
        <v>7</v>
      </c>
      <c r="AX23" s="208">
        <f t="shared" si="22"/>
        <v>24.7</v>
      </c>
      <c r="AY23" s="168">
        <f t="shared" si="23"/>
        <v>30</v>
      </c>
      <c r="AZ23" s="169"/>
      <c r="BA23" s="169"/>
      <c r="BC23" s="168">
        <f t="shared" ca="1" si="24"/>
        <v>17</v>
      </c>
      <c r="BD23" s="209">
        <f t="shared" ca="1" si="7"/>
        <v>29</v>
      </c>
      <c r="BF23" s="173" t="str">
        <f t="shared" ca="1" si="8"/>
        <v>MidAmerican Energy Holdings Company</v>
      </c>
      <c r="BG23" s="173" t="str">
        <f t="shared" ca="1" si="9"/>
        <v>BBB+</v>
      </c>
      <c r="BH23" s="173">
        <f t="shared" ca="1" si="9"/>
        <v>19</v>
      </c>
      <c r="BI23" s="173" t="str">
        <f t="shared" ca="1" si="9"/>
        <v>**BRK</v>
      </c>
    </row>
    <row r="24" spans="1:61" ht="13.8" x14ac:dyDescent="0.25">
      <c r="A24" s="223" t="s">
        <v>382</v>
      </c>
      <c r="B24" s="224" t="s">
        <v>140</v>
      </c>
      <c r="C24" s="224">
        <v>19</v>
      </c>
      <c r="D24" s="224" t="s">
        <v>383</v>
      </c>
      <c r="E24" s="225" t="str">
        <f t="shared" ca="1" si="0"/>
        <v>MR</v>
      </c>
      <c r="F24" s="348"/>
      <c r="G24" s="349">
        <f t="shared" ca="1" si="1"/>
        <v>39</v>
      </c>
      <c r="H24" s="350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4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5"/>
        <v/>
      </c>
      <c r="AQ24" s="207" t="s">
        <v>371</v>
      </c>
      <c r="AR24" s="207" t="s">
        <v>187</v>
      </c>
      <c r="AS24" s="207">
        <v>9</v>
      </c>
      <c r="AT24" s="207" t="s">
        <v>359</v>
      </c>
      <c r="AV24" s="168">
        <f t="shared" si="21"/>
        <v>53</v>
      </c>
      <c r="AW24" s="168">
        <f>COUNTIF( AV$7:AV24, AV24 )</f>
        <v>1</v>
      </c>
      <c r="AX24" s="208">
        <f t="shared" si="22"/>
        <v>53.1</v>
      </c>
      <c r="AY24" s="168">
        <f t="shared" si="23"/>
        <v>53</v>
      </c>
      <c r="AZ24" s="169"/>
      <c r="BA24" s="169"/>
      <c r="BC24" s="168">
        <f t="shared" ca="1" si="24"/>
        <v>18</v>
      </c>
      <c r="BD24" s="209">
        <f t="shared" ca="1" si="7"/>
        <v>37</v>
      </c>
      <c r="BF24" s="173" t="str">
        <f t="shared" ca="1" si="8"/>
        <v>Pepco Holdings, Inc.</v>
      </c>
      <c r="BG24" s="173" t="str">
        <f t="shared" ca="1" si="9"/>
        <v>BBB+</v>
      </c>
      <c r="BH24" s="173">
        <f t="shared" ca="1" si="9"/>
        <v>19</v>
      </c>
      <c r="BI24" s="173" t="str">
        <f t="shared" ca="1" si="9"/>
        <v>POM</v>
      </c>
    </row>
    <row r="25" spans="1:61" ht="13.8" x14ac:dyDescent="0.25">
      <c r="A25" s="223" t="s">
        <v>281</v>
      </c>
      <c r="B25" s="224" t="s">
        <v>140</v>
      </c>
      <c r="C25" s="224">
        <v>19</v>
      </c>
      <c r="D25" s="224" t="s">
        <v>282</v>
      </c>
      <c r="E25" s="225" t="str">
        <f t="shared" ca="1" si="0"/>
        <v>R</v>
      </c>
      <c r="F25" s="348"/>
      <c r="G25" s="349">
        <f t="shared" ca="1" si="1"/>
        <v>41</v>
      </c>
      <c r="H25" s="350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9"/>
        <v/>
      </c>
      <c r="AJ25" s="169">
        <f t="shared" ca="1" si="4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5"/>
        <v/>
      </c>
      <c r="AQ25" s="207" t="s">
        <v>267</v>
      </c>
      <c r="AR25" s="207" t="s">
        <v>141</v>
      </c>
      <c r="AS25" s="207">
        <v>18</v>
      </c>
      <c r="AT25" s="207" t="s">
        <v>268</v>
      </c>
      <c r="AV25" s="168">
        <f t="shared" si="21"/>
        <v>24</v>
      </c>
      <c r="AW25" s="168">
        <f>COUNTIF( AV$7:AV25, AV25 )</f>
        <v>8</v>
      </c>
      <c r="AX25" s="208">
        <f t="shared" si="22"/>
        <v>24.8</v>
      </c>
      <c r="AY25" s="168">
        <f t="shared" si="23"/>
        <v>31</v>
      </c>
      <c r="AZ25" s="169"/>
      <c r="BA25" s="169"/>
      <c r="BC25" s="168">
        <f t="shared" ca="1" si="24"/>
        <v>19</v>
      </c>
      <c r="BD25" s="209">
        <f t="shared" ca="1" si="7"/>
        <v>39</v>
      </c>
      <c r="BF25" s="173" t="str">
        <f t="shared" ca="1" si="8"/>
        <v>Pinnacle West Capital Corporation</v>
      </c>
      <c r="BG25" s="173" t="str">
        <f t="shared" ca="1" si="9"/>
        <v>BBB+</v>
      </c>
      <c r="BH25" s="173">
        <f t="shared" ca="1" si="9"/>
        <v>19</v>
      </c>
      <c r="BI25" s="173" t="str">
        <f t="shared" ca="1" si="9"/>
        <v>PNW</v>
      </c>
    </row>
    <row r="26" spans="1:61" ht="13.8" x14ac:dyDescent="0.25">
      <c r="A26" s="223" t="s">
        <v>289</v>
      </c>
      <c r="B26" s="224" t="s">
        <v>140</v>
      </c>
      <c r="C26" s="224">
        <v>19</v>
      </c>
      <c r="D26" s="224" t="s">
        <v>290</v>
      </c>
      <c r="E26" s="225" t="str">
        <f t="shared" ca="1" si="0"/>
        <v>MR</v>
      </c>
      <c r="F26" s="348"/>
      <c r="G26" s="349">
        <f t="shared" ca="1" si="1"/>
        <v>45</v>
      </c>
      <c r="H26" s="350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>
        <f t="shared" ca="1" si="3"/>
        <v>1</v>
      </c>
      <c r="AH26" s="169" t="str">
        <f t="shared" ca="1" si="19"/>
        <v/>
      </c>
      <c r="AJ26" s="169">
        <f t="shared" ca="1" si="4"/>
        <v>45</v>
      </c>
      <c r="AK26" s="169" t="str">
        <f t="shared" ca="1" si="20"/>
        <v>BBB</v>
      </c>
      <c r="AL26" s="169">
        <f t="shared" ca="1" si="20"/>
        <v>18</v>
      </c>
      <c r="AM26" s="169" t="str">
        <f t="shared" ca="1" si="5"/>
        <v>Change</v>
      </c>
      <c r="AQ26" s="207" t="s">
        <v>269</v>
      </c>
      <c r="AR26" s="207" t="s">
        <v>141</v>
      </c>
      <c r="AS26" s="207">
        <v>18</v>
      </c>
      <c r="AT26" s="207" t="s">
        <v>270</v>
      </c>
      <c r="AV26" s="168">
        <f t="shared" si="21"/>
        <v>24</v>
      </c>
      <c r="AW26" s="168">
        <f>COUNTIF( AV$7:AV26, AV26 )</f>
        <v>9</v>
      </c>
      <c r="AX26" s="208">
        <f t="shared" si="22"/>
        <v>24.9</v>
      </c>
      <c r="AY26" s="168">
        <f t="shared" si="23"/>
        <v>32</v>
      </c>
      <c r="AZ26" s="169"/>
      <c r="BA26" s="169"/>
      <c r="BC26" s="168">
        <f t="shared" ca="1" si="24"/>
        <v>20</v>
      </c>
      <c r="BD26" s="209">
        <f t="shared" ca="1" si="7"/>
        <v>43</v>
      </c>
      <c r="BF26" s="173" t="str">
        <f t="shared" ca="1" si="8"/>
        <v>Public Service Enterprise Group Incorporated</v>
      </c>
      <c r="BG26" s="173" t="str">
        <f t="shared" ca="1" si="9"/>
        <v>BBB+</v>
      </c>
      <c r="BH26" s="173">
        <f t="shared" ca="1" si="9"/>
        <v>19</v>
      </c>
      <c r="BI26" s="173" t="str">
        <f t="shared" ca="1" si="9"/>
        <v>PEG</v>
      </c>
    </row>
    <row r="27" spans="1:61" ht="13.8" x14ac:dyDescent="0.25">
      <c r="A27" s="223" t="s">
        <v>347</v>
      </c>
      <c r="B27" s="224" t="s">
        <v>140</v>
      </c>
      <c r="C27" s="224">
        <v>19</v>
      </c>
      <c r="D27" s="224" t="s">
        <v>348</v>
      </c>
      <c r="E27" s="225" t="str">
        <f t="shared" ca="1" si="0"/>
        <v>MR</v>
      </c>
      <c r="F27" s="348"/>
      <c r="G27" s="349">
        <f t="shared" ca="1" si="1"/>
        <v>46</v>
      </c>
      <c r="H27" s="350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4"/>
        <v>26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5"/>
        <v/>
      </c>
      <c r="AQ27" s="207" t="s">
        <v>275</v>
      </c>
      <c r="AR27" s="207" t="s">
        <v>142</v>
      </c>
      <c r="AS27" s="207">
        <v>17</v>
      </c>
      <c r="AT27" s="207" t="s">
        <v>276</v>
      </c>
      <c r="AV27" s="168">
        <f t="shared" si="21"/>
        <v>44</v>
      </c>
      <c r="AW27" s="168">
        <f>COUNTIF( AV$7:AV27, AV27 )</f>
        <v>3</v>
      </c>
      <c r="AX27" s="208">
        <f t="shared" si="22"/>
        <v>44.3</v>
      </c>
      <c r="AY27" s="168">
        <f t="shared" si="23"/>
        <v>46</v>
      </c>
      <c r="AZ27" s="169"/>
      <c r="BA27" s="169"/>
      <c r="BC27" s="168">
        <f t="shared" ca="1" si="24"/>
        <v>21</v>
      </c>
      <c r="BD27" s="209">
        <f t="shared" ca="1" si="7"/>
        <v>45</v>
      </c>
      <c r="BF27" s="173" t="str">
        <f t="shared" ca="1" si="8"/>
        <v>SCANA Corporation</v>
      </c>
      <c r="BG27" s="173" t="str">
        <f t="shared" ca="1" si="9"/>
        <v>BBB+</v>
      </c>
      <c r="BH27" s="173">
        <f t="shared" ca="1" si="9"/>
        <v>19</v>
      </c>
      <c r="BI27" s="173" t="str">
        <f t="shared" ca="1" si="9"/>
        <v>SCG</v>
      </c>
    </row>
    <row r="28" spans="1:61" ht="13.8" x14ac:dyDescent="0.25">
      <c r="A28" s="223" t="s">
        <v>291</v>
      </c>
      <c r="B28" s="224" t="s">
        <v>140</v>
      </c>
      <c r="C28" s="224">
        <v>19</v>
      </c>
      <c r="D28" s="224" t="s">
        <v>292</v>
      </c>
      <c r="E28" s="225" t="str">
        <f t="shared" ca="1" si="0"/>
        <v>MR</v>
      </c>
      <c r="F28" s="348"/>
      <c r="G28" s="349">
        <f t="shared" ca="1" si="1"/>
        <v>47</v>
      </c>
      <c r="H28" s="350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4"/>
        <v>27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5"/>
        <v/>
      </c>
      <c r="AQ28" s="207" t="s">
        <v>352</v>
      </c>
      <c r="AR28" s="207" t="s">
        <v>141</v>
      </c>
      <c r="AS28" s="207">
        <v>18</v>
      </c>
      <c r="AT28" s="207" t="s">
        <v>353</v>
      </c>
      <c r="AV28" s="168">
        <f t="shared" si="21"/>
        <v>24</v>
      </c>
      <c r="AW28" s="168">
        <f>COUNTIF( AV$7:AV28, AV28 )</f>
        <v>10</v>
      </c>
      <c r="AX28" s="208">
        <f t="shared" si="22"/>
        <v>25</v>
      </c>
      <c r="AY28" s="168">
        <f t="shared" si="23"/>
        <v>33</v>
      </c>
      <c r="AZ28" s="169"/>
      <c r="BA28" s="169"/>
      <c r="BC28" s="168">
        <f t="shared" ca="1" si="24"/>
        <v>22</v>
      </c>
      <c r="BD28" s="209">
        <f t="shared" ca="1" si="7"/>
        <v>46</v>
      </c>
      <c r="BF28" s="173" t="str">
        <f t="shared" ca="1" si="8"/>
        <v>Sempra Energy</v>
      </c>
      <c r="BG28" s="173" t="str">
        <f t="shared" ca="1" si="9"/>
        <v>BBB+</v>
      </c>
      <c r="BH28" s="173">
        <f t="shared" ca="1" si="9"/>
        <v>19</v>
      </c>
      <c r="BI28" s="173" t="str">
        <f t="shared" ca="1" si="9"/>
        <v>SRE</v>
      </c>
    </row>
    <row r="29" spans="1:61" ht="13.8" x14ac:dyDescent="0.25">
      <c r="A29" s="223" t="s">
        <v>369</v>
      </c>
      <c r="B29" s="224" t="s">
        <v>140</v>
      </c>
      <c r="C29" s="224">
        <v>19</v>
      </c>
      <c r="D29" s="224" t="s">
        <v>375</v>
      </c>
      <c r="E29" s="225" t="str">
        <f t="shared" ca="1" si="0"/>
        <v>R</v>
      </c>
      <c r="F29" s="348"/>
      <c r="G29" s="349">
        <f t="shared" ca="1" si="1"/>
        <v>49</v>
      </c>
      <c r="H29" s="350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9"/>
        <v/>
      </c>
      <c r="AJ29" s="169">
        <f t="shared" ca="1" si="4"/>
        <v>28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5"/>
        <v/>
      </c>
      <c r="AQ29" s="207" t="s">
        <v>279</v>
      </c>
      <c r="AR29" s="207" t="s">
        <v>142</v>
      </c>
      <c r="AS29" s="207">
        <v>17</v>
      </c>
      <c r="AT29" s="207" t="s">
        <v>280</v>
      </c>
      <c r="AV29" s="168">
        <f t="shared" si="21"/>
        <v>44</v>
      </c>
      <c r="AW29" s="168">
        <f>COUNTIF( AV$7:AV29, AV29 )</f>
        <v>4</v>
      </c>
      <c r="AX29" s="208">
        <f t="shared" si="22"/>
        <v>44.4</v>
      </c>
      <c r="AY29" s="168">
        <f t="shared" si="23"/>
        <v>47</v>
      </c>
      <c r="AZ29" s="169"/>
      <c r="BA29" s="169"/>
      <c r="BC29" s="168">
        <f t="shared" ca="1" si="24"/>
        <v>23</v>
      </c>
      <c r="BD29" s="209">
        <f t="shared" ca="1" si="7"/>
        <v>48</v>
      </c>
      <c r="BF29" s="173" t="str">
        <f t="shared" ca="1" si="8"/>
        <v>TECO Energy, Inc.</v>
      </c>
      <c r="BG29" s="173" t="str">
        <f t="shared" ca="1" si="9"/>
        <v>BBB+</v>
      </c>
      <c r="BH29" s="173">
        <f t="shared" ca="1" si="9"/>
        <v>19</v>
      </c>
      <c r="BI29" s="173" t="str">
        <f t="shared" ca="1" si="9"/>
        <v>TE</v>
      </c>
    </row>
    <row r="30" spans="1:61" ht="13.8" x14ac:dyDescent="0.25">
      <c r="A30" s="223" t="s">
        <v>225</v>
      </c>
      <c r="B30" s="224" t="s">
        <v>141</v>
      </c>
      <c r="C30" s="224">
        <v>18</v>
      </c>
      <c r="D30" s="224" t="s">
        <v>226</v>
      </c>
      <c r="E30" s="225" t="str">
        <f t="shared" ca="1" si="0"/>
        <v>R</v>
      </c>
      <c r="F30" s="348"/>
      <c r="G30" s="349">
        <f t="shared" ca="1" si="1"/>
        <v>9</v>
      </c>
      <c r="H30" s="350"/>
      <c r="I30" s="237"/>
      <c r="J30" s="191"/>
      <c r="K30" s="237"/>
      <c r="N30" s="237"/>
      <c r="Q30" s="237"/>
      <c r="T30" s="237"/>
      <c r="W30" s="237"/>
      <c r="AF30" s="169">
        <f t="shared" si="2"/>
        <v>0</v>
      </c>
      <c r="AG30" s="169" t="str">
        <f t="shared" ca="1" si="3"/>
        <v/>
      </c>
      <c r="AH30" s="169" t="str">
        <f t="shared" ca="1" si="19"/>
        <v/>
      </c>
      <c r="AJ30" s="169">
        <f t="shared" ca="1" si="4"/>
        <v>29</v>
      </c>
      <c r="AK30" s="169" t="str">
        <f t="shared" ca="1" si="20"/>
        <v>BBB</v>
      </c>
      <c r="AL30" s="169">
        <f t="shared" ca="1" si="20"/>
        <v>18</v>
      </c>
      <c r="AM30" s="169" t="str">
        <f t="shared" ca="1" si="5"/>
        <v/>
      </c>
      <c r="AQ30" s="207" t="s">
        <v>387</v>
      </c>
      <c r="AR30" s="207" t="s">
        <v>141</v>
      </c>
      <c r="AS30" s="207">
        <v>18</v>
      </c>
      <c r="AT30" s="207" t="s">
        <v>388</v>
      </c>
      <c r="AV30" s="168">
        <f t="shared" si="21"/>
        <v>24</v>
      </c>
      <c r="AW30" s="168">
        <f>COUNTIF( AV$7:AV30, AV30 )</f>
        <v>11</v>
      </c>
      <c r="AX30" s="208">
        <f t="shared" si="22"/>
        <v>25.1</v>
      </c>
      <c r="AY30" s="168">
        <f t="shared" si="23"/>
        <v>34</v>
      </c>
      <c r="AZ30" s="169"/>
      <c r="BA30" s="169"/>
      <c r="BC30" s="168">
        <f t="shared" ca="1" si="24"/>
        <v>24</v>
      </c>
      <c r="BD30" s="209">
        <f t="shared" ca="1" si="7"/>
        <v>3</v>
      </c>
      <c r="BF30" s="173" t="str">
        <f t="shared" ca="1" si="8"/>
        <v>Ameren Corporation</v>
      </c>
      <c r="BG30" s="173" t="str">
        <f t="shared" ca="1" si="9"/>
        <v>BBB</v>
      </c>
      <c r="BH30" s="173">
        <f t="shared" ca="1" si="9"/>
        <v>18</v>
      </c>
      <c r="BI30" s="173" t="str">
        <f t="shared" ca="1" si="9"/>
        <v>AEE</v>
      </c>
    </row>
    <row r="31" spans="1:61" ht="13.8" x14ac:dyDescent="0.25">
      <c r="A31" s="223" t="s">
        <v>222</v>
      </c>
      <c r="B31" s="224" t="s">
        <v>141</v>
      </c>
      <c r="C31" s="224">
        <v>18</v>
      </c>
      <c r="D31" s="224" t="s">
        <v>223</v>
      </c>
      <c r="E31" s="225" t="str">
        <f t="shared" ca="1" si="0"/>
        <v>R</v>
      </c>
      <c r="F31" s="348"/>
      <c r="G31" s="349">
        <f t="shared" ca="1" si="1"/>
        <v>10</v>
      </c>
      <c r="H31" s="350"/>
      <c r="I31" s="237"/>
      <c r="J31" s="191"/>
      <c r="K31" s="237"/>
      <c r="N31" s="237"/>
      <c r="O31" s="351"/>
      <c r="Q31" s="237"/>
      <c r="T31" s="237"/>
      <c r="W31" s="237"/>
      <c r="AF31" s="169">
        <f t="shared" si="2"/>
        <v>0</v>
      </c>
      <c r="AG31" s="169" t="str">
        <f t="shared" ca="1" si="3"/>
        <v/>
      </c>
      <c r="AH31" s="169" t="str">
        <f t="shared" ca="1" si="19"/>
        <v/>
      </c>
      <c r="AJ31" s="169">
        <f t="shared" ca="1" si="4"/>
        <v>30</v>
      </c>
      <c r="AK31" s="169" t="str">
        <f t="shared" ca="1" si="20"/>
        <v>BBB</v>
      </c>
      <c r="AL31" s="169">
        <f t="shared" ca="1" si="20"/>
        <v>18</v>
      </c>
      <c r="AM31" s="169" t="str">
        <f t="shared" ca="1" si="5"/>
        <v/>
      </c>
      <c r="AQ31" s="207" t="s">
        <v>283</v>
      </c>
      <c r="AR31" s="207" t="s">
        <v>141</v>
      </c>
      <c r="AS31" s="207">
        <v>18</v>
      </c>
      <c r="AT31" s="207" t="s">
        <v>284</v>
      </c>
      <c r="AV31" s="168">
        <f t="shared" si="21"/>
        <v>24</v>
      </c>
      <c r="AW31" s="168">
        <f>COUNTIF( AV$7:AV31, AV31 )</f>
        <v>12</v>
      </c>
      <c r="AX31" s="208">
        <f t="shared" si="22"/>
        <v>25.2</v>
      </c>
      <c r="AY31" s="168">
        <f t="shared" si="23"/>
        <v>35</v>
      </c>
      <c r="AZ31" s="169"/>
      <c r="BA31" s="169"/>
      <c r="BC31" s="168">
        <f t="shared" ca="1" si="24"/>
        <v>25</v>
      </c>
      <c r="BD31" s="209">
        <f t="shared" ca="1" si="7"/>
        <v>4</v>
      </c>
      <c r="BF31" s="173" t="str">
        <f t="shared" ca="1" si="8"/>
        <v>American Electric Power Company, Inc.</v>
      </c>
      <c r="BG31" s="173" t="str">
        <f t="shared" ca="1" si="9"/>
        <v>BBB</v>
      </c>
      <c r="BH31" s="173">
        <f t="shared" ca="1" si="9"/>
        <v>18</v>
      </c>
      <c r="BI31" s="173" t="str">
        <f t="shared" ca="1" si="9"/>
        <v>AEP</v>
      </c>
    </row>
    <row r="32" spans="1:61" ht="13.8" x14ac:dyDescent="0.25">
      <c r="A32" s="223" t="s">
        <v>238</v>
      </c>
      <c r="B32" s="224" t="s">
        <v>141</v>
      </c>
      <c r="C32" s="224">
        <v>18</v>
      </c>
      <c r="D32" s="224" t="s">
        <v>239</v>
      </c>
      <c r="E32" s="225" t="str">
        <f t="shared" ca="1" si="0"/>
        <v>R</v>
      </c>
      <c r="F32" s="348"/>
      <c r="G32" s="349">
        <f t="shared" ca="1" si="1"/>
        <v>11</v>
      </c>
      <c r="H32" s="350"/>
      <c r="I32" s="237"/>
      <c r="J32" s="191"/>
      <c r="K32" s="237"/>
      <c r="N32" s="237"/>
      <c r="Q32" s="237"/>
      <c r="T32" s="237"/>
      <c r="W32" s="237"/>
      <c r="AF32" s="169">
        <f t="shared" si="2"/>
        <v>0</v>
      </c>
      <c r="AG32" s="169" t="str">
        <f t="shared" ca="1" si="3"/>
        <v/>
      </c>
      <c r="AH32" s="169" t="str">
        <f t="shared" ca="1" si="19"/>
        <v/>
      </c>
      <c r="AJ32" s="169">
        <f t="shared" ca="1" si="4"/>
        <v>31</v>
      </c>
      <c r="AK32" s="169" t="str">
        <f t="shared" ca="1" si="20"/>
        <v>BBB</v>
      </c>
      <c r="AL32" s="169">
        <f t="shared" ca="1" si="20"/>
        <v>18</v>
      </c>
      <c r="AM32" s="169" t="str">
        <f t="shared" ca="1" si="5"/>
        <v/>
      </c>
      <c r="AQ32" s="207" t="s">
        <v>395</v>
      </c>
      <c r="AR32" s="207" t="s">
        <v>139</v>
      </c>
      <c r="AS32" s="207">
        <v>20</v>
      </c>
      <c r="AT32" s="207" t="s">
        <v>396</v>
      </c>
      <c r="AV32" s="168">
        <f t="shared" si="21"/>
        <v>2</v>
      </c>
      <c r="AW32" s="168">
        <f>COUNTIF( AV$7:AV32, AV32 )</f>
        <v>5</v>
      </c>
      <c r="AX32" s="208">
        <f t="shared" si="22"/>
        <v>2.5</v>
      </c>
      <c r="AY32" s="168">
        <f t="shared" si="23"/>
        <v>6</v>
      </c>
      <c r="AZ32" s="169"/>
      <c r="BA32" s="169"/>
      <c r="BC32" s="168">
        <f t="shared" ca="1" si="24"/>
        <v>26</v>
      </c>
      <c r="BD32" s="209">
        <f t="shared" ca="1" si="7"/>
        <v>5</v>
      </c>
      <c r="BF32" s="173" t="str">
        <f t="shared" ca="1" si="8"/>
        <v>Avista Corporation</v>
      </c>
      <c r="BG32" s="173" t="str">
        <f t="shared" ca="1" si="9"/>
        <v>BBB</v>
      </c>
      <c r="BH32" s="173">
        <f t="shared" ca="1" si="9"/>
        <v>18</v>
      </c>
      <c r="BI32" s="173" t="str">
        <f t="shared" ca="1" si="9"/>
        <v>AVA</v>
      </c>
    </row>
    <row r="33" spans="1:61" ht="13.8" x14ac:dyDescent="0.25">
      <c r="A33" s="223" t="s">
        <v>254</v>
      </c>
      <c r="B33" s="224" t="s">
        <v>141</v>
      </c>
      <c r="C33" s="224">
        <v>18</v>
      </c>
      <c r="D33" s="224" t="s">
        <v>378</v>
      </c>
      <c r="E33" s="225" t="str">
        <f t="shared" ca="1" si="0"/>
        <v>R</v>
      </c>
      <c r="F33" s="348"/>
      <c r="G33" s="349">
        <f t="shared" ca="1" si="1"/>
        <v>14</v>
      </c>
      <c r="H33" s="350"/>
      <c r="I33" s="237"/>
      <c r="J33" s="191"/>
      <c r="K33" s="237"/>
      <c r="N33" s="237"/>
      <c r="Q33" s="237"/>
      <c r="T33" s="237"/>
      <c r="W33" s="237"/>
      <c r="AF33" s="169">
        <f t="shared" si="2"/>
        <v>0</v>
      </c>
      <c r="AG33" s="169" t="str">
        <f t="shared" ca="1" si="3"/>
        <v/>
      </c>
      <c r="AH33" s="169" t="str">
        <f t="shared" ca="1" si="19"/>
        <v/>
      </c>
      <c r="AJ33" s="169">
        <f t="shared" ca="1" si="4"/>
        <v>32</v>
      </c>
      <c r="AK33" s="169" t="str">
        <f t="shared" ca="1" si="20"/>
        <v>BBB</v>
      </c>
      <c r="AL33" s="169">
        <f t="shared" ca="1" si="20"/>
        <v>18</v>
      </c>
      <c r="AM33" s="169" t="str">
        <f t="shared" ca="1" si="5"/>
        <v/>
      </c>
      <c r="AQ33" s="207" t="s">
        <v>287</v>
      </c>
      <c r="AR33" s="207" t="s">
        <v>142</v>
      </c>
      <c r="AS33" s="207">
        <v>17</v>
      </c>
      <c r="AT33" s="207" t="s">
        <v>288</v>
      </c>
      <c r="AV33" s="168">
        <f t="shared" si="21"/>
        <v>44</v>
      </c>
      <c r="AW33" s="168">
        <f>COUNTIF( AV$7:AV33, AV33 )</f>
        <v>5</v>
      </c>
      <c r="AX33" s="208">
        <f t="shared" si="22"/>
        <v>44.5</v>
      </c>
      <c r="AY33" s="168">
        <f t="shared" si="23"/>
        <v>48</v>
      </c>
      <c r="AZ33" s="169"/>
      <c r="BA33" s="169"/>
      <c r="BC33" s="168">
        <f t="shared" ca="1" si="24"/>
        <v>27</v>
      </c>
      <c r="BD33" s="209">
        <f t="shared" ca="1" si="7"/>
        <v>8</v>
      </c>
      <c r="BF33" s="173" t="str">
        <f t="shared" ca="1" si="8"/>
        <v>Cleco Corporation</v>
      </c>
      <c r="BG33" s="173" t="str">
        <f t="shared" ca="1" si="9"/>
        <v>BBB</v>
      </c>
      <c r="BH33" s="173">
        <f t="shared" ca="1" si="9"/>
        <v>18</v>
      </c>
      <c r="BI33" s="173" t="str">
        <f t="shared" ca="1" si="9"/>
        <v>CNL</v>
      </c>
    </row>
    <row r="34" spans="1:61" ht="13.8" x14ac:dyDescent="0.25">
      <c r="A34" s="223" t="s">
        <v>256</v>
      </c>
      <c r="B34" s="224" t="s">
        <v>141</v>
      </c>
      <c r="C34" s="224">
        <v>18</v>
      </c>
      <c r="D34" s="224" t="s">
        <v>257</v>
      </c>
      <c r="E34" s="225" t="str">
        <f t="shared" ca="1" si="0"/>
        <v>R</v>
      </c>
      <c r="F34" s="348"/>
      <c r="G34" s="349">
        <f t="shared" ca="1" si="1"/>
        <v>15</v>
      </c>
      <c r="H34" s="350"/>
      <c r="I34" s="237"/>
      <c r="J34" s="191"/>
      <c r="K34" s="237"/>
      <c r="N34" s="237"/>
      <c r="Q34" s="237"/>
      <c r="T34" s="237"/>
      <c r="W34" s="237"/>
      <c r="AF34" s="169">
        <f t="shared" si="2"/>
        <v>0</v>
      </c>
      <c r="AG34" s="169" t="str">
        <f t="shared" ca="1" si="3"/>
        <v/>
      </c>
      <c r="AH34" s="169" t="str">
        <f t="shared" ca="1" si="19"/>
        <v/>
      </c>
      <c r="AJ34" s="169">
        <f t="shared" ca="1" si="4"/>
        <v>33</v>
      </c>
      <c r="AK34" s="169" t="str">
        <f t="shared" ca="1" si="20"/>
        <v>BBB</v>
      </c>
      <c r="AL34" s="169">
        <f t="shared" ca="1" si="20"/>
        <v>18</v>
      </c>
      <c r="AM34" s="169" t="str">
        <f t="shared" ca="1" si="5"/>
        <v/>
      </c>
      <c r="AQ34" s="207" t="s">
        <v>271</v>
      </c>
      <c r="AR34" s="207" t="s">
        <v>140</v>
      </c>
      <c r="AS34" s="207">
        <v>19</v>
      </c>
      <c r="AT34" s="207" t="s">
        <v>272</v>
      </c>
      <c r="AV34" s="168">
        <f t="shared" si="21"/>
        <v>13</v>
      </c>
      <c r="AW34" s="168">
        <f>COUNTIF( AV$7:AV34, AV34 )</f>
        <v>4</v>
      </c>
      <c r="AX34" s="208">
        <f t="shared" si="22"/>
        <v>13.4</v>
      </c>
      <c r="AY34" s="168">
        <f t="shared" si="23"/>
        <v>16</v>
      </c>
      <c r="AZ34" s="169"/>
      <c r="BA34" s="169"/>
      <c r="BC34" s="168">
        <f t="shared" ca="1" si="24"/>
        <v>28</v>
      </c>
      <c r="BD34" s="209">
        <f t="shared" ca="1" si="7"/>
        <v>9</v>
      </c>
      <c r="BF34" s="173" t="str">
        <f t="shared" ca="1" si="8"/>
        <v>CMS Energy Corporation</v>
      </c>
      <c r="BG34" s="173" t="str">
        <f t="shared" ca="1" si="9"/>
        <v>BBB</v>
      </c>
      <c r="BH34" s="173">
        <f t="shared" ca="1" si="9"/>
        <v>18</v>
      </c>
      <c r="BI34" s="173" t="str">
        <f t="shared" ca="1" si="9"/>
        <v>CMS</v>
      </c>
    </row>
    <row r="35" spans="1:61" ht="13.8" x14ac:dyDescent="0.25">
      <c r="A35" s="223" t="s">
        <v>328</v>
      </c>
      <c r="B35" s="224" t="s">
        <v>141</v>
      </c>
      <c r="C35" s="224">
        <v>18</v>
      </c>
      <c r="D35" s="224" t="s">
        <v>331</v>
      </c>
      <c r="E35" s="225" t="str">
        <f t="shared" ca="1" si="0"/>
        <v>R</v>
      </c>
      <c r="F35" s="348"/>
      <c r="G35" s="349">
        <f t="shared" ca="1" si="1"/>
        <v>21</v>
      </c>
      <c r="H35" s="350"/>
      <c r="I35" s="237"/>
      <c r="K35" s="237"/>
      <c r="N35" s="237"/>
      <c r="Q35" s="237"/>
      <c r="T35" s="237"/>
      <c r="W35" s="237"/>
      <c r="AF35" s="169">
        <f t="shared" si="2"/>
        <v>0</v>
      </c>
      <c r="AG35" s="169" t="str">
        <f t="shared" ca="1" si="3"/>
        <v/>
      </c>
      <c r="AH35" s="169" t="str">
        <f t="shared" ca="1" si="19"/>
        <v/>
      </c>
      <c r="AJ35" s="169">
        <f t="shared" ca="1" si="4"/>
        <v>34</v>
      </c>
      <c r="AK35" s="169" t="str">
        <f t="shared" ca="1" si="20"/>
        <v>BBB</v>
      </c>
      <c r="AL35" s="169">
        <f t="shared" ca="1" si="20"/>
        <v>18</v>
      </c>
      <c r="AM35" s="169" t="str">
        <f t="shared" ca="1" si="5"/>
        <v/>
      </c>
      <c r="AQ35" s="207" t="s">
        <v>408</v>
      </c>
      <c r="AR35" s="207" t="s">
        <v>140</v>
      </c>
      <c r="AS35" s="207">
        <v>19</v>
      </c>
      <c r="AT35" s="207" t="s">
        <v>216</v>
      </c>
      <c r="AV35" s="168">
        <f t="shared" si="21"/>
        <v>13</v>
      </c>
      <c r="AW35" s="168">
        <f>COUNTIF( AV$7:AV35, AV35 )</f>
        <v>5</v>
      </c>
      <c r="AX35" s="208">
        <f t="shared" si="22"/>
        <v>13.5</v>
      </c>
      <c r="AY35" s="168">
        <f t="shared" si="23"/>
        <v>17</v>
      </c>
      <c r="AZ35" s="169"/>
      <c r="BA35" s="169"/>
      <c r="BC35" s="168">
        <f t="shared" ca="1" si="24"/>
        <v>29</v>
      </c>
      <c r="BD35" s="209">
        <f t="shared" ca="1" si="7"/>
        <v>16</v>
      </c>
      <c r="BF35" s="173" t="str">
        <f t="shared" ca="1" si="8"/>
        <v>El Paso Electric Company</v>
      </c>
      <c r="BG35" s="173" t="str">
        <f t="shared" ca="1" si="9"/>
        <v>BBB</v>
      </c>
      <c r="BH35" s="173">
        <f t="shared" ca="1" si="9"/>
        <v>18</v>
      </c>
      <c r="BI35" s="173" t="str">
        <f t="shared" ca="1" si="9"/>
        <v>EE</v>
      </c>
    </row>
    <row r="36" spans="1:61" ht="13.8" x14ac:dyDescent="0.25">
      <c r="A36" s="223" t="s">
        <v>367</v>
      </c>
      <c r="B36" s="224" t="s">
        <v>141</v>
      </c>
      <c r="C36" s="224">
        <v>18</v>
      </c>
      <c r="D36" s="224" t="s">
        <v>368</v>
      </c>
      <c r="E36" s="225" t="str">
        <f t="shared" ca="1" si="0"/>
        <v>R</v>
      </c>
      <c r="F36" s="348"/>
      <c r="G36" s="349">
        <f t="shared" ca="1" si="1"/>
        <v>22</v>
      </c>
      <c r="H36" s="350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9"/>
        <v/>
      </c>
      <c r="AJ36" s="169">
        <f t="shared" ca="1" si="4"/>
        <v>35</v>
      </c>
      <c r="AK36" s="169" t="str">
        <f t="shared" ca="1" si="20"/>
        <v>BBB</v>
      </c>
      <c r="AL36" s="169">
        <f t="shared" ca="1" si="20"/>
        <v>18</v>
      </c>
      <c r="AM36" s="169" t="str">
        <f t="shared" ca="1" si="5"/>
        <v/>
      </c>
      <c r="AQ36" s="207" t="s">
        <v>240</v>
      </c>
      <c r="AR36" s="207" t="s">
        <v>139</v>
      </c>
      <c r="AS36" s="207">
        <v>20</v>
      </c>
      <c r="AT36" s="207" t="s">
        <v>241</v>
      </c>
      <c r="AV36" s="168">
        <f t="shared" si="21"/>
        <v>2</v>
      </c>
      <c r="AW36" s="168">
        <f>COUNTIF( AV$7:AV36, AV36 )</f>
        <v>6</v>
      </c>
      <c r="AX36" s="208">
        <f t="shared" si="22"/>
        <v>2.6</v>
      </c>
      <c r="AY36" s="168">
        <f t="shared" si="23"/>
        <v>7</v>
      </c>
      <c r="AZ36" s="169"/>
      <c r="BA36" s="169"/>
      <c r="BC36" s="168">
        <f t="shared" ca="1" si="24"/>
        <v>30</v>
      </c>
      <c r="BD36" s="209">
        <f t="shared" ca="1" si="7"/>
        <v>17</v>
      </c>
      <c r="BF36" s="173" t="str">
        <f t="shared" ca="1" si="8"/>
        <v>Empire District Electric Company</v>
      </c>
      <c r="BG36" s="173" t="str">
        <f t="shared" ca="1" si="9"/>
        <v>BBB</v>
      </c>
      <c r="BH36" s="173">
        <f t="shared" ca="1" si="9"/>
        <v>18</v>
      </c>
      <c r="BI36" s="173" t="str">
        <f t="shared" ca="1" si="9"/>
        <v>EDE</v>
      </c>
    </row>
    <row r="37" spans="1:61" ht="13.8" x14ac:dyDescent="0.25">
      <c r="A37" s="223" t="s">
        <v>267</v>
      </c>
      <c r="B37" s="224" t="s">
        <v>141</v>
      </c>
      <c r="C37" s="224">
        <v>18</v>
      </c>
      <c r="D37" s="224" t="s">
        <v>268</v>
      </c>
      <c r="E37" s="225" t="str">
        <f t="shared" ca="1" si="0"/>
        <v>R</v>
      </c>
      <c r="F37" s="348"/>
      <c r="G37" s="349">
        <f t="shared" ca="1" si="1"/>
        <v>23</v>
      </c>
      <c r="H37" s="350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4"/>
        <v>36</v>
      </c>
      <c r="AK37" s="169" t="str">
        <f t="shared" ca="1" si="20"/>
        <v>BBB</v>
      </c>
      <c r="AL37" s="169">
        <f t="shared" ca="1" si="20"/>
        <v>18</v>
      </c>
      <c r="AM37" s="169" t="str">
        <f t="shared" ca="1" si="5"/>
        <v/>
      </c>
      <c r="AQ37" s="207" t="s">
        <v>273</v>
      </c>
      <c r="AR37" s="207" t="s">
        <v>142</v>
      </c>
      <c r="AS37" s="207">
        <v>17</v>
      </c>
      <c r="AT37" s="207" t="s">
        <v>274</v>
      </c>
      <c r="AV37" s="168">
        <f t="shared" si="21"/>
        <v>44</v>
      </c>
      <c r="AW37" s="168">
        <f>COUNTIF( AV$7:AV37, AV37 )</f>
        <v>6</v>
      </c>
      <c r="AX37" s="208">
        <f t="shared" si="22"/>
        <v>44.6</v>
      </c>
      <c r="AY37" s="168">
        <f t="shared" si="23"/>
        <v>49</v>
      </c>
      <c r="AZ37" s="169"/>
      <c r="BA37" s="169"/>
      <c r="BC37" s="168">
        <f t="shared" ca="1" si="24"/>
        <v>31</v>
      </c>
      <c r="BD37" s="209">
        <f t="shared" ca="1" si="7"/>
        <v>19</v>
      </c>
      <c r="BF37" s="173" t="str">
        <f t="shared" ca="1" si="8"/>
        <v>Entergy Corporation</v>
      </c>
      <c r="BG37" s="173" t="str">
        <f t="shared" ca="1" si="9"/>
        <v>BBB</v>
      </c>
      <c r="BH37" s="173">
        <f t="shared" ca="1" si="9"/>
        <v>18</v>
      </c>
      <c r="BI37" s="173" t="str">
        <f t="shared" ca="1" si="9"/>
        <v>ETR</v>
      </c>
    </row>
    <row r="38" spans="1:61" ht="13.8" x14ac:dyDescent="0.25">
      <c r="A38" s="223" t="s">
        <v>269</v>
      </c>
      <c r="B38" s="224" t="s">
        <v>141</v>
      </c>
      <c r="C38" s="224">
        <v>18</v>
      </c>
      <c r="D38" s="224" t="s">
        <v>270</v>
      </c>
      <c r="E38" s="225" t="str">
        <f t="shared" ca="1" si="0"/>
        <v>MR</v>
      </c>
      <c r="F38" s="348"/>
      <c r="G38" s="349">
        <f t="shared" ca="1" si="1"/>
        <v>24</v>
      </c>
      <c r="H38" s="350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4"/>
        <v>37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5"/>
        <v/>
      </c>
      <c r="AQ38" s="207" t="s">
        <v>394</v>
      </c>
      <c r="AR38" s="207" t="s">
        <v>139</v>
      </c>
      <c r="AS38" s="207">
        <v>20</v>
      </c>
      <c r="AT38" s="207" t="s">
        <v>236</v>
      </c>
      <c r="AV38" s="168">
        <f t="shared" si="21"/>
        <v>2</v>
      </c>
      <c r="AW38" s="168">
        <f>COUNTIF( AV$7:AV38, AV38 )</f>
        <v>7</v>
      </c>
      <c r="AX38" s="208">
        <f t="shared" si="22"/>
        <v>2.7</v>
      </c>
      <c r="AY38" s="168">
        <f t="shared" si="23"/>
        <v>8</v>
      </c>
      <c r="AZ38" s="169"/>
      <c r="BA38" s="169"/>
      <c r="BC38" s="168">
        <f t="shared" ca="1" si="24"/>
        <v>32</v>
      </c>
      <c r="BD38" s="209">
        <f t="shared" ca="1" si="7"/>
        <v>20</v>
      </c>
      <c r="BF38" s="173" t="str">
        <f t="shared" ca="1" si="8"/>
        <v>Exelon Corporation</v>
      </c>
      <c r="BG38" s="173" t="str">
        <f t="shared" ca="1" si="9"/>
        <v>BBB</v>
      </c>
      <c r="BH38" s="173">
        <f t="shared" ca="1" si="9"/>
        <v>18</v>
      </c>
      <c r="BI38" s="173" t="str">
        <f t="shared" ca="1" si="9"/>
        <v>EXC</v>
      </c>
    </row>
    <row r="39" spans="1:61" ht="13.8" x14ac:dyDescent="0.25">
      <c r="A39" s="223" t="s">
        <v>352</v>
      </c>
      <c r="B39" s="224" t="s">
        <v>141</v>
      </c>
      <c r="C39" s="224">
        <v>18</v>
      </c>
      <c r="D39" s="224" t="s">
        <v>353</v>
      </c>
      <c r="E39" s="225" t="str">
        <f t="shared" ca="1" si="0"/>
        <v>R</v>
      </c>
      <c r="F39" s="348"/>
      <c r="G39" s="349">
        <f t="shared" ca="1" si="1"/>
        <v>26</v>
      </c>
      <c r="H39" s="350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9"/>
        <v/>
      </c>
      <c r="AJ39" s="169">
        <f t="shared" ca="1" si="4"/>
        <v>38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5"/>
        <v/>
      </c>
      <c r="AQ39" s="207" t="s">
        <v>297</v>
      </c>
      <c r="AR39" s="207" t="s">
        <v>141</v>
      </c>
      <c r="AS39" s="207">
        <v>18</v>
      </c>
      <c r="AT39" s="207" t="s">
        <v>298</v>
      </c>
      <c r="AV39" s="168">
        <f t="shared" si="21"/>
        <v>24</v>
      </c>
      <c r="AW39" s="168">
        <f>COUNTIF( AV$7:AV39, AV39 )</f>
        <v>13</v>
      </c>
      <c r="AX39" s="208">
        <f t="shared" si="22"/>
        <v>25.3</v>
      </c>
      <c r="AY39" s="168">
        <f t="shared" si="23"/>
        <v>36</v>
      </c>
      <c r="AZ39" s="169"/>
      <c r="BA39" s="169"/>
      <c r="BC39" s="168">
        <f t="shared" ca="1" si="24"/>
        <v>33</v>
      </c>
      <c r="BD39" s="209">
        <f t="shared" ca="1" si="7"/>
        <v>22</v>
      </c>
      <c r="BF39" s="173" t="str">
        <f t="shared" ref="BF39:BF63" ca="1" si="25">OFFSET( AQ$6, $BD39, 0 )</f>
        <v>Great Plains Energy Inc.</v>
      </c>
      <c r="BG39" s="173" t="str">
        <f t="shared" ca="1" si="9"/>
        <v>BBB</v>
      </c>
      <c r="BH39" s="173">
        <f t="shared" ca="1" si="9"/>
        <v>18</v>
      </c>
      <c r="BI39" s="173" t="str">
        <f t="shared" ca="1" si="9"/>
        <v>GXP</v>
      </c>
    </row>
    <row r="40" spans="1:61" ht="13.8" x14ac:dyDescent="0.25">
      <c r="A40" s="223" t="s">
        <v>387</v>
      </c>
      <c r="B40" s="224" t="s">
        <v>141</v>
      </c>
      <c r="C40" s="224">
        <v>18</v>
      </c>
      <c r="D40" s="224" t="s">
        <v>388</v>
      </c>
      <c r="E40" s="225" t="str">
        <f t="shared" ca="1" si="0"/>
        <v>R</v>
      </c>
      <c r="F40" s="348"/>
      <c r="G40" s="349">
        <f t="shared" ca="1" si="1"/>
        <v>58</v>
      </c>
      <c r="H40" s="350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4"/>
        <v>39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5"/>
        <v/>
      </c>
      <c r="AQ40" s="207" t="s">
        <v>411</v>
      </c>
      <c r="AR40" s="207" t="s">
        <v>142</v>
      </c>
      <c r="AS40" s="207">
        <v>17</v>
      </c>
      <c r="AT40" s="207" t="s">
        <v>412</v>
      </c>
      <c r="AV40" s="168">
        <f t="shared" si="21"/>
        <v>44</v>
      </c>
      <c r="AW40" s="168">
        <f>COUNTIF( AV$7:AV40, AV40 )</f>
        <v>7</v>
      </c>
      <c r="AX40" s="208">
        <f t="shared" si="22"/>
        <v>44.7</v>
      </c>
      <c r="AY40" s="168">
        <f t="shared" si="23"/>
        <v>50</v>
      </c>
      <c r="AZ40" s="169"/>
      <c r="BA40" s="169"/>
      <c r="BC40" s="168">
        <f t="shared" ca="1" si="24"/>
        <v>34</v>
      </c>
      <c r="BD40" s="209">
        <f t="shared" ca="1" si="7"/>
        <v>24</v>
      </c>
      <c r="BF40" s="173" t="str">
        <f t="shared" ca="1" si="25"/>
        <v>Iberdrola USA</v>
      </c>
      <c r="BG40" s="173" t="str">
        <f t="shared" ca="1" si="9"/>
        <v>BBB</v>
      </c>
      <c r="BH40" s="173">
        <f t="shared" ca="1" si="9"/>
        <v>18</v>
      </c>
      <c r="BI40" s="173" t="str">
        <f t="shared" ca="1" si="9"/>
        <v>**EAST</v>
      </c>
    </row>
    <row r="41" spans="1:61" ht="13.8" x14ac:dyDescent="0.25">
      <c r="A41" s="223" t="s">
        <v>283</v>
      </c>
      <c r="B41" s="224" t="s">
        <v>141</v>
      </c>
      <c r="C41" s="224">
        <v>18</v>
      </c>
      <c r="D41" s="224" t="s">
        <v>284</v>
      </c>
      <c r="E41" s="225" t="str">
        <f t="shared" ca="1" si="0"/>
        <v>R</v>
      </c>
      <c r="F41" s="348"/>
      <c r="G41" s="349">
        <f t="shared" ca="1" si="1"/>
        <v>28</v>
      </c>
      <c r="H41" s="350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4"/>
        <v>40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5"/>
        <v/>
      </c>
      <c r="AQ41" s="207" t="s">
        <v>277</v>
      </c>
      <c r="AR41" s="207" t="s">
        <v>139</v>
      </c>
      <c r="AS41" s="207">
        <v>20</v>
      </c>
      <c r="AT41" s="207" t="s">
        <v>278</v>
      </c>
      <c r="AV41" s="168">
        <f t="shared" si="21"/>
        <v>2</v>
      </c>
      <c r="AW41" s="168">
        <f>COUNTIF( AV$7:AV41, AV41 )</f>
        <v>8</v>
      </c>
      <c r="AX41" s="208">
        <f t="shared" si="22"/>
        <v>2.8</v>
      </c>
      <c r="AY41" s="168">
        <f t="shared" si="23"/>
        <v>9</v>
      </c>
      <c r="AZ41" s="169"/>
      <c r="BA41" s="169"/>
      <c r="BC41" s="168">
        <f t="shared" ca="1" si="24"/>
        <v>35</v>
      </c>
      <c r="BD41" s="209">
        <f t="shared" ca="1" si="7"/>
        <v>25</v>
      </c>
      <c r="BF41" s="173" t="str">
        <f t="shared" ca="1" si="25"/>
        <v>IDACORP, Inc.</v>
      </c>
      <c r="BG41" s="173" t="str">
        <f t="shared" ca="1" si="9"/>
        <v>BBB</v>
      </c>
      <c r="BH41" s="173">
        <f t="shared" ca="1" si="9"/>
        <v>18</v>
      </c>
      <c r="BI41" s="173" t="str">
        <f t="shared" ca="1" si="9"/>
        <v>IDA</v>
      </c>
    </row>
    <row r="42" spans="1:61" ht="13.8" x14ac:dyDescent="0.25">
      <c r="A42" s="223" t="s">
        <v>297</v>
      </c>
      <c r="B42" s="224" t="s">
        <v>141</v>
      </c>
      <c r="C42" s="224">
        <v>18</v>
      </c>
      <c r="D42" s="224" t="s">
        <v>298</v>
      </c>
      <c r="E42" s="225" t="str">
        <f t="shared" ca="1" si="0"/>
        <v>R</v>
      </c>
      <c r="F42" s="348"/>
      <c r="G42" s="349">
        <f t="shared" ca="1" si="1"/>
        <v>35</v>
      </c>
      <c r="H42" s="350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4"/>
        <v>41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5"/>
        <v/>
      </c>
      <c r="AQ42" s="207" t="s">
        <v>299</v>
      </c>
      <c r="AR42" s="207" t="s">
        <v>141</v>
      </c>
      <c r="AS42" s="207">
        <v>18</v>
      </c>
      <c r="AT42" s="207" t="s">
        <v>300</v>
      </c>
      <c r="AV42" s="168">
        <f t="shared" si="21"/>
        <v>24</v>
      </c>
      <c r="AW42" s="168">
        <f>COUNTIF( AV$7:AV42, AV42 )</f>
        <v>14</v>
      </c>
      <c r="AX42" s="208">
        <f t="shared" si="22"/>
        <v>25.4</v>
      </c>
      <c r="AY42" s="168">
        <f t="shared" si="23"/>
        <v>37</v>
      </c>
      <c r="AZ42" s="169"/>
      <c r="BA42" s="169"/>
      <c r="BC42" s="168">
        <f t="shared" ca="1" si="24"/>
        <v>36</v>
      </c>
      <c r="BD42" s="209">
        <f t="shared" ca="1" si="7"/>
        <v>33</v>
      </c>
      <c r="BF42" s="173" t="str">
        <f t="shared" ca="1" si="25"/>
        <v>NorthWestern Corporation</v>
      </c>
      <c r="BG42" s="173" t="str">
        <f t="shared" ca="1" si="9"/>
        <v>BBB</v>
      </c>
      <c r="BH42" s="173">
        <f t="shared" ca="1" si="9"/>
        <v>18</v>
      </c>
      <c r="BI42" s="173" t="str">
        <f t="shared" ca="1" si="9"/>
        <v>NWE</v>
      </c>
    </row>
    <row r="43" spans="1:61" ht="13.8" x14ac:dyDescent="0.25">
      <c r="A43" s="223" t="s">
        <v>299</v>
      </c>
      <c r="B43" s="224" t="s">
        <v>141</v>
      </c>
      <c r="C43" s="224">
        <v>18</v>
      </c>
      <c r="D43" s="224" t="s">
        <v>300</v>
      </c>
      <c r="E43" s="225" t="str">
        <f t="shared" ca="1" si="0"/>
        <v>MR</v>
      </c>
      <c r="F43" s="348"/>
      <c r="G43" s="349">
        <f t="shared" ca="1" si="1"/>
        <v>38</v>
      </c>
      <c r="H43" s="350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>
        <f t="shared" ca="1" si="3"/>
        <v>1</v>
      </c>
      <c r="AH43" s="169" t="str">
        <f t="shared" ca="1" si="19"/>
        <v/>
      </c>
      <c r="AJ43" s="169">
        <f t="shared" ca="1" si="4"/>
        <v>55</v>
      </c>
      <c r="AK43" s="169" t="str">
        <f t="shared" ca="1" si="20"/>
        <v>BBB-</v>
      </c>
      <c r="AL43" s="169">
        <f t="shared" ca="1" si="20"/>
        <v>17</v>
      </c>
      <c r="AM43" s="169" t="str">
        <f t="shared" ca="1" si="5"/>
        <v>Change</v>
      </c>
      <c r="AQ43" s="207" t="s">
        <v>382</v>
      </c>
      <c r="AR43" s="207" t="s">
        <v>140</v>
      </c>
      <c r="AS43" s="207">
        <v>19</v>
      </c>
      <c r="AT43" s="207" t="s">
        <v>383</v>
      </c>
      <c r="AV43" s="168">
        <f t="shared" si="21"/>
        <v>13</v>
      </c>
      <c r="AW43" s="168">
        <f>COUNTIF( AV$7:AV43, AV43 )</f>
        <v>6</v>
      </c>
      <c r="AX43" s="208">
        <f t="shared" si="22"/>
        <v>13.6</v>
      </c>
      <c r="AY43" s="168">
        <f t="shared" si="23"/>
        <v>18</v>
      </c>
      <c r="AZ43" s="169"/>
      <c r="BA43" s="169"/>
      <c r="BC43" s="168">
        <f t="shared" ca="1" si="24"/>
        <v>37</v>
      </c>
      <c r="BD43" s="209">
        <f t="shared" ca="1" si="7"/>
        <v>36</v>
      </c>
      <c r="BF43" s="173" t="str">
        <f t="shared" ca="1" si="25"/>
        <v>Otter Tail Corporation</v>
      </c>
      <c r="BG43" s="173" t="str">
        <f t="shared" ca="1" si="9"/>
        <v>BBB</v>
      </c>
      <c r="BH43" s="173">
        <f t="shared" ca="1" si="9"/>
        <v>18</v>
      </c>
      <c r="BI43" s="173" t="str">
        <f t="shared" ca="1" si="9"/>
        <v>OTTR</v>
      </c>
    </row>
    <row r="44" spans="1:61" ht="13.8" x14ac:dyDescent="0.25">
      <c r="A44" s="223" t="s">
        <v>301</v>
      </c>
      <c r="B44" s="224" t="s">
        <v>141</v>
      </c>
      <c r="C44" s="224">
        <v>18</v>
      </c>
      <c r="D44" s="224" t="s">
        <v>302</v>
      </c>
      <c r="E44" s="225" t="str">
        <f t="shared" ca="1" si="0"/>
        <v>R</v>
      </c>
      <c r="F44" s="348"/>
      <c r="G44" s="349">
        <f t="shared" ca="1" si="1"/>
        <v>40</v>
      </c>
      <c r="H44" s="350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9"/>
        <v/>
      </c>
      <c r="AJ44" s="169">
        <f t="shared" ca="1" si="4"/>
        <v>42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5"/>
        <v/>
      </c>
      <c r="AQ44" s="207" t="s">
        <v>301</v>
      </c>
      <c r="AR44" s="207" t="s">
        <v>141</v>
      </c>
      <c r="AS44" s="207">
        <v>18</v>
      </c>
      <c r="AT44" s="207" t="s">
        <v>302</v>
      </c>
      <c r="AV44" s="168">
        <f t="shared" si="21"/>
        <v>24</v>
      </c>
      <c r="AW44" s="168">
        <f>COUNTIF( AV$7:AV44, AV44 )</f>
        <v>15</v>
      </c>
      <c r="AX44" s="208">
        <f t="shared" si="22"/>
        <v>25.5</v>
      </c>
      <c r="AY44" s="168">
        <f t="shared" si="23"/>
        <v>38</v>
      </c>
      <c r="AZ44" s="169"/>
      <c r="BA44" s="169"/>
      <c r="BC44" s="168">
        <f t="shared" ca="1" si="24"/>
        <v>38</v>
      </c>
      <c r="BD44" s="209">
        <f t="shared" ca="1" si="7"/>
        <v>38</v>
      </c>
      <c r="BF44" s="173" t="str">
        <f t="shared" ca="1" si="25"/>
        <v>PG&amp;E Corporation</v>
      </c>
      <c r="BG44" s="173" t="str">
        <f t="shared" ca="1" si="9"/>
        <v>BBB</v>
      </c>
      <c r="BH44" s="173">
        <f t="shared" ca="1" si="9"/>
        <v>18</v>
      </c>
      <c r="BI44" s="173" t="str">
        <f t="shared" ca="1" si="9"/>
        <v>PCG</v>
      </c>
    </row>
    <row r="45" spans="1:61" ht="13.8" x14ac:dyDescent="0.25">
      <c r="A45" s="223" t="s">
        <v>303</v>
      </c>
      <c r="B45" s="224" t="s">
        <v>141</v>
      </c>
      <c r="C45" s="224">
        <v>18</v>
      </c>
      <c r="D45" s="224" t="s">
        <v>304</v>
      </c>
      <c r="E45" s="225" t="str">
        <f t="shared" ca="1" si="0"/>
        <v>R</v>
      </c>
      <c r="F45" s="348"/>
      <c r="G45" s="349">
        <f t="shared" ca="1" si="1"/>
        <v>42</v>
      </c>
      <c r="H45" s="350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>
        <f t="shared" ca="1" si="3"/>
        <v>1</v>
      </c>
      <c r="AH45" s="169" t="str">
        <f t="shared" ca="1" si="19"/>
        <v/>
      </c>
      <c r="AJ45" s="169">
        <f t="shared" ca="1" si="4"/>
        <v>56</v>
      </c>
      <c r="AK45" s="169" t="str">
        <f t="shared" ca="1" si="20"/>
        <v>BBB-</v>
      </c>
      <c r="AL45" s="169">
        <f t="shared" ca="1" si="20"/>
        <v>17</v>
      </c>
      <c r="AM45" s="169" t="str">
        <f t="shared" ca="1" si="5"/>
        <v>Change</v>
      </c>
      <c r="AQ45" s="207" t="s">
        <v>281</v>
      </c>
      <c r="AR45" s="207" t="s">
        <v>140</v>
      </c>
      <c r="AS45" s="207">
        <v>19</v>
      </c>
      <c r="AT45" s="207" t="s">
        <v>282</v>
      </c>
      <c r="AV45" s="168">
        <f t="shared" si="21"/>
        <v>13</v>
      </c>
      <c r="AW45" s="168">
        <f>COUNTIF( AV$7:AV45, AV45 )</f>
        <v>7</v>
      </c>
      <c r="AX45" s="208">
        <f t="shared" si="22"/>
        <v>13.7</v>
      </c>
      <c r="AY45" s="168">
        <f t="shared" si="23"/>
        <v>19</v>
      </c>
      <c r="AZ45" s="169"/>
      <c r="BA45" s="169"/>
      <c r="BC45" s="168">
        <f t="shared" ca="1" si="24"/>
        <v>39</v>
      </c>
      <c r="BD45" s="209">
        <f t="shared" ca="1" si="7"/>
        <v>40</v>
      </c>
      <c r="BF45" s="173" t="str">
        <f t="shared" ca="1" si="25"/>
        <v>PNM Resources, Inc.</v>
      </c>
      <c r="BG45" s="173" t="str">
        <f t="shared" ca="1" si="9"/>
        <v>BBB</v>
      </c>
      <c r="BH45" s="173">
        <f t="shared" ca="1" si="9"/>
        <v>18</v>
      </c>
      <c r="BI45" s="173" t="str">
        <f t="shared" ca="1" si="9"/>
        <v>PNM</v>
      </c>
    </row>
    <row r="46" spans="1:61" ht="13.8" x14ac:dyDescent="0.25">
      <c r="A46" s="223" t="s">
        <v>285</v>
      </c>
      <c r="B46" s="224" t="s">
        <v>141</v>
      </c>
      <c r="C46" s="224">
        <v>18</v>
      </c>
      <c r="D46" s="224" t="s">
        <v>286</v>
      </c>
      <c r="E46" s="225" t="str">
        <f t="shared" ca="1" si="0"/>
        <v>R</v>
      </c>
      <c r="F46" s="348"/>
      <c r="G46" s="349">
        <f t="shared" ca="1" si="1"/>
        <v>43</v>
      </c>
      <c r="H46" s="350"/>
      <c r="I46" s="191"/>
      <c r="K46" s="191"/>
      <c r="N46" s="351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9"/>
        <v/>
      </c>
      <c r="AJ46" s="169">
        <f t="shared" ca="1" si="4"/>
        <v>43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5"/>
        <v/>
      </c>
      <c r="AQ46" s="207" t="s">
        <v>303</v>
      </c>
      <c r="AR46" s="207" t="s">
        <v>141</v>
      </c>
      <c r="AS46" s="207">
        <v>18</v>
      </c>
      <c r="AT46" s="207" t="s">
        <v>304</v>
      </c>
      <c r="AV46" s="168">
        <f t="shared" si="21"/>
        <v>24</v>
      </c>
      <c r="AW46" s="168">
        <f>COUNTIF( AV$7:AV46, AV46 )</f>
        <v>16</v>
      </c>
      <c r="AX46" s="208">
        <f t="shared" si="22"/>
        <v>25.6</v>
      </c>
      <c r="AY46" s="168">
        <f t="shared" si="23"/>
        <v>39</v>
      </c>
      <c r="AZ46" s="169"/>
      <c r="BA46" s="169"/>
      <c r="BC46" s="168">
        <f t="shared" ca="1" si="24"/>
        <v>40</v>
      </c>
      <c r="BD46" s="209">
        <f t="shared" ca="1" si="7"/>
        <v>41</v>
      </c>
      <c r="BF46" s="173" t="str">
        <f t="shared" ca="1" si="25"/>
        <v>Portland General Electric Company</v>
      </c>
      <c r="BG46" s="173" t="str">
        <f t="shared" ca="1" si="9"/>
        <v>BBB</v>
      </c>
      <c r="BH46" s="173">
        <f t="shared" ca="1" si="9"/>
        <v>18</v>
      </c>
      <c r="BI46" s="173" t="str">
        <f t="shared" ca="1" si="9"/>
        <v>POR</v>
      </c>
    </row>
    <row r="47" spans="1:61" ht="13.8" x14ac:dyDescent="0.25">
      <c r="A47" s="223" t="s">
        <v>243</v>
      </c>
      <c r="B47" s="224" t="s">
        <v>141</v>
      </c>
      <c r="C47" s="224">
        <v>18</v>
      </c>
      <c r="D47" s="224" t="s">
        <v>244</v>
      </c>
      <c r="E47" s="225" t="str">
        <f t="shared" ca="1" si="0"/>
        <v>MR</v>
      </c>
      <c r="F47" s="348"/>
      <c r="G47" s="349">
        <f t="shared" ca="1" si="1"/>
        <v>44</v>
      </c>
      <c r="H47" s="350"/>
      <c r="I47" s="350"/>
      <c r="J47" s="187" t="s">
        <v>373</v>
      </c>
      <c r="K47" s="191"/>
      <c r="M47" s="351"/>
      <c r="N47" s="351"/>
      <c r="AF47" s="169">
        <f t="shared" si="2"/>
        <v>0</v>
      </c>
      <c r="AG47" s="169" t="str">
        <f t="shared" ca="1" si="3"/>
        <v/>
      </c>
      <c r="AH47" s="169" t="str">
        <f t="shared" ca="1" si="19"/>
        <v/>
      </c>
      <c r="AJ47" s="169">
        <f t="shared" ca="1" si="4"/>
        <v>44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5"/>
        <v/>
      </c>
      <c r="AQ47" s="207" t="s">
        <v>285</v>
      </c>
      <c r="AR47" s="207" t="s">
        <v>141</v>
      </c>
      <c r="AS47" s="207">
        <v>18</v>
      </c>
      <c r="AT47" s="207" t="s">
        <v>286</v>
      </c>
      <c r="AV47" s="168">
        <f t="shared" si="21"/>
        <v>24</v>
      </c>
      <c r="AW47" s="168">
        <f>COUNTIF( AV$7:AV47, AV47 )</f>
        <v>17</v>
      </c>
      <c r="AX47" s="208">
        <f t="shared" si="22"/>
        <v>25.7</v>
      </c>
      <c r="AY47" s="168">
        <f t="shared" si="23"/>
        <v>40</v>
      </c>
      <c r="AZ47" s="169"/>
      <c r="BA47" s="169"/>
      <c r="BC47" s="168">
        <f t="shared" ca="1" si="24"/>
        <v>41</v>
      </c>
      <c r="BD47" s="209">
        <f t="shared" ca="1" si="7"/>
        <v>42</v>
      </c>
      <c r="BF47" s="173" t="str">
        <f t="shared" ca="1" si="25"/>
        <v>PPL Corporation</v>
      </c>
      <c r="BG47" s="173" t="str">
        <f t="shared" ca="1" si="9"/>
        <v>BBB</v>
      </c>
      <c r="BH47" s="173">
        <f t="shared" ca="1" si="9"/>
        <v>18</v>
      </c>
      <c r="BI47" s="173" t="str">
        <f t="shared" ca="1" si="9"/>
        <v>PPL</v>
      </c>
    </row>
    <row r="48" spans="1:61" ht="13.8" x14ac:dyDescent="0.25">
      <c r="A48" s="223" t="s">
        <v>389</v>
      </c>
      <c r="B48" s="224" t="s">
        <v>141</v>
      </c>
      <c r="C48" s="224">
        <v>18</v>
      </c>
      <c r="D48" s="224" t="s">
        <v>390</v>
      </c>
      <c r="E48" s="225" t="str">
        <f t="shared" ca="1" si="0"/>
        <v>R</v>
      </c>
      <c r="F48" s="348"/>
      <c r="G48" s="349">
        <f t="shared" ca="1" si="1"/>
        <v>50</v>
      </c>
      <c r="H48" s="350"/>
      <c r="I48" s="350"/>
      <c r="K48" s="191"/>
      <c r="M48" s="351"/>
      <c r="N48" s="351"/>
      <c r="AF48" s="169">
        <f t="shared" si="2"/>
        <v>0</v>
      </c>
      <c r="AG48" s="169" t="str">
        <f t="shared" ca="1" si="3"/>
        <v/>
      </c>
      <c r="AH48" s="169" t="str">
        <f t="shared" ca="1" si="19"/>
        <v/>
      </c>
      <c r="AJ48" s="169">
        <f t="shared" ca="1" si="4"/>
        <v>46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5"/>
        <v/>
      </c>
      <c r="AQ48" s="207" t="s">
        <v>243</v>
      </c>
      <c r="AR48" s="207" t="s">
        <v>141</v>
      </c>
      <c r="AS48" s="207">
        <v>18</v>
      </c>
      <c r="AT48" s="207" t="s">
        <v>244</v>
      </c>
      <c r="AV48" s="168">
        <f t="shared" si="21"/>
        <v>24</v>
      </c>
      <c r="AW48" s="168">
        <f>COUNTIF( AV$7:AV48, AV48 )</f>
        <v>18</v>
      </c>
      <c r="AX48" s="208">
        <f t="shared" si="22"/>
        <v>25.8</v>
      </c>
      <c r="AY48" s="168">
        <f t="shared" si="23"/>
        <v>41</v>
      </c>
      <c r="AZ48" s="169"/>
      <c r="BA48" s="169"/>
      <c r="BC48" s="168">
        <f t="shared" ca="1" si="24"/>
        <v>42</v>
      </c>
      <c r="BD48" s="209">
        <f t="shared" ca="1" si="7"/>
        <v>49</v>
      </c>
      <c r="BF48" s="173" t="str">
        <f t="shared" ca="1" si="25"/>
        <v>UIL Holdings Corporation</v>
      </c>
      <c r="BG48" s="173" t="str">
        <f t="shared" ca="1" si="9"/>
        <v>BBB</v>
      </c>
      <c r="BH48" s="173">
        <f t="shared" ca="1" si="9"/>
        <v>18</v>
      </c>
      <c r="BI48" s="173" t="str">
        <f t="shared" ca="1" si="9"/>
        <v>UIL</v>
      </c>
    </row>
    <row r="49" spans="1:61" ht="13.8" x14ac:dyDescent="0.25">
      <c r="A49" s="223" t="s">
        <v>354</v>
      </c>
      <c r="B49" s="224" t="s">
        <v>141</v>
      </c>
      <c r="C49" s="224">
        <v>18</v>
      </c>
      <c r="D49" s="224" t="s">
        <v>355</v>
      </c>
      <c r="E49" s="225" t="str">
        <f t="shared" ca="1" si="0"/>
        <v>R</v>
      </c>
      <c r="F49" s="348"/>
      <c r="G49" s="349">
        <f t="shared" ca="1" si="1"/>
        <v>54</v>
      </c>
      <c r="H49" s="350"/>
      <c r="I49" s="350"/>
      <c r="J49" s="191"/>
      <c r="K49" s="191"/>
      <c r="M49" s="351"/>
      <c r="N49" s="351"/>
      <c r="AF49" s="169">
        <f t="shared" si="2"/>
        <v>0</v>
      </c>
      <c r="AG49" s="169" t="str">
        <f t="shared" ca="1" si="3"/>
        <v/>
      </c>
      <c r="AH49" s="169" t="str">
        <f t="shared" ca="1" si="19"/>
        <v/>
      </c>
      <c r="AJ49" s="169">
        <f t="shared" ca="1" si="4"/>
        <v>47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5"/>
        <v/>
      </c>
      <c r="AQ49" s="207" t="s">
        <v>289</v>
      </c>
      <c r="AR49" s="207" t="s">
        <v>140</v>
      </c>
      <c r="AS49" s="207">
        <v>19</v>
      </c>
      <c r="AT49" s="207" t="s">
        <v>290</v>
      </c>
      <c r="AV49" s="168">
        <f t="shared" si="21"/>
        <v>13</v>
      </c>
      <c r="AW49" s="168">
        <f>COUNTIF( AV$7:AV49, AV49 )</f>
        <v>8</v>
      </c>
      <c r="AX49" s="208">
        <f t="shared" si="22"/>
        <v>13.8</v>
      </c>
      <c r="AY49" s="168">
        <f t="shared" si="23"/>
        <v>20</v>
      </c>
      <c r="AZ49" s="169"/>
      <c r="BA49" s="169"/>
      <c r="BC49" s="168">
        <f t="shared" ca="1" si="24"/>
        <v>43</v>
      </c>
      <c r="BD49" s="209">
        <f t="shared" ca="1" si="7"/>
        <v>51</v>
      </c>
      <c r="BF49" s="173" t="str">
        <f t="shared" ca="1" si="25"/>
        <v>Westar Energy, Inc.</v>
      </c>
      <c r="BG49" s="173" t="str">
        <f t="shared" ca="1" si="9"/>
        <v>BBB</v>
      </c>
      <c r="BH49" s="173">
        <f t="shared" ca="1" si="9"/>
        <v>18</v>
      </c>
      <c r="BI49" s="173" t="str">
        <f t="shared" ca="1" si="9"/>
        <v>WR</v>
      </c>
    </row>
    <row r="50" spans="1:61" ht="13.8" x14ac:dyDescent="0.25">
      <c r="A50" s="223" t="s">
        <v>245</v>
      </c>
      <c r="B50" s="224" t="s">
        <v>142</v>
      </c>
      <c r="C50" s="224">
        <v>17</v>
      </c>
      <c r="D50" s="224" t="s">
        <v>246</v>
      </c>
      <c r="E50" s="225" t="str">
        <f t="shared" ca="1" si="0"/>
        <v>R</v>
      </c>
      <c r="F50" s="348"/>
      <c r="G50" s="349">
        <f t="shared" ca="1" si="1"/>
        <v>12</v>
      </c>
      <c r="H50" s="350"/>
      <c r="I50" s="350"/>
      <c r="J50" s="191"/>
      <c r="K50" s="191"/>
      <c r="M50" s="351"/>
      <c r="N50" s="351"/>
      <c r="AF50" s="169">
        <f t="shared" si="2"/>
        <v>1</v>
      </c>
      <c r="AG50" s="169" t="str">
        <f t="shared" ca="1" si="3"/>
        <v/>
      </c>
      <c r="AH50" s="169" t="str">
        <f t="shared" ca="1" si="19"/>
        <v/>
      </c>
      <c r="AJ50" s="169">
        <f t="shared" ca="1" si="4"/>
        <v>48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5"/>
        <v/>
      </c>
      <c r="AQ50" s="207" t="s">
        <v>305</v>
      </c>
      <c r="AR50" s="207" t="s">
        <v>173</v>
      </c>
      <c r="AS50" s="207">
        <v>16</v>
      </c>
      <c r="AT50" s="207" t="s">
        <v>306</v>
      </c>
      <c r="AV50" s="168">
        <f t="shared" si="21"/>
        <v>51</v>
      </c>
      <c r="AW50" s="168">
        <f>COUNTIF( AV$7:AV50, AV50 )</f>
        <v>1</v>
      </c>
      <c r="AX50" s="208">
        <f t="shared" si="22"/>
        <v>51.1</v>
      </c>
      <c r="AY50" s="168">
        <f t="shared" si="23"/>
        <v>51</v>
      </c>
      <c r="AZ50" s="169"/>
      <c r="BA50" s="169"/>
      <c r="BC50" s="168">
        <f t="shared" ca="1" si="24"/>
        <v>44</v>
      </c>
      <c r="BD50" s="209">
        <f t="shared" ca="1" si="7"/>
        <v>6</v>
      </c>
      <c r="BF50" s="173" t="str">
        <f t="shared" ca="1" si="25"/>
        <v>Black Hills Corporation</v>
      </c>
      <c r="BG50" s="173" t="str">
        <f t="shared" ca="1" si="9"/>
        <v>BBB-</v>
      </c>
      <c r="BH50" s="173">
        <f t="shared" ca="1" si="9"/>
        <v>17</v>
      </c>
      <c r="BI50" s="173" t="str">
        <f t="shared" ca="1" si="9"/>
        <v>BKH</v>
      </c>
    </row>
    <row r="51" spans="1:61" ht="13.8" x14ac:dyDescent="0.25">
      <c r="A51" s="223" t="s">
        <v>265</v>
      </c>
      <c r="B51" s="224" t="s">
        <v>142</v>
      </c>
      <c r="C51" s="224">
        <v>17</v>
      </c>
      <c r="D51" s="224" t="s">
        <v>266</v>
      </c>
      <c r="E51" s="225" t="str">
        <f t="shared" ca="1" si="0"/>
        <v>R</v>
      </c>
      <c r="F51" s="348"/>
      <c r="G51" s="349">
        <f t="shared" ca="1" si="1"/>
        <v>20</v>
      </c>
      <c r="H51" s="350"/>
      <c r="I51" s="350"/>
      <c r="J51" s="191"/>
      <c r="K51" s="191"/>
      <c r="M51" s="351"/>
      <c r="N51" s="351"/>
      <c r="AF51" s="169">
        <f t="shared" si="2"/>
        <v>1</v>
      </c>
      <c r="AG51" s="169" t="str">
        <f t="shared" ca="1" si="3"/>
        <v/>
      </c>
      <c r="AH51" s="169" t="str">
        <f t="shared" ca="1" si="19"/>
        <v/>
      </c>
      <c r="AJ51" s="169">
        <f t="shared" ca="1" si="4"/>
        <v>49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5"/>
        <v/>
      </c>
      <c r="AQ51" s="207" t="s">
        <v>347</v>
      </c>
      <c r="AR51" s="207" t="s">
        <v>140</v>
      </c>
      <c r="AS51" s="207">
        <v>19</v>
      </c>
      <c r="AT51" s="207" t="s">
        <v>348</v>
      </c>
      <c r="AV51" s="168">
        <f t="shared" si="21"/>
        <v>13</v>
      </c>
      <c r="AW51" s="168">
        <f>COUNTIF( AV$7:AV51, AV51 )</f>
        <v>9</v>
      </c>
      <c r="AX51" s="208">
        <f t="shared" si="22"/>
        <v>13.9</v>
      </c>
      <c r="AY51" s="168">
        <f t="shared" si="23"/>
        <v>21</v>
      </c>
      <c r="AZ51" s="169"/>
      <c r="BA51" s="169"/>
      <c r="BC51" s="168">
        <f t="shared" ca="1" si="24"/>
        <v>45</v>
      </c>
      <c r="BD51" s="209">
        <f t="shared" ca="1" si="7"/>
        <v>15</v>
      </c>
      <c r="BF51" s="173" t="str">
        <f t="shared" ca="1" si="25"/>
        <v>Edison International</v>
      </c>
      <c r="BG51" s="173" t="str">
        <f t="shared" ca="1" si="9"/>
        <v>BBB-</v>
      </c>
      <c r="BH51" s="173">
        <f t="shared" ca="1" si="9"/>
        <v>17</v>
      </c>
      <c r="BI51" s="173" t="str">
        <f t="shared" ca="1" si="9"/>
        <v>EIX</v>
      </c>
    </row>
    <row r="52" spans="1:61" ht="13.8" x14ac:dyDescent="0.25">
      <c r="A52" s="223" t="s">
        <v>275</v>
      </c>
      <c r="B52" s="224" t="s">
        <v>142</v>
      </c>
      <c r="C52" s="224">
        <v>17</v>
      </c>
      <c r="D52" s="224" t="s">
        <v>276</v>
      </c>
      <c r="E52" s="225" t="str">
        <f t="shared" ca="1" si="0"/>
        <v>MR</v>
      </c>
      <c r="F52" s="348"/>
      <c r="G52" s="349">
        <f t="shared" ca="1" si="1"/>
        <v>25</v>
      </c>
      <c r="H52" s="350"/>
      <c r="I52" s="350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9"/>
        <v/>
      </c>
      <c r="AJ52" s="169">
        <f t="shared" ca="1" si="4"/>
        <v>50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5"/>
        <v/>
      </c>
      <c r="AQ52" s="207" t="s">
        <v>291</v>
      </c>
      <c r="AR52" s="207" t="s">
        <v>140</v>
      </c>
      <c r="AS52" s="207">
        <v>19</v>
      </c>
      <c r="AT52" s="207" t="s">
        <v>292</v>
      </c>
      <c r="AV52" s="168">
        <f t="shared" si="21"/>
        <v>13</v>
      </c>
      <c r="AW52" s="168">
        <f>COUNTIF( AV$7:AV52, AV52 )</f>
        <v>10</v>
      </c>
      <c r="AX52" s="208">
        <f t="shared" si="22"/>
        <v>14</v>
      </c>
      <c r="AY52" s="168">
        <f t="shared" si="23"/>
        <v>22</v>
      </c>
      <c r="AZ52" s="169"/>
      <c r="BA52" s="169"/>
      <c r="BC52" s="168">
        <f t="shared" ca="1" si="24"/>
        <v>46</v>
      </c>
      <c r="BD52" s="209">
        <f t="shared" ca="1" si="7"/>
        <v>21</v>
      </c>
      <c r="BF52" s="173" t="str">
        <f t="shared" ca="1" si="25"/>
        <v>FirstEnergy Corp.</v>
      </c>
      <c r="BG52" s="173" t="str">
        <f t="shared" ca="1" si="9"/>
        <v>BBB-</v>
      </c>
      <c r="BH52" s="173">
        <f t="shared" ca="1" si="9"/>
        <v>17</v>
      </c>
      <c r="BI52" s="173" t="str">
        <f t="shared" ca="1" si="9"/>
        <v>FE</v>
      </c>
    </row>
    <row r="53" spans="1:61" ht="13.8" x14ac:dyDescent="0.25">
      <c r="A53" s="223" t="s">
        <v>279</v>
      </c>
      <c r="B53" s="224" t="s">
        <v>142</v>
      </c>
      <c r="C53" s="224">
        <v>17</v>
      </c>
      <c r="D53" s="224" t="s">
        <v>280</v>
      </c>
      <c r="E53" s="225" t="str">
        <f t="shared" ca="1" si="0"/>
        <v>MR</v>
      </c>
      <c r="F53" s="348"/>
      <c r="G53" s="349">
        <f t="shared" ca="1" si="1"/>
        <v>27</v>
      </c>
      <c r="H53" s="350"/>
      <c r="I53" s="350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9"/>
        <v/>
      </c>
      <c r="AJ53" s="169">
        <f t="shared" ca="1" si="4"/>
        <v>51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5"/>
        <v/>
      </c>
      <c r="AQ53" s="207" t="s">
        <v>293</v>
      </c>
      <c r="AR53" s="207" t="s">
        <v>166</v>
      </c>
      <c r="AS53" s="207">
        <v>21</v>
      </c>
      <c r="AT53" s="207" t="s">
        <v>294</v>
      </c>
      <c r="AV53" s="168">
        <f t="shared" si="21"/>
        <v>1</v>
      </c>
      <c r="AW53" s="168">
        <f>COUNTIF( AV$7:AV53, AV53 )</f>
        <v>1</v>
      </c>
      <c r="AX53" s="208">
        <f t="shared" si="22"/>
        <v>1.1000000000000001</v>
      </c>
      <c r="AY53" s="168">
        <f t="shared" si="23"/>
        <v>1</v>
      </c>
      <c r="AZ53" s="169"/>
      <c r="BA53" s="169"/>
      <c r="BC53" s="168">
        <f t="shared" ca="1" si="24"/>
        <v>47</v>
      </c>
      <c r="BD53" s="209">
        <f t="shared" ca="1" si="7"/>
        <v>23</v>
      </c>
      <c r="BF53" s="173" t="str">
        <f t="shared" ca="1" si="25"/>
        <v>Hawaiian Electric Industries, Inc.</v>
      </c>
      <c r="BG53" s="173" t="str">
        <f t="shared" ca="1" si="9"/>
        <v>BBB-</v>
      </c>
      <c r="BH53" s="173">
        <f t="shared" ca="1" si="9"/>
        <v>17</v>
      </c>
      <c r="BI53" s="173" t="str">
        <f t="shared" ca="1" si="9"/>
        <v>HE</v>
      </c>
    </row>
    <row r="54" spans="1:61" ht="13.8" x14ac:dyDescent="0.25">
      <c r="A54" s="223" t="s">
        <v>287</v>
      </c>
      <c r="B54" s="224" t="s">
        <v>142</v>
      </c>
      <c r="C54" s="224">
        <v>17</v>
      </c>
      <c r="D54" s="224" t="s">
        <v>288</v>
      </c>
      <c r="E54" s="225" t="str">
        <f t="shared" ca="1" si="0"/>
        <v>R</v>
      </c>
      <c r="F54" s="348"/>
      <c r="G54" s="349">
        <f t="shared" ca="1" si="1"/>
        <v>61</v>
      </c>
      <c r="H54" s="350"/>
      <c r="I54" s="350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9"/>
        <v/>
      </c>
      <c r="AJ54" s="169">
        <f t="shared" ca="1" si="4"/>
        <v>52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5"/>
        <v/>
      </c>
      <c r="AQ54" s="207" t="s">
        <v>369</v>
      </c>
      <c r="AR54" s="207" t="s">
        <v>140</v>
      </c>
      <c r="AS54" s="207">
        <v>19</v>
      </c>
      <c r="AT54" s="207" t="s">
        <v>375</v>
      </c>
      <c r="AV54" s="168">
        <f t="shared" si="21"/>
        <v>13</v>
      </c>
      <c r="AW54" s="168">
        <f>COUNTIF( AV$7:AV54, AV54 )</f>
        <v>11</v>
      </c>
      <c r="AX54" s="208">
        <f t="shared" si="22"/>
        <v>14.1</v>
      </c>
      <c r="AY54" s="168">
        <f t="shared" si="23"/>
        <v>23</v>
      </c>
      <c r="AZ54" s="169"/>
      <c r="BA54" s="169"/>
      <c r="BC54" s="168">
        <f t="shared" ca="1" si="24"/>
        <v>48</v>
      </c>
      <c r="BD54" s="209">
        <f t="shared" ca="1" si="7"/>
        <v>27</v>
      </c>
      <c r="BF54" s="173" t="str">
        <f t="shared" ca="1" si="25"/>
        <v>IPALCO Enterprises, Inc.</v>
      </c>
      <c r="BG54" s="173" t="str">
        <f t="shared" ca="1" si="9"/>
        <v>BBB-</v>
      </c>
      <c r="BH54" s="173">
        <f t="shared" ca="1" si="9"/>
        <v>17</v>
      </c>
      <c r="BI54" s="173" t="str">
        <f t="shared" ca="1" si="9"/>
        <v>**IPALCO</v>
      </c>
    </row>
    <row r="55" spans="1:61" ht="13.8" x14ac:dyDescent="0.25">
      <c r="A55" s="223" t="s">
        <v>273</v>
      </c>
      <c r="B55" s="224" t="s">
        <v>142</v>
      </c>
      <c r="C55" s="224">
        <v>17</v>
      </c>
      <c r="D55" s="224" t="s">
        <v>274</v>
      </c>
      <c r="E55" s="225" t="str">
        <f t="shared" ca="1" si="0"/>
        <v>MR</v>
      </c>
      <c r="F55" s="348"/>
      <c r="G55" s="349">
        <f t="shared" ca="1" si="1"/>
        <v>33</v>
      </c>
      <c r="H55" s="350"/>
      <c r="I55" s="350"/>
      <c r="J55" s="191"/>
      <c r="K55" s="191"/>
      <c r="AF55" s="169">
        <f t="shared" si="2"/>
        <v>1</v>
      </c>
      <c r="AG55" s="169" t="str">
        <f t="shared" ca="1" si="3"/>
        <v/>
      </c>
      <c r="AH55" s="169" t="str">
        <f t="shared" ca="1" si="19"/>
        <v/>
      </c>
      <c r="AJ55" s="169">
        <f t="shared" ca="1" si="4"/>
        <v>53</v>
      </c>
      <c r="AK55" s="169" t="str">
        <f t="shared" ca="1" si="20"/>
        <v>BBB-</v>
      </c>
      <c r="AL55" s="169">
        <f t="shared" ca="1" si="20"/>
        <v>17</v>
      </c>
      <c r="AM55" s="169" t="str">
        <f t="shared" ca="1" si="5"/>
        <v/>
      </c>
      <c r="AQ55" s="207" t="s">
        <v>389</v>
      </c>
      <c r="AR55" s="207" t="s">
        <v>141</v>
      </c>
      <c r="AS55" s="207">
        <v>18</v>
      </c>
      <c r="AT55" s="207" t="s">
        <v>390</v>
      </c>
      <c r="AV55" s="168">
        <f t="shared" si="21"/>
        <v>24</v>
      </c>
      <c r="AW55" s="168">
        <f>COUNTIF( AV$7:AV55, AV55 )</f>
        <v>19</v>
      </c>
      <c r="AX55" s="208">
        <f t="shared" si="22"/>
        <v>25.9</v>
      </c>
      <c r="AY55" s="168">
        <f t="shared" si="23"/>
        <v>42</v>
      </c>
      <c r="AZ55" s="169"/>
      <c r="BA55" s="169"/>
      <c r="BC55" s="168">
        <f t="shared" ca="1" si="24"/>
        <v>49</v>
      </c>
      <c r="BD55" s="209">
        <f t="shared" ca="1" si="7"/>
        <v>31</v>
      </c>
      <c r="BF55" s="173" t="str">
        <f t="shared" ca="1" si="25"/>
        <v>NiSource Inc.</v>
      </c>
      <c r="BG55" s="173" t="str">
        <f t="shared" ca="1" si="9"/>
        <v>BBB-</v>
      </c>
      <c r="BH55" s="173">
        <f t="shared" ca="1" si="9"/>
        <v>17</v>
      </c>
      <c r="BI55" s="173" t="str">
        <f t="shared" ca="1" si="9"/>
        <v>NI</v>
      </c>
    </row>
    <row r="56" spans="1:61" ht="13.8" x14ac:dyDescent="0.25">
      <c r="A56" s="223" t="s">
        <v>411</v>
      </c>
      <c r="B56" s="224" t="s">
        <v>142</v>
      </c>
      <c r="C56" s="224">
        <v>17</v>
      </c>
      <c r="D56" s="224" t="s">
        <v>412</v>
      </c>
      <c r="E56" s="225" t="str">
        <f t="shared" ca="1" si="0"/>
        <v>R</v>
      </c>
      <c r="F56" s="348"/>
      <c r="G56" s="349">
        <f t="shared" ca="1" si="1"/>
        <v>36</v>
      </c>
      <c r="H56" s="350"/>
      <c r="I56" s="350"/>
      <c r="J56" s="191"/>
      <c r="K56" s="191"/>
      <c r="AF56" s="169">
        <f t="shared" si="2"/>
        <v>1</v>
      </c>
      <c r="AG56" s="169" t="str">
        <f t="shared" ca="1" si="3"/>
        <v/>
      </c>
      <c r="AH56" s="169" t="str">
        <f t="shared" ca="1" si="19"/>
        <v/>
      </c>
      <c r="AJ56" s="169">
        <f t="shared" ca="1" si="4"/>
        <v>54</v>
      </c>
      <c r="AK56" s="169" t="str">
        <f t="shared" ca="1" si="20"/>
        <v>BBB-</v>
      </c>
      <c r="AL56" s="169">
        <f t="shared" ca="1" si="20"/>
        <v>17</v>
      </c>
      <c r="AM56" s="169" t="str">
        <f t="shared" ca="1" si="5"/>
        <v/>
      </c>
      <c r="AQ56" s="207" t="s">
        <v>345</v>
      </c>
      <c r="AR56" s="207" t="s">
        <v>139</v>
      </c>
      <c r="AS56" s="207">
        <v>20</v>
      </c>
      <c r="AT56" s="207" t="s">
        <v>346</v>
      </c>
      <c r="AV56" s="168">
        <f t="shared" si="21"/>
        <v>2</v>
      </c>
      <c r="AW56" s="168">
        <f>COUNTIF( AV$7:AV56, AV56 )</f>
        <v>9</v>
      </c>
      <c r="AX56" s="208">
        <f t="shared" si="22"/>
        <v>2.9</v>
      </c>
      <c r="AY56" s="168">
        <f t="shared" si="23"/>
        <v>10</v>
      </c>
      <c r="AZ56" s="169"/>
      <c r="BA56" s="169"/>
      <c r="BC56" s="168">
        <f t="shared" ca="1" si="24"/>
        <v>50</v>
      </c>
      <c r="BD56" s="209">
        <f t="shared" ca="1" si="7"/>
        <v>34</v>
      </c>
      <c r="BF56" s="173" t="str">
        <f t="shared" ca="1" si="25"/>
        <v>NV Energy, Inc.</v>
      </c>
      <c r="BG56" s="173" t="str">
        <f t="shared" ca="1" si="9"/>
        <v>BBB-</v>
      </c>
      <c r="BH56" s="173">
        <f t="shared" ca="1" si="9"/>
        <v>17</v>
      </c>
      <c r="BI56" s="173" t="str">
        <f t="shared" ca="1" si="9"/>
        <v>NVE</v>
      </c>
    </row>
    <row r="57" spans="1:61" ht="13.8" x14ac:dyDescent="0.25">
      <c r="A57" s="223" t="s">
        <v>305</v>
      </c>
      <c r="B57" s="224" t="s">
        <v>173</v>
      </c>
      <c r="C57" s="224">
        <v>16</v>
      </c>
      <c r="D57" s="224" t="s">
        <v>306</v>
      </c>
      <c r="E57" s="225" t="str">
        <f t="shared" ca="1" si="0"/>
        <v>R</v>
      </c>
      <c r="F57" s="348"/>
      <c r="G57" s="349">
        <f t="shared" ca="1" si="1"/>
        <v>63</v>
      </c>
      <c r="H57" s="350"/>
      <c r="I57" s="350"/>
      <c r="J57" s="191"/>
      <c r="K57" s="191"/>
      <c r="AF57" s="169">
        <f t="shared" si="2"/>
        <v>0</v>
      </c>
      <c r="AG57" s="169" t="str">
        <f t="shared" ca="1" si="3"/>
        <v/>
      </c>
      <c r="AH57" s="169" t="str">
        <f t="shared" ca="1" si="19"/>
        <v/>
      </c>
      <c r="AJ57" s="169">
        <f t="shared" ca="1" si="4"/>
        <v>57</v>
      </c>
      <c r="AK57" s="169" t="str">
        <f t="shared" ca="1" si="20"/>
        <v>BB+</v>
      </c>
      <c r="AL57" s="169">
        <f t="shared" ca="1" si="20"/>
        <v>16</v>
      </c>
      <c r="AM57" s="169" t="str">
        <f t="shared" ca="1" si="5"/>
        <v/>
      </c>
      <c r="AQ57" s="207" t="s">
        <v>354</v>
      </c>
      <c r="AR57" s="207" t="s">
        <v>141</v>
      </c>
      <c r="AS57" s="207">
        <v>18</v>
      </c>
      <c r="AT57" s="207" t="s">
        <v>355</v>
      </c>
      <c r="AV57" s="168">
        <f t="shared" si="21"/>
        <v>24</v>
      </c>
      <c r="AW57" s="168">
        <f>COUNTIF( AV$7:AV57, AV57 )</f>
        <v>20</v>
      </c>
      <c r="AX57" s="208">
        <f t="shared" si="22"/>
        <v>26</v>
      </c>
      <c r="AY57" s="168">
        <f t="shared" si="23"/>
        <v>43</v>
      </c>
      <c r="AZ57" s="169"/>
      <c r="BA57" s="169"/>
      <c r="BC57" s="168">
        <f t="shared" ca="1" si="24"/>
        <v>51</v>
      </c>
      <c r="BD57" s="209">
        <f t="shared" ca="1" si="7"/>
        <v>44</v>
      </c>
      <c r="BF57" s="173" t="str">
        <f t="shared" ca="1" si="25"/>
        <v>Puget Energy, Inc.</v>
      </c>
      <c r="BG57" s="173" t="str">
        <f t="shared" ca="1" si="9"/>
        <v>BB+</v>
      </c>
      <c r="BH57" s="173">
        <f t="shared" ca="1" si="9"/>
        <v>16</v>
      </c>
      <c r="BI57" s="173" t="str">
        <f t="shared" ca="1" si="9"/>
        <v>**PSD</v>
      </c>
    </row>
    <row r="58" spans="1:61" ht="13.8" x14ac:dyDescent="0.25">
      <c r="A58" s="223" t="s">
        <v>259</v>
      </c>
      <c r="B58" s="224" t="s">
        <v>175</v>
      </c>
      <c r="C58" s="224">
        <v>15</v>
      </c>
      <c r="D58" s="224" t="s">
        <v>260</v>
      </c>
      <c r="E58" s="225" t="str">
        <f t="shared" ca="1" si="0"/>
        <v>R</v>
      </c>
      <c r="F58" s="348"/>
      <c r="G58" s="349">
        <f t="shared" ca="1" si="1"/>
        <v>59</v>
      </c>
      <c r="H58" s="350"/>
      <c r="I58" s="350"/>
      <c r="J58" s="191"/>
      <c r="K58" s="191"/>
      <c r="AF58" s="169">
        <f t="shared" si="2"/>
        <v>1</v>
      </c>
      <c r="AG58" s="169" t="str">
        <f t="shared" ca="1" si="3"/>
        <v/>
      </c>
      <c r="AH58" s="169" t="str">
        <f t="shared" ca="1" si="19"/>
        <v/>
      </c>
      <c r="AJ58" s="169">
        <f t="shared" ca="1" si="4"/>
        <v>58</v>
      </c>
      <c r="AK58" s="169" t="str">
        <f t="shared" ca="1" si="20"/>
        <v>BB</v>
      </c>
      <c r="AL58" s="169">
        <f t="shared" ca="1" si="20"/>
        <v>15</v>
      </c>
      <c r="AM58" s="169" t="str">
        <f t="shared" ca="1" si="5"/>
        <v/>
      </c>
      <c r="AQ58" s="207" t="s">
        <v>247</v>
      </c>
      <c r="AR58" s="207" t="s">
        <v>139</v>
      </c>
      <c r="AS58" s="207">
        <v>20</v>
      </c>
      <c r="AT58" s="207" t="s">
        <v>248</v>
      </c>
      <c r="AV58" s="168">
        <f t="shared" si="21"/>
        <v>2</v>
      </c>
      <c r="AW58" s="168">
        <f>COUNTIF( AV$7:AV58, AV58 )</f>
        <v>10</v>
      </c>
      <c r="AX58" s="208">
        <f t="shared" si="22"/>
        <v>3</v>
      </c>
      <c r="AY58" s="168">
        <f t="shared" si="23"/>
        <v>11</v>
      </c>
      <c r="AZ58" s="169"/>
      <c r="BA58" s="169"/>
      <c r="BC58" s="168">
        <f t="shared" ca="1" si="24"/>
        <v>52</v>
      </c>
      <c r="BD58" s="209">
        <f t="shared" ca="1" si="7"/>
        <v>12</v>
      </c>
      <c r="BF58" s="173" t="str">
        <f t="shared" ca="1" si="25"/>
        <v>DPL Inc.</v>
      </c>
      <c r="BG58" s="173" t="str">
        <f t="shared" ca="1" si="9"/>
        <v>BB</v>
      </c>
      <c r="BH58" s="173">
        <f t="shared" ca="1" si="9"/>
        <v>15</v>
      </c>
      <c r="BI58" s="173" t="str">
        <f t="shared" ca="1" si="9"/>
        <v>**DPL</v>
      </c>
    </row>
    <row r="59" spans="1:61" ht="13.8" x14ac:dyDescent="0.25">
      <c r="A59" s="223" t="s">
        <v>371</v>
      </c>
      <c r="B59" s="224" t="s">
        <v>187</v>
      </c>
      <c r="C59" s="224">
        <v>9</v>
      </c>
      <c r="D59" s="224" t="s">
        <v>359</v>
      </c>
      <c r="E59" s="225" t="str">
        <f t="shared" ca="1" si="0"/>
        <v>D</v>
      </c>
      <c r="F59" s="348"/>
      <c r="G59" s="349">
        <f t="shared" ca="1" si="1"/>
        <v>60</v>
      </c>
      <c r="H59" s="350"/>
      <c r="I59" s="350"/>
      <c r="J59" s="191"/>
      <c r="K59" s="191"/>
      <c r="AF59" s="169">
        <f t="shared" si="2"/>
        <v>0</v>
      </c>
      <c r="AG59" s="169" t="str">
        <f t="shared" ca="1" si="3"/>
        <v/>
      </c>
      <c r="AH59" s="169" t="str">
        <f t="shared" ca="1" si="19"/>
        <v/>
      </c>
      <c r="AJ59" s="169">
        <f t="shared" ca="1" si="4"/>
        <v>59</v>
      </c>
      <c r="AK59" s="169" t="str">
        <f t="shared" ca="1" si="20"/>
        <v>CCC</v>
      </c>
      <c r="AL59" s="169">
        <f t="shared" ca="1" si="20"/>
        <v>9</v>
      </c>
      <c r="AM59" s="169" t="str">
        <f t="shared" ca="1" si="5"/>
        <v/>
      </c>
      <c r="AQ59" s="207" t="s">
        <v>251</v>
      </c>
      <c r="AR59" s="207" t="s">
        <v>139</v>
      </c>
      <c r="AS59" s="207">
        <v>20</v>
      </c>
      <c r="AT59" s="207" t="s">
        <v>252</v>
      </c>
      <c r="AV59" s="168">
        <f t="shared" si="21"/>
        <v>2</v>
      </c>
      <c r="AW59" s="168">
        <f>COUNTIF( AV$7:AV59, AV59 )</f>
        <v>11</v>
      </c>
      <c r="AX59" s="208">
        <f t="shared" si="22"/>
        <v>3.1</v>
      </c>
      <c r="AY59" s="168">
        <f t="shared" si="23"/>
        <v>12</v>
      </c>
      <c r="AZ59" s="169"/>
      <c r="BA59" s="169"/>
      <c r="BC59" s="168">
        <f t="shared" ca="1" si="24"/>
        <v>53</v>
      </c>
      <c r="BD59" s="209">
        <f t="shared" ca="1" si="7"/>
        <v>18</v>
      </c>
      <c r="BF59" s="173" t="str">
        <f t="shared" ca="1" si="25"/>
        <v>Energy Future Holdings Corp.</v>
      </c>
      <c r="BG59" s="173" t="str">
        <f t="shared" ca="1" si="9"/>
        <v>CCC</v>
      </c>
      <c r="BH59" s="173">
        <f t="shared" ca="1" si="9"/>
        <v>9</v>
      </c>
      <c r="BI59" s="173" t="str">
        <f t="shared" ca="1" si="9"/>
        <v>**EFH</v>
      </c>
    </row>
    <row r="60" spans="1:61" ht="13.8" x14ac:dyDescent="0.25">
      <c r="A60" s="180"/>
      <c r="B60" s="181"/>
      <c r="C60" s="181"/>
      <c r="D60" s="181"/>
      <c r="E60" s="182"/>
      <c r="F60" s="350"/>
      <c r="G60" s="353" t="str">
        <f t="shared" ca="1" si="1"/>
        <v/>
      </c>
      <c r="H60" s="350"/>
      <c r="I60" s="350"/>
      <c r="AF60" s="169">
        <f t="shared" si="2"/>
        <v>0</v>
      </c>
      <c r="AG60" s="169" t="str">
        <f t="shared" si="3"/>
        <v/>
      </c>
      <c r="AH60" s="169" t="str">
        <f t="shared" si="19"/>
        <v/>
      </c>
      <c r="AJ60" s="169" t="e">
        <f t="shared" ca="1" si="4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5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1</v>
      </c>
      <c r="AX60" s="208">
        <f t="shared" si="22"/>
        <v>99.1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7"/>
        <v>54</v>
      </c>
      <c r="BF60" s="173">
        <f t="shared" ca="1" si="25"/>
        <v>0</v>
      </c>
      <c r="BG60" s="173">
        <f t="shared" ca="1" si="9"/>
        <v>0</v>
      </c>
      <c r="BH60" s="173">
        <f t="shared" ca="1" si="9"/>
        <v>0</v>
      </c>
      <c r="BI60" s="173">
        <f t="shared" ca="1" si="9"/>
        <v>0</v>
      </c>
    </row>
    <row r="61" spans="1:61" ht="14.4" thickBot="1" x14ac:dyDescent="0.3">
      <c r="A61" s="192"/>
      <c r="B61" s="193"/>
      <c r="C61" s="193"/>
      <c r="D61" s="193"/>
      <c r="E61" s="194"/>
      <c r="F61" s="350"/>
      <c r="G61" s="353" t="str">
        <f t="shared" ca="1" si="1"/>
        <v/>
      </c>
      <c r="H61" s="350"/>
      <c r="I61" s="350"/>
      <c r="AF61" s="169">
        <f t="shared" si="2"/>
        <v>0</v>
      </c>
      <c r="AG61" s="169" t="str">
        <f t="shared" si="3"/>
        <v/>
      </c>
      <c r="AH61" s="169" t="str">
        <f t="shared" si="19"/>
        <v/>
      </c>
      <c r="AJ61" s="169" t="e">
        <f t="shared" ca="1" si="4"/>
        <v>#N/A</v>
      </c>
      <c r="AK61" s="169" t="str">
        <f t="shared" ca="1" si="20"/>
        <v/>
      </c>
      <c r="AL61" s="169" t="str">
        <f t="shared" ca="1" si="20"/>
        <v/>
      </c>
      <c r="AM61" s="169" t="str">
        <f t="shared" ca="1" si="5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2</v>
      </c>
      <c r="AX61" s="208">
        <f t="shared" si="22"/>
        <v>99.2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7"/>
        <v>55</v>
      </c>
      <c r="BF61" s="173">
        <f t="shared" ca="1" si="25"/>
        <v>0</v>
      </c>
      <c r="BG61" s="173">
        <f t="shared" ca="1" si="9"/>
        <v>0</v>
      </c>
      <c r="BH61" s="173">
        <f t="shared" ca="1" si="9"/>
        <v>0</v>
      </c>
      <c r="BI61" s="173">
        <f t="shared" ca="1" si="9"/>
        <v>0</v>
      </c>
    </row>
    <row r="62" spans="1:61" ht="13.8" x14ac:dyDescent="0.25">
      <c r="A62" s="226" t="s">
        <v>384</v>
      </c>
      <c r="B62" s="227" t="s">
        <v>162</v>
      </c>
      <c r="C62" s="227">
        <v>23</v>
      </c>
      <c r="D62" s="227" t="s">
        <v>309</v>
      </c>
      <c r="E62" s="228" t="str">
        <f ca="1">OFFSET( INDIRECT( E$3 &amp; E$4 ), $G62 - 1, 0 )</f>
        <v>MR</v>
      </c>
      <c r="F62" s="354"/>
      <c r="G62" s="355">
        <f t="shared" ca="1" si="1"/>
        <v>31</v>
      </c>
      <c r="H62" s="350"/>
      <c r="I62" s="350"/>
      <c r="AF62" s="169">
        <f t="shared" si="2"/>
        <v>1</v>
      </c>
      <c r="AG62" s="169" t="str">
        <f t="shared" ca="1" si="3"/>
        <v/>
      </c>
      <c r="AH62" s="169" t="str">
        <f t="shared" ca="1" si="19"/>
        <v/>
      </c>
      <c r="AJ62" s="169">
        <f t="shared" ca="1" si="4"/>
        <v>62</v>
      </c>
      <c r="AK62" s="169" t="str">
        <f t="shared" ca="1" si="20"/>
        <v>AA-</v>
      </c>
      <c r="AL62" s="169">
        <f t="shared" ca="1" si="20"/>
        <v>23</v>
      </c>
      <c r="AM62" s="169" t="str">
        <f t="shared" ca="1" si="5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3</v>
      </c>
      <c r="AX62" s="208">
        <f t="shared" si="22"/>
        <v>99.3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7"/>
        <v>56</v>
      </c>
      <c r="BF62" s="173">
        <f t="shared" ca="1" si="25"/>
        <v>0</v>
      </c>
      <c r="BG62" s="173">
        <f t="shared" ca="1" si="9"/>
        <v>0</v>
      </c>
      <c r="BH62" s="173">
        <f t="shared" ca="1" si="9"/>
        <v>0</v>
      </c>
      <c r="BI62" s="173">
        <f t="shared" ca="1" si="9"/>
        <v>0</v>
      </c>
    </row>
    <row r="63" spans="1:61" ht="13.8" x14ac:dyDescent="0.25">
      <c r="A63" s="223" t="s">
        <v>399</v>
      </c>
      <c r="B63" s="224" t="s">
        <v>173</v>
      </c>
      <c r="C63" s="224">
        <v>16</v>
      </c>
      <c r="D63" s="224" t="s">
        <v>400</v>
      </c>
      <c r="E63" s="225" t="str">
        <f ca="1">OFFSET( INDIRECT( E$3 &amp; E$4 ), $G63 - 1, 0 )</f>
        <v>R</v>
      </c>
      <c r="F63" s="348"/>
      <c r="G63" s="349">
        <f t="shared" ca="1" si="1"/>
        <v>52</v>
      </c>
      <c r="H63" s="350"/>
      <c r="I63" s="350"/>
      <c r="AF63" s="169">
        <f t="shared" si="2"/>
        <v>0</v>
      </c>
      <c r="AG63" s="169" t="str">
        <f t="shared" ca="1" si="3"/>
        <v/>
      </c>
      <c r="AH63" s="169" t="str">
        <f t="shared" ca="1" si="19"/>
        <v/>
      </c>
      <c r="AJ63" s="169">
        <f t="shared" ca="1" si="4"/>
        <v>64</v>
      </c>
      <c r="AK63" s="169" t="str">
        <f t="shared" ca="1" si="20"/>
        <v>BB+</v>
      </c>
      <c r="AL63" s="169">
        <f t="shared" ca="1" si="20"/>
        <v>16</v>
      </c>
      <c r="AM63" s="169" t="str">
        <f t="shared" ca="1" si="5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4</v>
      </c>
      <c r="AX63" s="208">
        <f t="shared" si="22"/>
        <v>99.4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ref="BG63:BI63" ca="1" si="26">OFFSET( AR$6, $BD63, 0 )</f>
        <v>0</v>
      </c>
      <c r="BH63" s="173">
        <f t="shared" ca="1" si="26"/>
        <v>0</v>
      </c>
      <c r="BI63" s="173">
        <f t="shared" ca="1" si="26"/>
        <v>0</v>
      </c>
    </row>
    <row r="64" spans="1:61" ht="13.8" x14ac:dyDescent="0.25">
      <c r="A64" s="223" t="s">
        <v>401</v>
      </c>
      <c r="B64" s="224"/>
      <c r="C64" s="224"/>
      <c r="D64" s="224" t="s">
        <v>376</v>
      </c>
      <c r="E64" s="225" t="str">
        <f ca="1">OFFSET( INDIRECT( E$3 &amp; E$4 ), $G64 - 1, 0 )</f>
        <v>R</v>
      </c>
      <c r="F64" s="348"/>
      <c r="G64" s="349">
        <f t="shared" ca="1" si="1"/>
        <v>51</v>
      </c>
      <c r="H64" s="350"/>
      <c r="I64" s="350"/>
      <c r="AF64" s="169">
        <f t="shared" si="2"/>
        <v>0</v>
      </c>
      <c r="AG64" s="169" t="str">
        <f t="shared" si="3"/>
        <v/>
      </c>
      <c r="AH64" s="169" t="str">
        <f t="shared" si="19"/>
        <v/>
      </c>
      <c r="AJ64" s="169">
        <f t="shared" ca="1" si="4"/>
        <v>65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5"/>
        <v/>
      </c>
      <c r="AQ64" s="207"/>
      <c r="AR64" s="207"/>
      <c r="AS64" s="207"/>
      <c r="AT64" s="207"/>
      <c r="AU64" s="207"/>
      <c r="AZ64" s="169"/>
      <c r="BA64" s="169"/>
      <c r="BF64" s="169"/>
    </row>
    <row r="65" spans="1:58" ht="13.8" x14ac:dyDescent="0.25">
      <c r="A65" s="223"/>
      <c r="B65" s="229"/>
      <c r="C65" s="224"/>
      <c r="D65" s="224"/>
      <c r="E65" s="225"/>
      <c r="F65" s="348"/>
      <c r="G65" s="349"/>
      <c r="H65" s="350"/>
      <c r="I65" s="350"/>
      <c r="N65" s="168" t="s">
        <v>310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9"/>
        <v/>
      </c>
      <c r="AJ65" s="169" t="e">
        <f t="shared" ca="1" si="4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5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3.8" x14ac:dyDescent="0.25">
      <c r="A66" s="195"/>
      <c r="B66" s="196"/>
      <c r="C66" s="185"/>
      <c r="D66" s="185"/>
      <c r="E66" s="182"/>
      <c r="F66" s="350"/>
      <c r="H66" s="350"/>
      <c r="I66" s="350"/>
      <c r="AF66" s="169">
        <f t="shared" si="2"/>
        <v>0</v>
      </c>
      <c r="AG66" s="169" t="str">
        <f t="shared" ref="AG66:AG67" si="27">IF( LEN( $C66 ) = 0, "", IF( $C66 &gt; $AL66, 1, "" ) )</f>
        <v/>
      </c>
      <c r="AH66" s="169" t="str">
        <f t="shared" si="19"/>
        <v/>
      </c>
      <c r="AJ66" s="169" t="e">
        <f t="shared" ca="1" si="4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5"/>
        <v/>
      </c>
      <c r="AQ66" s="207" t="s">
        <v>384</v>
      </c>
      <c r="AR66" s="207" t="s">
        <v>162</v>
      </c>
      <c r="AS66" s="207">
        <v>23</v>
      </c>
      <c r="AT66" s="207" t="s">
        <v>309</v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50"/>
      <c r="H67" s="350"/>
      <c r="I67" s="350"/>
      <c r="AF67" s="169">
        <f t="shared" si="2"/>
        <v>0</v>
      </c>
      <c r="AG67" s="169" t="str">
        <f t="shared" si="27"/>
        <v/>
      </c>
      <c r="AH67" s="169" t="str">
        <f t="shared" si="19"/>
        <v/>
      </c>
      <c r="AJ67" s="169" t="e">
        <f t="shared" ca="1" si="4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5"/>
        <v/>
      </c>
      <c r="AQ67" s="207" t="s">
        <v>399</v>
      </c>
      <c r="AR67" s="207" t="s">
        <v>173</v>
      </c>
      <c r="AS67" s="207">
        <v>16</v>
      </c>
      <c r="AT67" s="207" t="s">
        <v>400</v>
      </c>
      <c r="AX67" s="208"/>
      <c r="AZ67" s="169"/>
      <c r="BA67" s="169"/>
      <c r="BD67" s="209"/>
      <c r="BF67" s="169"/>
    </row>
    <row r="68" spans="1:58" ht="13.8" x14ac:dyDescent="0.25">
      <c r="A68" s="200" t="s">
        <v>311</v>
      </c>
      <c r="B68" s="189" t="s">
        <v>141</v>
      </c>
      <c r="C68" s="201">
        <f>AVERAGE(C7:C65)</f>
        <v>18.327272727272728</v>
      </c>
      <c r="D68" s="201"/>
      <c r="E68" s="201"/>
      <c r="F68" s="350"/>
      <c r="H68" s="350"/>
      <c r="I68" s="350"/>
      <c r="J68" s="351"/>
      <c r="K68" s="351"/>
      <c r="AQ68" s="207" t="s">
        <v>401</v>
      </c>
      <c r="AR68" s="207"/>
      <c r="AS68" s="207"/>
      <c r="AT68" s="207" t="s">
        <v>376</v>
      </c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50"/>
      <c r="H69" s="350"/>
      <c r="I69" s="350"/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1"/>
      <c r="K70" s="351"/>
    </row>
    <row r="71" spans="1:58" x14ac:dyDescent="0.25">
      <c r="A71" s="203" t="s">
        <v>312</v>
      </c>
      <c r="F71" s="173"/>
      <c r="H71" s="173"/>
      <c r="I71" s="173"/>
    </row>
    <row r="72" spans="1:58" x14ac:dyDescent="0.25">
      <c r="A72" s="203" t="s">
        <v>313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314</v>
      </c>
      <c r="B73" s="173"/>
      <c r="D73" s="173"/>
      <c r="E73" s="173"/>
      <c r="F73" s="204"/>
      <c r="H73" s="204"/>
      <c r="I73" s="204"/>
    </row>
    <row r="74" spans="1:58" x14ac:dyDescent="0.25">
      <c r="A74" s="205" t="s">
        <v>403</v>
      </c>
      <c r="D74" s="204"/>
      <c r="F74" s="206"/>
      <c r="H74" s="206"/>
      <c r="I74" s="206"/>
    </row>
    <row r="75" spans="1:58" x14ac:dyDescent="0.25">
      <c r="A75" s="203" t="s">
        <v>315</v>
      </c>
      <c r="D75" s="204"/>
      <c r="F75" s="206"/>
      <c r="H75" s="206"/>
      <c r="I75" s="206"/>
      <c r="AQ75" s="207"/>
      <c r="AR75" s="207"/>
      <c r="AS75" s="207"/>
    </row>
    <row r="76" spans="1:58" x14ac:dyDescent="0.25">
      <c r="A76" s="203"/>
      <c r="D76" s="204"/>
      <c r="F76" s="206"/>
      <c r="H76" s="206"/>
      <c r="I76" s="206"/>
      <c r="AQ76" s="207"/>
      <c r="AR76" s="207"/>
      <c r="AS76" s="207"/>
    </row>
    <row r="77" spans="1:58" x14ac:dyDescent="0.25">
      <c r="A77" s="203"/>
      <c r="AQ77" s="207"/>
      <c r="AR77" s="207"/>
      <c r="AS77" s="207"/>
    </row>
    <row r="78" spans="1:58" x14ac:dyDescent="0.25">
      <c r="C78" s="190">
        <f>SUMPRODUCT( L8:L13, Y8:Y13 ) / L14</f>
        <v>18.436363636363637</v>
      </c>
      <c r="E78" s="191"/>
      <c r="G78" s="353"/>
      <c r="J78" s="173"/>
      <c r="K78" s="173"/>
      <c r="AQ78" s="207"/>
      <c r="AR78" s="207"/>
      <c r="AS78" s="207"/>
    </row>
    <row r="79" spans="1:58" s="173" customFormat="1" ht="13.8" x14ac:dyDescent="0.25">
      <c r="A79" s="195"/>
      <c r="B79" s="185"/>
      <c r="C79" s="185"/>
      <c r="D79" s="185"/>
      <c r="E79" s="182"/>
      <c r="F79" s="168"/>
      <c r="G79" s="169"/>
      <c r="H79" s="168"/>
      <c r="I79" s="168"/>
      <c r="Q79" s="168"/>
      <c r="T79" s="169"/>
      <c r="U79" s="169"/>
      <c r="V79" s="169"/>
      <c r="AF79" s="169"/>
      <c r="AG79" s="169"/>
      <c r="AH79" s="169"/>
      <c r="AJ79" s="169"/>
      <c r="AK79" s="169"/>
      <c r="AL79" s="169"/>
      <c r="AM79" s="169"/>
      <c r="AN79" s="169"/>
      <c r="AQ79" s="207"/>
      <c r="AR79" s="207"/>
      <c r="AS79" s="207"/>
    </row>
  </sheetData>
  <sortState ref="AQ7:AT6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7:E59 E62:E65">
    <cfRule type="expression" dxfId="344" priority="28" stopIfTrue="1">
      <formula>IF( $AH7 = 1, TRUE, FALSE )</formula>
    </cfRule>
    <cfRule type="expression" dxfId="343" priority="29" stopIfTrue="1">
      <formula>IF( $AG7 = 1, TRUE, FALSE )</formula>
    </cfRule>
    <cfRule type="expression" dxfId="342" priority="30" stopIfTrue="1">
      <formula>IF( $AF7 = 1, TRUE, FALSE )</formula>
    </cfRule>
  </conditionalFormatting>
  <conditionalFormatting sqref="A67:E67">
    <cfRule type="expression" dxfId="341" priority="31" stopIfTrue="1">
      <formula>IF( $AH67 = 1, TRUE, FALSE )</formula>
    </cfRule>
    <cfRule type="expression" dxfId="340" priority="32" stopIfTrue="1">
      <formula>IF( $AG67 = 1, TRUE, FALSE )</formula>
    </cfRule>
    <cfRule type="expression" dxfId="339" priority="33" stopIfTrue="1">
      <formula>IF( $AF67 = 1, TRUE, FALSE )</formula>
    </cfRule>
  </conditionalFormatting>
  <conditionalFormatting sqref="A66:E66">
    <cfRule type="expression" dxfId="338" priority="25" stopIfTrue="1">
      <formula>IF( $AH66 = 1, TRUE, FALSE )</formula>
    </cfRule>
    <cfRule type="expression" dxfId="337" priority="26" stopIfTrue="1">
      <formula>IF( $AG66 = 1, TRUE, FALSE )</formula>
    </cfRule>
    <cfRule type="expression" dxfId="336" priority="27" stopIfTrue="1">
      <formula>IF( $AF66 = 1, TRUE, FALSE )</formula>
    </cfRule>
  </conditionalFormatting>
  <conditionalFormatting sqref="A8:D58 B7:D7">
    <cfRule type="expression" dxfId="335" priority="22" stopIfTrue="1">
      <formula>IF( $AH7 = 1, TRUE, FALSE )</formula>
    </cfRule>
    <cfRule type="expression" dxfId="334" priority="23" stopIfTrue="1">
      <formula>IF( $AG7 = 1, TRUE, FALSE )</formula>
    </cfRule>
    <cfRule type="expression" dxfId="333" priority="24" stopIfTrue="1">
      <formula>IF( $AF7 = 1, TRUE, FALSE )</formula>
    </cfRule>
  </conditionalFormatting>
  <conditionalFormatting sqref="A59:D59">
    <cfRule type="expression" dxfId="332" priority="19" stopIfTrue="1">
      <formula>IF( $AH59 = 1, TRUE, FALSE )</formula>
    </cfRule>
    <cfRule type="expression" dxfId="331" priority="20" stopIfTrue="1">
      <formula>IF( $AG59 = 1, TRUE, FALSE )</formula>
    </cfRule>
    <cfRule type="expression" dxfId="330" priority="21" stopIfTrue="1">
      <formula>IF( $AF59 = 1, TRUE, FALSE )</formula>
    </cfRule>
  </conditionalFormatting>
  <conditionalFormatting sqref="A62:D65">
    <cfRule type="expression" dxfId="329" priority="16" stopIfTrue="1">
      <formula>IF( $AH62 = 1, TRUE, FALSE )</formula>
    </cfRule>
    <cfRule type="expression" dxfId="328" priority="17" stopIfTrue="1">
      <formula>IF( $AG62 = 1, TRUE, FALSE )</formula>
    </cfRule>
    <cfRule type="expression" dxfId="327" priority="18" stopIfTrue="1">
      <formula>IF( $AF62 = 1, TRUE, FALSE )</formula>
    </cfRule>
  </conditionalFormatting>
  <conditionalFormatting sqref="U8:U12">
    <cfRule type="cellIs" dxfId="326" priority="15" operator="equal">
      <formula>0</formula>
    </cfRule>
  </conditionalFormatting>
  <conditionalFormatting sqref="O8:O12 Q8:Q12">
    <cfRule type="cellIs" dxfId="325" priority="14" operator="equal">
      <formula>0</formula>
    </cfRule>
  </conditionalFormatting>
  <conditionalFormatting sqref="V8:V12">
    <cfRule type="cellIs" dxfId="324" priority="13" operator="equal">
      <formula>0</formula>
    </cfRule>
  </conditionalFormatting>
  <conditionalFormatting sqref="S8:S12">
    <cfRule type="cellIs" dxfId="323" priority="11" operator="equal">
      <formula>0</formula>
    </cfRule>
  </conditionalFormatting>
  <conditionalFormatting sqref="R8:R12">
    <cfRule type="cellIs" dxfId="322" priority="12" operator="equal">
      <formula>0</formula>
    </cfRule>
  </conditionalFormatting>
  <conditionalFormatting sqref="P8:P12">
    <cfRule type="cellIs" dxfId="321" priority="10" operator="equal">
      <formula>0</formula>
    </cfRule>
  </conditionalFormatting>
  <conditionalFormatting sqref="M8:M12">
    <cfRule type="cellIs" dxfId="320" priority="9" operator="equal">
      <formula>0</formula>
    </cfRule>
  </conditionalFormatting>
  <conditionalFormatting sqref="T8:T12">
    <cfRule type="cellIs" dxfId="319" priority="8" operator="equal">
      <formula>0</formula>
    </cfRule>
  </conditionalFormatting>
  <conditionalFormatting sqref="N8:N12">
    <cfRule type="cellIs" dxfId="318" priority="7" operator="equal">
      <formula>0</formula>
    </cfRule>
  </conditionalFormatting>
  <conditionalFormatting sqref="K8:K12">
    <cfRule type="cellIs" dxfId="317" priority="6" operator="equal">
      <formula>0</formula>
    </cfRule>
  </conditionalFormatting>
  <conditionalFormatting sqref="I8:I12">
    <cfRule type="cellIs" dxfId="316" priority="5" operator="equal">
      <formula>0</formula>
    </cfRule>
  </conditionalFormatting>
  <conditionalFormatting sqref="W8:W12">
    <cfRule type="cellIs" dxfId="315" priority="4" operator="equal">
      <formula>0</formula>
    </cfRule>
  </conditionalFormatting>
  <conditionalFormatting sqref="A7">
    <cfRule type="expression" dxfId="314" priority="1" stopIfTrue="1">
      <formula>IF( $AH7 = 1, TRUE, FALSE )</formula>
    </cfRule>
    <cfRule type="expression" dxfId="313" priority="2" stopIfTrue="1">
      <formula>IF( $AG7 = 1, TRUE, FALSE )</formula>
    </cfRule>
    <cfRule type="expression" dxfId="312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82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customWidth="1"/>
    <col min="23" max="23" width="2" style="168" customWidth="1"/>
    <col min="24" max="24" width="4.109375" style="168" bestFit="1" customWidth="1"/>
    <col min="25" max="25" width="5.5546875" style="168" bestFit="1" customWidth="1"/>
    <col min="26" max="26" width="2.44140625" style="168" bestFit="1" customWidth="1"/>
    <col min="27" max="27" width="4.33203125" style="168" bestFit="1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7.88671875" style="169" hidden="1" customWidth="1" outlineLevel="1" collapsed="1"/>
    <col min="37" max="38" width="9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3.441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style="168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-- 2013 Q1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</row>
    <row r="2" spans="1:61" ht="18" hidden="1" outlineLevel="1" x14ac:dyDescent="0.25">
      <c r="A2" s="167"/>
      <c r="E2" s="171" t="str">
        <f>G2</f>
        <v>Reg_Percent_2011</v>
      </c>
      <c r="G2" s="172" t="s">
        <v>414</v>
      </c>
      <c r="AJ2" s="173" t="str">
        <f>AJ4 &amp; AJ3</f>
        <v>'Credit_2012Q4'!a:a</v>
      </c>
      <c r="AK2" s="173" t="str">
        <f>AK4 &amp; AK3</f>
        <v>'Credit_2012Q4'!b1</v>
      </c>
      <c r="AL2" s="173" t="str">
        <f>AL4 &amp; AL3</f>
        <v>'Credit_2012Q4'!c1</v>
      </c>
    </row>
    <row r="3" spans="1:61" ht="18" hidden="1" outlineLevel="1" x14ac:dyDescent="0.25">
      <c r="A3" s="167"/>
      <c r="E3" s="174" t="str">
        <f>"'" &amp; E2 &amp; "'!"</f>
        <v>'Reg_Percent_2011'!</v>
      </c>
      <c r="G3" s="168" t="str">
        <f>"'" &amp; G2 &amp; "'!"</f>
        <v>'Reg_Percent_2011'!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406</v>
      </c>
      <c r="AK3" s="149" t="s">
        <v>206</v>
      </c>
      <c r="AL3" s="149" t="s">
        <v>207</v>
      </c>
    </row>
    <row r="4" spans="1:61" ht="18" hidden="1" outlineLevel="1" x14ac:dyDescent="0.25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6" t="s">
        <v>415</v>
      </c>
      <c r="AK4" s="169" t="str">
        <f>AJ4</f>
        <v>'Credit_2012Q4'!</v>
      </c>
      <c r="AL4" s="169" t="str">
        <f>AK4</f>
        <v>'Credit_2012Q4'!</v>
      </c>
    </row>
    <row r="5" spans="1:61" ht="13.8" collapsed="1" x14ac:dyDescent="0.25">
      <c r="E5" s="176" t="s">
        <v>209</v>
      </c>
      <c r="G5" s="170" t="s">
        <v>199</v>
      </c>
      <c r="I5" s="230"/>
      <c r="J5" s="389" t="s">
        <v>210</v>
      </c>
      <c r="K5" s="230"/>
      <c r="L5" s="391" t="str">
        <f>"All Companies" &amp; CHAR( 10 ) &amp; "("&amp; L14 &amp; ")"</f>
        <v>All Companies
(56)</v>
      </c>
      <c r="M5" s="391"/>
      <c r="N5" s="230"/>
      <c r="O5" s="389" t="str">
        <f ca="1">"Regulated" &amp; CHAR( 10 ) &amp; "(" &amp; O14 &amp; ")"</f>
        <v>Regulated
(36)</v>
      </c>
      <c r="P5" s="393"/>
      <c r="Q5" s="230"/>
      <c r="R5" s="389" t="str">
        <f ca="1">"Mostly Regulated" &amp; CHAR( 10 ) &amp; "(" &amp; R14 &amp; ")"</f>
        <v>Mostly Regulated
(17)</v>
      </c>
      <c r="S5" s="393"/>
      <c r="T5" s="230"/>
      <c r="U5" s="389" t="str">
        <f ca="1">"Diversified" &amp; CHAR( 10 ) &amp; "(" &amp; U14 &amp; ")"</f>
        <v>Diversified
(3)</v>
      </c>
      <c r="V5" s="393"/>
      <c r="W5" s="230"/>
      <c r="AE5" s="177"/>
      <c r="AF5" s="168"/>
      <c r="AG5" s="168"/>
      <c r="AH5" s="168"/>
      <c r="AJ5" s="168"/>
      <c r="AK5" s="168"/>
      <c r="AL5" s="168"/>
      <c r="AM5" s="168"/>
      <c r="AN5" s="168"/>
    </row>
    <row r="6" spans="1:61" ht="28.5" customHeight="1" x14ac:dyDescent="0.25">
      <c r="A6" s="219" t="s">
        <v>212</v>
      </c>
      <c r="B6" s="220" t="s">
        <v>52</v>
      </c>
      <c r="C6" s="249" t="s">
        <v>214</v>
      </c>
      <c r="D6" s="221"/>
      <c r="E6" s="222">
        <v>40908</v>
      </c>
      <c r="I6" s="231"/>
      <c r="J6" s="390"/>
      <c r="K6" s="231"/>
      <c r="L6" s="392"/>
      <c r="M6" s="392"/>
      <c r="N6" s="231"/>
      <c r="O6" s="390"/>
      <c r="P6" s="390"/>
      <c r="Q6" s="231"/>
      <c r="R6" s="390" t="s">
        <v>136</v>
      </c>
      <c r="S6" s="390"/>
      <c r="T6" s="231"/>
      <c r="U6" s="390"/>
      <c r="V6" s="390"/>
      <c r="W6" s="231"/>
      <c r="AE6" s="178"/>
      <c r="AJ6" s="179"/>
    </row>
    <row r="7" spans="1:61" ht="13.8" x14ac:dyDescent="0.25">
      <c r="A7" s="223" t="s">
        <v>293</v>
      </c>
      <c r="B7" s="224" t="s">
        <v>166</v>
      </c>
      <c r="C7" s="224">
        <v>21</v>
      </c>
      <c r="D7" s="224" t="s">
        <v>294</v>
      </c>
      <c r="E7" s="225" t="str">
        <f t="shared" ref="E7:E59" ca="1" si="0">OFFSET( INDIRECT( E$3 &amp; E$4 ), $G7 - 1, 0 )</f>
        <v>R</v>
      </c>
      <c r="F7" s="348"/>
      <c r="G7" s="349">
        <f t="shared" ref="G7:G65" ca="1" si="1">IF( LEN( $D7 ) = 0, "", MATCH( $D7, INDIRECT( G$3 &amp; G$4 ), 0 ) )</f>
        <v>53</v>
      </c>
      <c r="H7" s="350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t="shared" ref="AJ7:AJ67" ca="1" si="4">MATCH( $A7,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5">IF( B7 = AK7, "", "Change" )</f>
        <v/>
      </c>
      <c r="AQ7" s="207" t="s">
        <v>217</v>
      </c>
      <c r="AR7" s="207" t="s">
        <v>140</v>
      </c>
      <c r="AS7" s="207">
        <v>15</v>
      </c>
      <c r="AT7" s="207" t="s">
        <v>218</v>
      </c>
      <c r="AV7" s="168">
        <f>IF( LEN( AS7 ) = 0, 99, RANK( AS7, $AS$7:$AS$63 ) )</f>
        <v>11</v>
      </c>
      <c r="AW7" s="168">
        <f>COUNTIF( AV7:AV$7, AV7 )</f>
        <v>1</v>
      </c>
      <c r="AX7" s="208">
        <f>AV7 + AW7 / 10</f>
        <v>11.1</v>
      </c>
      <c r="AY7" s="168">
        <f>RANK( AX7, $AX$7:$AX$63, 1 )</f>
        <v>11</v>
      </c>
      <c r="AZ7" s="169"/>
      <c r="BA7" s="169"/>
      <c r="BC7" s="168">
        <f t="shared" ref="BC7" ca="1" si="6">OFFSET( BC7, -1, 0 ) + 1</f>
        <v>1</v>
      </c>
      <c r="BD7" s="209">
        <f t="shared" ref="BD7:BD62" ca="1" si="7">MATCH( BC7, $AY$7:$AY$63, 0 )</f>
        <v>47</v>
      </c>
      <c r="BF7" s="173" t="str">
        <f t="shared" ref="BF7:BF38" ca="1" si="8">OFFSET( AQ$6, $BD7, 0 )</f>
        <v>Southern Company</v>
      </c>
      <c r="BG7" s="173" t="str">
        <f t="shared" ref="BG7:BI62" ca="1" si="9">OFFSET( AR$6, $BD7, 0 )</f>
        <v>A</v>
      </c>
      <c r="BH7" s="173">
        <f t="shared" ca="1" si="9"/>
        <v>17</v>
      </c>
      <c r="BI7" s="173" t="str">
        <f t="shared" ca="1" si="9"/>
        <v>SO</v>
      </c>
    </row>
    <row r="8" spans="1:61" ht="13.8" x14ac:dyDescent="0.25">
      <c r="A8" s="223" t="s">
        <v>219</v>
      </c>
      <c r="B8" s="224" t="s">
        <v>139</v>
      </c>
      <c r="C8" s="224">
        <v>20</v>
      </c>
      <c r="D8" s="224" t="s">
        <v>220</v>
      </c>
      <c r="E8" s="225" t="str">
        <f t="shared" ca="1" si="0"/>
        <v>R</v>
      </c>
      <c r="F8" s="348"/>
      <c r="G8" s="349">
        <f t="shared" ca="1" si="1"/>
        <v>8</v>
      </c>
      <c r="H8" s="350"/>
      <c r="I8" s="233"/>
      <c r="J8" s="213" t="s">
        <v>137</v>
      </c>
      <c r="K8" s="233"/>
      <c r="L8" s="213">
        <f t="shared" ref="L8:L13" si="10">COUNTIF($C$7:$C$67,$X8)</f>
        <v>3</v>
      </c>
      <c r="M8" s="214">
        <f t="shared" ref="M8:M13" si="11">IF( L8 = 0, "", L8/L$14 )</f>
        <v>5.3571428571428568E-2</v>
      </c>
      <c r="N8" s="233"/>
      <c r="O8" s="213">
        <f t="shared" ref="O8:O13" ca="1" si="12">COUNTIFS( $E$7:$E$66, O$3, $C$7:$C$66, $X8 )</f>
        <v>2</v>
      </c>
      <c r="P8" s="214">
        <f t="shared" ref="P8:P13" ca="1" si="13">IF( O8 = 0, "", O8/O$14 )</f>
        <v>5.5555555555555552E-2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5.8823529411764705E-2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8">SUM(O8, R8, U8)</f>
        <v>3</v>
      </c>
      <c r="AC8" s="351"/>
      <c r="AE8" s="184"/>
      <c r="AF8" s="169">
        <f t="shared" si="2"/>
        <v>0</v>
      </c>
      <c r="AG8" s="169">
        <f t="shared" ca="1" si="3"/>
        <v>1</v>
      </c>
      <c r="AH8" s="169" t="str">
        <f t="shared" ref="AH8:AH67" ca="1" si="19">IF( LEN( $C8 ) = 0, "", IF( $C8 &lt; $AL8, 1, "" ) )</f>
        <v/>
      </c>
      <c r="AJ8" s="169">
        <f t="shared" ca="1" si="4"/>
        <v>17</v>
      </c>
      <c r="AK8" s="169" t="str">
        <f t="shared" ref="AK8:AL67" ca="1" si="20">IF( ISNA( $AJ8 ), "", OFFSET( INDIRECT( AK$2 ), $AJ8-1, 0 ) )</f>
        <v>BBB+</v>
      </c>
      <c r="AL8" s="169">
        <f t="shared" ca="1" si="20"/>
        <v>19</v>
      </c>
      <c r="AM8" s="169" t="str">
        <f t="shared" ca="1" si="5"/>
        <v>Change</v>
      </c>
      <c r="AQ8" s="207" t="s">
        <v>219</v>
      </c>
      <c r="AR8" s="207" t="s">
        <v>139</v>
      </c>
      <c r="AS8" s="207">
        <v>16</v>
      </c>
      <c r="AT8" s="207" t="s">
        <v>220</v>
      </c>
      <c r="AV8" s="168">
        <f t="shared" ref="AV8:AV63" si="21">IF( LEN( AS8 ) = 0, 99, RANK( AS8, $AS$7:$AS$63 ) )</f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ref="AY8:AY63" si="23">RANK( AX8, $AX$7:$AX$63, 1 )</f>
        <v>2</v>
      </c>
      <c r="AZ8" s="169"/>
      <c r="BA8" s="169"/>
      <c r="BC8" s="168">
        <f ca="1">OFFSET( BC8, -1, 0 ) + 1</f>
        <v>2</v>
      </c>
      <c r="BD8" s="209">
        <f t="shared" ca="1" si="7"/>
        <v>2</v>
      </c>
      <c r="BF8" s="173" t="str">
        <f t="shared" ca="1" si="8"/>
        <v>Alliant Energy Corporation</v>
      </c>
      <c r="BG8" s="173" t="str">
        <f t="shared" ca="1" si="9"/>
        <v>A-</v>
      </c>
      <c r="BH8" s="173">
        <f t="shared" ca="1" si="9"/>
        <v>16</v>
      </c>
      <c r="BI8" s="173" t="str">
        <f t="shared" ca="1" si="9"/>
        <v>LNT</v>
      </c>
    </row>
    <row r="9" spans="1:61" ht="13.8" x14ac:dyDescent="0.25">
      <c r="A9" s="223" t="s">
        <v>227</v>
      </c>
      <c r="B9" s="224" t="s">
        <v>139</v>
      </c>
      <c r="C9" s="224">
        <v>20</v>
      </c>
      <c r="D9" s="224" t="s">
        <v>228</v>
      </c>
      <c r="E9" s="225" t="str">
        <f t="shared" ca="1" si="0"/>
        <v>R</v>
      </c>
      <c r="F9" s="348"/>
      <c r="G9" s="349">
        <f t="shared" ca="1" si="1"/>
        <v>18</v>
      </c>
      <c r="H9" s="350"/>
      <c r="I9" s="234"/>
      <c r="J9" s="215" t="s">
        <v>139</v>
      </c>
      <c r="K9" s="234"/>
      <c r="L9" s="215">
        <f t="shared" si="10"/>
        <v>9</v>
      </c>
      <c r="M9" s="216">
        <f t="shared" si="11"/>
        <v>0.16071428571428573</v>
      </c>
      <c r="N9" s="234"/>
      <c r="O9" s="215">
        <f t="shared" ca="1" si="12"/>
        <v>7</v>
      </c>
      <c r="P9" s="216">
        <f t="shared" ca="1" si="13"/>
        <v>0.19444444444444445</v>
      </c>
      <c r="Q9" s="234"/>
      <c r="R9" s="215">
        <f t="shared" ca="1" si="14"/>
        <v>2</v>
      </c>
      <c r="S9" s="216">
        <f t="shared" ca="1" si="15"/>
        <v>0.11764705882352941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8"/>
        <v>9</v>
      </c>
      <c r="AC9" s="351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9"/>
        <v/>
      </c>
      <c r="AJ9" s="169">
        <f t="shared" ca="1" si="4"/>
        <v>8</v>
      </c>
      <c r="AK9" s="169" t="str">
        <f t="shared" ca="1" si="20"/>
        <v>A-</v>
      </c>
      <c r="AL9" s="169">
        <f t="shared" ca="1" si="20"/>
        <v>20</v>
      </c>
      <c r="AM9" s="169" t="str">
        <f t="shared" ca="1" si="5"/>
        <v/>
      </c>
      <c r="AQ9" s="207" t="s">
        <v>225</v>
      </c>
      <c r="AR9" s="207" t="s">
        <v>141</v>
      </c>
      <c r="AS9" s="207">
        <v>14</v>
      </c>
      <c r="AT9" s="207" t="s">
        <v>226</v>
      </c>
      <c r="AV9" s="168">
        <f t="shared" si="21"/>
        <v>23</v>
      </c>
      <c r="AW9" s="168">
        <f>COUNTIF( AV$7:AV9, AV9 )</f>
        <v>1</v>
      </c>
      <c r="AX9" s="208">
        <f t="shared" si="22"/>
        <v>23.1</v>
      </c>
      <c r="AY9" s="168">
        <f t="shared" si="23"/>
        <v>23</v>
      </c>
      <c r="AZ9" s="169"/>
      <c r="BA9" s="169"/>
      <c r="BC9" s="168">
        <f t="shared" ref="BC9:BC63" ca="1" si="24">OFFSET( BC9, -1, 0 ) + 1</f>
        <v>3</v>
      </c>
      <c r="BD9" s="209">
        <f t="shared" ca="1" si="7"/>
        <v>10</v>
      </c>
      <c r="BF9" s="173" t="str">
        <f t="shared" ca="1" si="8"/>
        <v>Consolidated Edison, Inc.</v>
      </c>
      <c r="BG9" s="173" t="str">
        <f t="shared" ca="1" si="9"/>
        <v>A-</v>
      </c>
      <c r="BH9" s="173">
        <f t="shared" ca="1" si="9"/>
        <v>16</v>
      </c>
      <c r="BI9" s="173" t="str">
        <f t="shared" ca="1" si="9"/>
        <v>ED</v>
      </c>
    </row>
    <row r="10" spans="1:61" ht="13.8" x14ac:dyDescent="0.25">
      <c r="A10" s="223" t="s">
        <v>361</v>
      </c>
      <c r="B10" s="224" t="s">
        <v>139</v>
      </c>
      <c r="C10" s="224">
        <v>20</v>
      </c>
      <c r="D10" s="224" t="s">
        <v>194</v>
      </c>
      <c r="E10" s="225" t="str">
        <f t="shared" ca="1" si="0"/>
        <v>MR</v>
      </c>
      <c r="F10" s="348"/>
      <c r="G10" s="349">
        <f t="shared" ca="1" si="1"/>
        <v>20</v>
      </c>
      <c r="H10" s="350"/>
      <c r="I10" s="234"/>
      <c r="J10" s="215" t="s">
        <v>140</v>
      </c>
      <c r="K10" s="234"/>
      <c r="L10" s="215">
        <f t="shared" si="10"/>
        <v>12</v>
      </c>
      <c r="M10" s="216">
        <f t="shared" si="11"/>
        <v>0.21428571428571427</v>
      </c>
      <c r="N10" s="234"/>
      <c r="O10" s="215">
        <f t="shared" ca="1" si="12"/>
        <v>4</v>
      </c>
      <c r="P10" s="216">
        <f t="shared" ca="1" si="13"/>
        <v>0.1111111111111111</v>
      </c>
      <c r="Q10" s="234"/>
      <c r="R10" s="215">
        <f t="shared" ca="1" si="14"/>
        <v>7</v>
      </c>
      <c r="S10" s="216">
        <f t="shared" ca="1" si="15"/>
        <v>0.41176470588235292</v>
      </c>
      <c r="T10" s="234"/>
      <c r="U10" s="215">
        <f t="shared" ca="1" si="16"/>
        <v>1</v>
      </c>
      <c r="V10" s="216">
        <f t="shared" ca="1" si="17"/>
        <v>0.33333333333333331</v>
      </c>
      <c r="W10" s="234"/>
      <c r="X10" s="186" t="s">
        <v>229</v>
      </c>
      <c r="Y10" s="186">
        <v>19</v>
      </c>
      <c r="Z10" s="186">
        <v>1</v>
      </c>
      <c r="AA10" s="185">
        <f t="shared" ca="1" si="18"/>
        <v>12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4"/>
        <v>9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5"/>
        <v/>
      </c>
      <c r="AQ10" s="207" t="s">
        <v>222</v>
      </c>
      <c r="AR10" s="207" t="s">
        <v>141</v>
      </c>
      <c r="AS10" s="207">
        <v>14</v>
      </c>
      <c r="AT10" s="207" t="s">
        <v>223</v>
      </c>
      <c r="AV10" s="168">
        <f t="shared" si="21"/>
        <v>23</v>
      </c>
      <c r="AW10" s="168">
        <f>COUNTIF( AV$7:AV10, AV10 )</f>
        <v>2</v>
      </c>
      <c r="AX10" s="208">
        <f t="shared" si="22"/>
        <v>23.2</v>
      </c>
      <c r="AY10" s="168">
        <f t="shared" si="23"/>
        <v>24</v>
      </c>
      <c r="AZ10" s="169"/>
      <c r="BA10" s="169"/>
      <c r="BC10" s="168">
        <f t="shared" ca="1" si="24"/>
        <v>4</v>
      </c>
      <c r="BD10" s="209">
        <f t="shared" ca="1" si="7"/>
        <v>11</v>
      </c>
      <c r="BF10" s="173" t="str">
        <f t="shared" ca="1" si="8"/>
        <v>Dominion Resources, Inc.</v>
      </c>
      <c r="BG10" s="173" t="str">
        <f t="shared" ca="1" si="9"/>
        <v>A-</v>
      </c>
      <c r="BH10" s="173">
        <f t="shared" ca="1" si="9"/>
        <v>16</v>
      </c>
      <c r="BI10" s="173" t="str">
        <f t="shared" ca="1" si="9"/>
        <v>D</v>
      </c>
    </row>
    <row r="11" spans="1:61" ht="13.8" x14ac:dyDescent="0.25">
      <c r="A11" s="223" t="s">
        <v>395</v>
      </c>
      <c r="B11" s="224" t="s">
        <v>139</v>
      </c>
      <c r="C11" s="224">
        <v>20</v>
      </c>
      <c r="D11" s="224" t="s">
        <v>396</v>
      </c>
      <c r="E11" s="225" t="str">
        <f t="shared" ca="1" si="0"/>
        <v>R</v>
      </c>
      <c r="F11" s="348"/>
      <c r="G11" s="349">
        <f t="shared" ca="1" si="1"/>
        <v>32</v>
      </c>
      <c r="H11" s="350"/>
      <c r="I11" s="234"/>
      <c r="J11" s="215" t="s">
        <v>141</v>
      </c>
      <c r="K11" s="234"/>
      <c r="L11" s="215">
        <f t="shared" si="10"/>
        <v>19</v>
      </c>
      <c r="M11" s="216">
        <f t="shared" si="11"/>
        <v>0.3392857142857143</v>
      </c>
      <c r="N11" s="234"/>
      <c r="O11" s="215">
        <f t="shared" ca="1" si="12"/>
        <v>16</v>
      </c>
      <c r="P11" s="216">
        <f t="shared" ca="1" si="13"/>
        <v>0.44444444444444442</v>
      </c>
      <c r="Q11" s="234"/>
      <c r="R11" s="215">
        <f t="shared" ca="1" si="14"/>
        <v>3</v>
      </c>
      <c r="S11" s="216">
        <f t="shared" ca="1" si="15"/>
        <v>0.17647058823529413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8"/>
        <v>19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4"/>
        <v>10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5"/>
        <v/>
      </c>
      <c r="AQ11" s="207" t="s">
        <v>238</v>
      </c>
      <c r="AR11" s="207" t="s">
        <v>141</v>
      </c>
      <c r="AS11" s="207">
        <v>14</v>
      </c>
      <c r="AT11" s="207" t="s">
        <v>239</v>
      </c>
      <c r="AV11" s="168">
        <f t="shared" si="21"/>
        <v>23</v>
      </c>
      <c r="AW11" s="168">
        <f>COUNTIF( AV$7:AV11, AV11 )</f>
        <v>3</v>
      </c>
      <c r="AX11" s="208">
        <f t="shared" si="22"/>
        <v>23.3</v>
      </c>
      <c r="AY11" s="168">
        <f t="shared" si="23"/>
        <v>25</v>
      </c>
      <c r="AZ11" s="169"/>
      <c r="BA11" s="169"/>
      <c r="BC11" s="168">
        <f t="shared" ca="1" si="24"/>
        <v>5</v>
      </c>
      <c r="BD11" s="209">
        <f t="shared" ca="1" si="7"/>
        <v>26</v>
      </c>
      <c r="BF11" s="173" t="str">
        <f t="shared" ca="1" si="8"/>
        <v>Integrys Energy Group, Inc.</v>
      </c>
      <c r="BG11" s="173" t="str">
        <f t="shared" ca="1" si="9"/>
        <v>A-</v>
      </c>
      <c r="BH11" s="173">
        <f t="shared" ca="1" si="9"/>
        <v>16</v>
      </c>
      <c r="BI11" s="173" t="str">
        <f t="shared" ca="1" si="9"/>
        <v>TEG</v>
      </c>
    </row>
    <row r="12" spans="1:61" ht="13.8" x14ac:dyDescent="0.25">
      <c r="A12" s="223" t="s">
        <v>240</v>
      </c>
      <c r="B12" s="224" t="s">
        <v>139</v>
      </c>
      <c r="C12" s="224">
        <v>20</v>
      </c>
      <c r="D12" s="224" t="s">
        <v>241</v>
      </c>
      <c r="E12" s="225" t="str">
        <f t="shared" ca="1" si="0"/>
        <v>MR</v>
      </c>
      <c r="F12" s="348"/>
      <c r="G12" s="349">
        <f t="shared" ca="1" si="1"/>
        <v>35</v>
      </c>
      <c r="H12" s="350"/>
      <c r="I12" s="234"/>
      <c r="J12" s="215" t="s">
        <v>142</v>
      </c>
      <c r="K12" s="234"/>
      <c r="L12" s="215">
        <f t="shared" si="10"/>
        <v>9</v>
      </c>
      <c r="M12" s="216">
        <f t="shared" si="11"/>
        <v>0.16071428571428573</v>
      </c>
      <c r="N12" s="234"/>
      <c r="O12" s="215">
        <f t="shared" ca="1" si="12"/>
        <v>4</v>
      </c>
      <c r="P12" s="216">
        <f t="shared" ca="1" si="13"/>
        <v>0.1111111111111111</v>
      </c>
      <c r="Q12" s="234"/>
      <c r="R12" s="215">
        <f t="shared" ca="1" si="14"/>
        <v>4</v>
      </c>
      <c r="S12" s="216">
        <f t="shared" ca="1" si="15"/>
        <v>0.23529411764705882</v>
      </c>
      <c r="T12" s="234"/>
      <c r="U12" s="215">
        <f t="shared" ca="1" si="16"/>
        <v>1</v>
      </c>
      <c r="V12" s="216">
        <f t="shared" ca="1" si="17"/>
        <v>0.33333333333333331</v>
      </c>
      <c r="W12" s="234"/>
      <c r="X12" s="186" t="s">
        <v>237</v>
      </c>
      <c r="Y12" s="186">
        <v>17</v>
      </c>
      <c r="Z12" s="186">
        <v>1</v>
      </c>
      <c r="AA12" s="185">
        <f t="shared" ca="1" si="18"/>
        <v>9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4"/>
        <v>11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5"/>
        <v/>
      </c>
      <c r="AQ12" s="207" t="s">
        <v>245</v>
      </c>
      <c r="AR12" s="207" t="s">
        <v>142</v>
      </c>
      <c r="AS12" s="207">
        <v>13</v>
      </c>
      <c r="AT12" s="207" t="s">
        <v>246</v>
      </c>
      <c r="AV12" s="168">
        <f t="shared" si="21"/>
        <v>42</v>
      </c>
      <c r="AW12" s="168">
        <f>COUNTIF( AV$7:AV12, AV12 )</f>
        <v>1</v>
      </c>
      <c r="AX12" s="208">
        <f t="shared" si="22"/>
        <v>42.1</v>
      </c>
      <c r="AY12" s="168">
        <f t="shared" si="23"/>
        <v>42</v>
      </c>
      <c r="AZ12" s="169"/>
      <c r="BA12" s="169"/>
      <c r="BC12" s="168">
        <f t="shared" ca="1" si="24"/>
        <v>6</v>
      </c>
      <c r="BD12" s="209">
        <f t="shared" ca="1" si="7"/>
        <v>30</v>
      </c>
      <c r="BF12" s="173" t="str">
        <f t="shared" ca="1" si="8"/>
        <v>NextEra Energy, Inc.</v>
      </c>
      <c r="BG12" s="173" t="str">
        <f t="shared" ca="1" si="9"/>
        <v>A-</v>
      </c>
      <c r="BH12" s="173">
        <f t="shared" ca="1" si="9"/>
        <v>16</v>
      </c>
      <c r="BI12" s="173" t="str">
        <f t="shared" ca="1" si="9"/>
        <v>NEE</v>
      </c>
    </row>
    <row r="13" spans="1:61" ht="13.8" x14ac:dyDescent="0.25">
      <c r="A13" s="223" t="s">
        <v>394</v>
      </c>
      <c r="B13" s="224" t="s">
        <v>139</v>
      </c>
      <c r="C13" s="224">
        <v>20</v>
      </c>
      <c r="D13" s="224" t="s">
        <v>236</v>
      </c>
      <c r="E13" s="225" t="str">
        <f t="shared" ca="1" si="0"/>
        <v>R</v>
      </c>
      <c r="F13" s="348"/>
      <c r="G13" s="349">
        <f t="shared" ca="1" si="1"/>
        <v>37</v>
      </c>
      <c r="H13" s="350"/>
      <c r="I13" s="235"/>
      <c r="J13" s="217" t="s">
        <v>143</v>
      </c>
      <c r="K13" s="235"/>
      <c r="L13" s="217">
        <f t="shared" si="10"/>
        <v>4</v>
      </c>
      <c r="M13" s="218">
        <f t="shared" si="11"/>
        <v>7.1428571428571425E-2</v>
      </c>
      <c r="N13" s="235"/>
      <c r="O13" s="217">
        <f t="shared" ca="1" si="12"/>
        <v>3</v>
      </c>
      <c r="P13" s="218">
        <f t="shared" ca="1" si="13"/>
        <v>8.3333333333333329E-2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1</v>
      </c>
      <c r="V13" s="218">
        <f t="shared" ca="1" si="17"/>
        <v>0.33333333333333331</v>
      </c>
      <c r="W13" s="235"/>
      <c r="X13" s="186" t="s">
        <v>242</v>
      </c>
      <c r="Y13" s="186">
        <v>16</v>
      </c>
      <c r="Z13" s="186">
        <v>1</v>
      </c>
      <c r="AA13" s="188">
        <f t="shared" ca="1" si="18"/>
        <v>4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9"/>
        <v/>
      </c>
      <c r="AJ13" s="169">
        <f t="shared" ca="1" si="4"/>
        <v>12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5"/>
        <v/>
      </c>
      <c r="AQ13" s="207" t="s">
        <v>249</v>
      </c>
      <c r="AR13" s="207" t="s">
        <v>140</v>
      </c>
      <c r="AS13" s="207">
        <v>15</v>
      </c>
      <c r="AT13" s="207" t="s">
        <v>250</v>
      </c>
      <c r="AV13" s="168">
        <f t="shared" si="21"/>
        <v>11</v>
      </c>
      <c r="AW13" s="168">
        <f>COUNTIF( AV$7:AV13, AV13 )</f>
        <v>2</v>
      </c>
      <c r="AX13" s="208">
        <f t="shared" si="22"/>
        <v>11.2</v>
      </c>
      <c r="AY13" s="168">
        <f t="shared" si="23"/>
        <v>12</v>
      </c>
      <c r="AZ13" s="169"/>
      <c r="BA13" s="169"/>
      <c r="BC13" s="168">
        <f t="shared" ca="1" si="24"/>
        <v>7</v>
      </c>
      <c r="BD13" s="209">
        <f t="shared" ca="1" si="7"/>
        <v>32</v>
      </c>
      <c r="BF13" s="173" t="str">
        <f t="shared" ca="1" si="8"/>
        <v>Eversource</v>
      </c>
      <c r="BG13" s="173" t="str">
        <f t="shared" ca="1" si="9"/>
        <v>A-</v>
      </c>
      <c r="BH13" s="173">
        <f t="shared" ca="1" si="9"/>
        <v>16</v>
      </c>
      <c r="BI13" s="173" t="str">
        <f t="shared" ca="1" si="9"/>
        <v>ES</v>
      </c>
    </row>
    <row r="14" spans="1:61" ht="13.8" x14ac:dyDescent="0.25">
      <c r="A14" s="223" t="s">
        <v>345</v>
      </c>
      <c r="B14" s="224" t="s">
        <v>139</v>
      </c>
      <c r="C14" s="224">
        <v>20</v>
      </c>
      <c r="D14" s="224" t="s">
        <v>346</v>
      </c>
      <c r="E14" s="225" t="str">
        <f t="shared" ca="1" si="0"/>
        <v>R</v>
      </c>
      <c r="F14" s="348"/>
      <c r="G14" s="349">
        <f t="shared" ca="1" si="1"/>
        <v>58</v>
      </c>
      <c r="H14" s="350"/>
      <c r="I14" s="236"/>
      <c r="J14" s="211" t="s">
        <v>144</v>
      </c>
      <c r="K14" s="236"/>
      <c r="L14" s="211">
        <f>SUM(L8:L13)</f>
        <v>56</v>
      </c>
      <c r="M14" s="212">
        <f>L14/L$14</f>
        <v>1</v>
      </c>
      <c r="N14" s="236"/>
      <c r="O14" s="211">
        <f ca="1">SUM(O8:O13)</f>
        <v>36</v>
      </c>
      <c r="P14" s="212">
        <f ca="1">O14/O$14</f>
        <v>1</v>
      </c>
      <c r="Q14" s="236"/>
      <c r="R14" s="211">
        <f ca="1">SUM(R8:R13)</f>
        <v>17</v>
      </c>
      <c r="S14" s="212">
        <f ca="1">R14/R$14</f>
        <v>1</v>
      </c>
      <c r="T14" s="236"/>
      <c r="U14" s="211">
        <f ca="1">SUM(U8:U13)</f>
        <v>3</v>
      </c>
      <c r="V14" s="212">
        <f ca="1">U14/U$14</f>
        <v>1</v>
      </c>
      <c r="W14" s="236"/>
      <c r="Y14" s="190">
        <f>SUMPRODUCT( L8:L13, Y8:Y13 ) / L14</f>
        <v>18.392857142857142</v>
      </c>
      <c r="Z14" s="190"/>
      <c r="AA14" s="189">
        <f ca="1">SUM(AA8:AA13)</f>
        <v>56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4"/>
        <v>13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5"/>
        <v/>
      </c>
      <c r="AQ14" s="207" t="s">
        <v>254</v>
      </c>
      <c r="AR14" s="207" t="s">
        <v>141</v>
      </c>
      <c r="AS14" s="207">
        <v>14</v>
      </c>
      <c r="AT14" s="207" t="s">
        <v>378</v>
      </c>
      <c r="AV14" s="168">
        <f>IF( LEN( AS14 ) = 0, 99, RANK( AS14, $AS$7:$AS$63 ) )</f>
        <v>23</v>
      </c>
      <c r="AW14" s="168">
        <f>COUNTIF( AV$7:AV14, AV14 )</f>
        <v>4</v>
      </c>
      <c r="AX14" s="208">
        <f t="shared" si="22"/>
        <v>23.4</v>
      </c>
      <c r="AY14" s="168">
        <f t="shared" si="23"/>
        <v>26</v>
      </c>
      <c r="AZ14" s="169"/>
      <c r="BA14" s="169"/>
      <c r="BC14" s="168">
        <f t="shared" ca="1" si="24"/>
        <v>8</v>
      </c>
      <c r="BD14" s="209">
        <f t="shared" ca="1" si="7"/>
        <v>50</v>
      </c>
      <c r="BF14" s="173" t="str">
        <f t="shared" ca="1" si="8"/>
        <v>Vectren Corporation</v>
      </c>
      <c r="BG14" s="173" t="str">
        <f t="shared" ca="1" si="9"/>
        <v>A-</v>
      </c>
      <c r="BH14" s="173">
        <f t="shared" ca="1" si="9"/>
        <v>16</v>
      </c>
      <c r="BI14" s="173" t="str">
        <f t="shared" ca="1" si="9"/>
        <v>VVC</v>
      </c>
    </row>
    <row r="15" spans="1:61" ht="13.8" x14ac:dyDescent="0.25">
      <c r="A15" s="223" t="s">
        <v>247</v>
      </c>
      <c r="B15" s="224" t="s">
        <v>139</v>
      </c>
      <c r="C15" s="224">
        <v>20</v>
      </c>
      <c r="D15" s="224" t="s">
        <v>248</v>
      </c>
      <c r="E15" s="225" t="str">
        <f t="shared" ca="1" si="0"/>
        <v>R</v>
      </c>
      <c r="F15" s="348"/>
      <c r="G15" s="349">
        <f t="shared" ca="1" si="1"/>
        <v>60</v>
      </c>
      <c r="H15" s="350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9"/>
        <v/>
      </c>
      <c r="AJ15" s="169">
        <f t="shared" ca="1" si="4"/>
        <v>14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5"/>
        <v/>
      </c>
      <c r="AQ15" s="207" t="s">
        <v>256</v>
      </c>
      <c r="AR15" s="207" t="s">
        <v>141</v>
      </c>
      <c r="AS15" s="207">
        <v>14</v>
      </c>
      <c r="AT15" s="207" t="s">
        <v>257</v>
      </c>
      <c r="AV15" s="168">
        <f t="shared" si="21"/>
        <v>23</v>
      </c>
      <c r="AW15" s="168">
        <f>COUNTIF( AV$7:AV15, AV15 )</f>
        <v>5</v>
      </c>
      <c r="AX15" s="208">
        <f t="shared" si="22"/>
        <v>23.5</v>
      </c>
      <c r="AY15" s="168">
        <f t="shared" si="23"/>
        <v>27</v>
      </c>
      <c r="AZ15" s="169"/>
      <c r="BA15" s="169"/>
      <c r="BC15" s="168">
        <f t="shared" ca="1" si="24"/>
        <v>9</v>
      </c>
      <c r="BD15" s="209">
        <f t="shared" ca="1" si="7"/>
        <v>52</v>
      </c>
      <c r="BF15" s="173" t="str">
        <f t="shared" ca="1" si="8"/>
        <v>Wisconsin Energy Corporation</v>
      </c>
      <c r="BG15" s="173" t="str">
        <f t="shared" ca="1" si="9"/>
        <v>A-</v>
      </c>
      <c r="BH15" s="173">
        <f t="shared" ca="1" si="9"/>
        <v>16</v>
      </c>
      <c r="BI15" s="173" t="str">
        <f t="shared" ca="1" si="9"/>
        <v>WEC</v>
      </c>
    </row>
    <row r="16" spans="1:61" ht="13.8" x14ac:dyDescent="0.25">
      <c r="A16" s="223" t="s">
        <v>251</v>
      </c>
      <c r="B16" s="224" t="s">
        <v>139</v>
      </c>
      <c r="C16" s="224">
        <v>20</v>
      </c>
      <c r="D16" s="224" t="s">
        <v>252</v>
      </c>
      <c r="E16" s="225" t="str">
        <f t="shared" ca="1" si="0"/>
        <v>R</v>
      </c>
      <c r="F16" s="348"/>
      <c r="G16" s="349">
        <f t="shared" ca="1" si="1"/>
        <v>61</v>
      </c>
      <c r="H16" s="350"/>
      <c r="I16" s="232"/>
      <c r="J16" s="210" t="s">
        <v>253</v>
      </c>
      <c r="K16" s="232"/>
      <c r="L16" s="386">
        <f t="array" ref="L16">SUM( IF( LEN( $C$7:$C$65 ) = 0, 0, $C$7:$C$65 ) ) / SUM( IF( LEN( $C$7:$C$65 ) = 0, 0, 1  ) )</f>
        <v>18.285714285714285</v>
      </c>
      <c r="M16" s="387"/>
      <c r="N16" s="232"/>
      <c r="O16" s="386">
        <f t="array" aca="1" ref="O16" ca="1">SUM( IF( LEN( $C$7:$C$65 ) = 0, 0, IF( $E$7:$E$65 = O3, $C$7:$C$65, 0 ) ) ) / SUM( IF( LEN( $C$7:$C$65 ) = 0, 0, IF( $E$7:$E$65 = O3, 1, 0 ) ) )</f>
        <v>18.361111111111111</v>
      </c>
      <c r="P16" s="387"/>
      <c r="Q16" s="232"/>
      <c r="R16" s="386">
        <f t="array" aca="1" ref="R16" ca="1">SUM( IF( LEN( $C$7:$C$65 ) = 0, 0, IF( $E$7:$E$65 = R3, $C$7:$C$65, 0 ) ) ) / SUM( IF( LEN( $C$7:$C$65 ) = 0, 0, IF( $E$7:$E$65 = R3, 1, 0 ) ) )</f>
        <v>18.705882352941178</v>
      </c>
      <c r="S16" s="387"/>
      <c r="T16" s="232"/>
      <c r="U16" s="386">
        <f t="array" aca="1" ref="U16" ca="1">SUM( IF( LEN( $C$7:$C$65 ) = 0, 0, IF( $E$7:$E$65 = U3, $C$7:$C$65, 0 ) ) ) / SUM( IF( LEN( $C$7:$C$65 ) = 0, 0, IF( $E$7:$E$65 = U3, 1, 0 ) ) )</f>
        <v>15</v>
      </c>
      <c r="V16" s="388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9"/>
        <v/>
      </c>
      <c r="AJ16" s="169">
        <f t="shared" ca="1" si="4"/>
        <v>15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5"/>
        <v/>
      </c>
      <c r="AQ16" s="207" t="s">
        <v>227</v>
      </c>
      <c r="AR16" s="207" t="s">
        <v>139</v>
      </c>
      <c r="AS16" s="207">
        <v>16</v>
      </c>
      <c r="AT16" s="207" t="s">
        <v>228</v>
      </c>
      <c r="AV16" s="168">
        <f t="shared" si="21"/>
        <v>2</v>
      </c>
      <c r="AW16" s="168">
        <f>COUNTIF( AV$7:AV16, AV16 )</f>
        <v>2</v>
      </c>
      <c r="AX16" s="208">
        <f t="shared" si="22"/>
        <v>2.2000000000000002</v>
      </c>
      <c r="AY16" s="168">
        <f t="shared" si="23"/>
        <v>3</v>
      </c>
      <c r="AZ16" s="169"/>
      <c r="BA16" s="169"/>
      <c r="BC16" s="168">
        <f t="shared" ca="1" si="24"/>
        <v>10</v>
      </c>
      <c r="BD16" s="209">
        <f t="shared" ca="1" si="7"/>
        <v>53</v>
      </c>
      <c r="BF16" s="173" t="str">
        <f t="shared" ca="1" si="8"/>
        <v>Xcel Energy Inc.</v>
      </c>
      <c r="BG16" s="173" t="str">
        <f t="shared" ca="1" si="9"/>
        <v>A-</v>
      </c>
      <c r="BH16" s="173">
        <f t="shared" ca="1" si="9"/>
        <v>16</v>
      </c>
      <c r="BI16" s="173" t="str">
        <f t="shared" ca="1" si="9"/>
        <v>XEL</v>
      </c>
    </row>
    <row r="17" spans="1:61" ht="13.8" x14ac:dyDescent="0.25">
      <c r="A17" s="223" t="s">
        <v>217</v>
      </c>
      <c r="B17" s="224" t="s">
        <v>140</v>
      </c>
      <c r="C17" s="224">
        <v>19</v>
      </c>
      <c r="D17" s="224" t="s">
        <v>218</v>
      </c>
      <c r="E17" s="225" t="str">
        <f t="shared" ca="1" si="0"/>
        <v>R</v>
      </c>
      <c r="F17" s="348"/>
      <c r="G17" s="349">
        <f t="shared" ca="1" si="1"/>
        <v>7</v>
      </c>
      <c r="H17" s="350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1</v>
      </c>
      <c r="AG17" s="169" t="str">
        <f t="shared" ca="1" si="3"/>
        <v/>
      </c>
      <c r="AH17" s="169" t="str">
        <f t="shared" ca="1" si="19"/>
        <v/>
      </c>
      <c r="AJ17" s="169">
        <f t="shared" ca="1" si="4"/>
        <v>16</v>
      </c>
      <c r="AK17" s="169" t="str">
        <f t="shared" ca="1" si="20"/>
        <v>BBB+</v>
      </c>
      <c r="AL17" s="169">
        <f t="shared" ca="1" si="20"/>
        <v>19</v>
      </c>
      <c r="AM17" s="169" t="str">
        <f t="shared" ca="1" si="5"/>
        <v/>
      </c>
      <c r="AQ17" s="207" t="s">
        <v>361</v>
      </c>
      <c r="AR17" s="207" t="s">
        <v>139</v>
      </c>
      <c r="AS17" s="207">
        <v>16</v>
      </c>
      <c r="AT17" s="207" t="s">
        <v>194</v>
      </c>
      <c r="AV17" s="168">
        <f t="shared" si="21"/>
        <v>2</v>
      </c>
      <c r="AW17" s="168">
        <f>COUNTIF( AV$7:AV17, AV17 )</f>
        <v>3</v>
      </c>
      <c r="AX17" s="208">
        <f t="shared" si="22"/>
        <v>2.2999999999999998</v>
      </c>
      <c r="AY17" s="168">
        <f t="shared" si="23"/>
        <v>4</v>
      </c>
      <c r="AZ17" s="169"/>
      <c r="BA17" s="169"/>
      <c r="BC17" s="168">
        <f t="shared" ca="1" si="24"/>
        <v>11</v>
      </c>
      <c r="BD17" s="209">
        <f t="shared" ca="1" si="7"/>
        <v>1</v>
      </c>
      <c r="BF17" s="173" t="str">
        <f t="shared" ca="1" si="8"/>
        <v>ALLETE, Inc.</v>
      </c>
      <c r="BG17" s="173" t="str">
        <f t="shared" ca="1" si="9"/>
        <v>BBB+</v>
      </c>
      <c r="BH17" s="173">
        <f t="shared" ca="1" si="9"/>
        <v>15</v>
      </c>
      <c r="BI17" s="173" t="str">
        <f t="shared" ca="1" si="9"/>
        <v>ALE</v>
      </c>
    </row>
    <row r="18" spans="1:61" ht="13.8" x14ac:dyDescent="0.25">
      <c r="A18" s="223" t="s">
        <v>249</v>
      </c>
      <c r="B18" s="224" t="s">
        <v>140</v>
      </c>
      <c r="C18" s="224">
        <v>19</v>
      </c>
      <c r="D18" s="224" t="s">
        <v>250</v>
      </c>
      <c r="E18" s="225" t="str">
        <f t="shared" ca="1" si="0"/>
        <v>MR</v>
      </c>
      <c r="F18" s="348"/>
      <c r="G18" s="349">
        <f t="shared" ca="1" si="1"/>
        <v>13</v>
      </c>
      <c r="H18" s="350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1</v>
      </c>
      <c r="AG18" s="169" t="str">
        <f t="shared" ca="1" si="3"/>
        <v/>
      </c>
      <c r="AH18" s="169" t="str">
        <f t="shared" ca="1" si="19"/>
        <v/>
      </c>
      <c r="AJ18" s="169">
        <f t="shared" ca="1" si="4"/>
        <v>18</v>
      </c>
      <c r="AK18" s="169" t="str">
        <f t="shared" ca="1" si="20"/>
        <v>BBB+</v>
      </c>
      <c r="AL18" s="169">
        <f t="shared" ca="1" si="20"/>
        <v>19</v>
      </c>
      <c r="AM18" s="169" t="str">
        <f t="shared" ca="1" si="5"/>
        <v/>
      </c>
      <c r="AQ18" s="207" t="s">
        <v>259</v>
      </c>
      <c r="AR18" s="207" t="s">
        <v>175</v>
      </c>
      <c r="AS18" s="207">
        <v>11</v>
      </c>
      <c r="AT18" s="207" t="s">
        <v>260</v>
      </c>
      <c r="AV18" s="168">
        <f t="shared" si="21"/>
        <v>52</v>
      </c>
      <c r="AW18" s="168">
        <f>COUNTIF( AV$7:AV18, AV18 )</f>
        <v>1</v>
      </c>
      <c r="AX18" s="208">
        <f t="shared" si="22"/>
        <v>52.1</v>
      </c>
      <c r="AY18" s="168">
        <f t="shared" si="23"/>
        <v>52</v>
      </c>
      <c r="AZ18" s="169"/>
      <c r="BA18" s="169"/>
      <c r="BC18" s="168">
        <f t="shared" ca="1" si="24"/>
        <v>12</v>
      </c>
      <c r="BD18" s="209">
        <f t="shared" ca="1" si="7"/>
        <v>7</v>
      </c>
      <c r="BF18" s="173" t="str">
        <f t="shared" ca="1" si="8"/>
        <v>CenterPoint Energy, Inc.</v>
      </c>
      <c r="BG18" s="173" t="str">
        <f t="shared" ca="1" si="9"/>
        <v>BBB+</v>
      </c>
      <c r="BH18" s="173">
        <f t="shared" ca="1" si="9"/>
        <v>15</v>
      </c>
      <c r="BI18" s="173" t="str">
        <f t="shared" ca="1" si="9"/>
        <v>CNP</v>
      </c>
    </row>
    <row r="19" spans="1:61" ht="13.8" x14ac:dyDescent="0.25">
      <c r="A19" s="223" t="s">
        <v>261</v>
      </c>
      <c r="B19" s="224" t="s">
        <v>140</v>
      </c>
      <c r="C19" s="224">
        <v>19</v>
      </c>
      <c r="D19" s="224" t="s">
        <v>262</v>
      </c>
      <c r="E19" s="225" t="str">
        <f t="shared" ca="1" si="0"/>
        <v>R</v>
      </c>
      <c r="F19" s="348"/>
      <c r="G19" s="349">
        <f t="shared" ca="1" si="1"/>
        <v>21</v>
      </c>
      <c r="H19" s="350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9"/>
        <v/>
      </c>
      <c r="AJ19" s="169">
        <f t="shared" ca="1" si="4"/>
        <v>19</v>
      </c>
      <c r="AK19" s="169" t="str">
        <f t="shared" ca="1" si="20"/>
        <v>BBB+</v>
      </c>
      <c r="AL19" s="169">
        <f t="shared" ca="1" si="20"/>
        <v>19</v>
      </c>
      <c r="AM19" s="169" t="str">
        <f t="shared" ca="1" si="5"/>
        <v/>
      </c>
      <c r="AQ19" s="207" t="s">
        <v>261</v>
      </c>
      <c r="AR19" s="207" t="s">
        <v>140</v>
      </c>
      <c r="AS19" s="207">
        <v>15</v>
      </c>
      <c r="AT19" s="207" t="s">
        <v>262</v>
      </c>
      <c r="AV19" s="168">
        <f t="shared" si="21"/>
        <v>11</v>
      </c>
      <c r="AW19" s="168">
        <f>COUNTIF( AV$7:AV19, AV19 )</f>
        <v>3</v>
      </c>
      <c r="AX19" s="208">
        <f t="shared" si="22"/>
        <v>11.3</v>
      </c>
      <c r="AY19" s="168">
        <f t="shared" si="23"/>
        <v>13</v>
      </c>
      <c r="AZ19" s="169"/>
      <c r="BA19" s="169"/>
      <c r="BC19" s="168">
        <f t="shared" ca="1" si="24"/>
        <v>13</v>
      </c>
      <c r="BD19" s="209">
        <f t="shared" ca="1" si="7"/>
        <v>13</v>
      </c>
      <c r="BF19" s="173" t="str">
        <f t="shared" ca="1" si="8"/>
        <v>DTE Energy Company</v>
      </c>
      <c r="BG19" s="173" t="str">
        <f t="shared" ca="1" si="9"/>
        <v>BBB+</v>
      </c>
      <c r="BH19" s="173">
        <f t="shared" ca="1" si="9"/>
        <v>15</v>
      </c>
      <c r="BI19" s="173" t="str">
        <f t="shared" ca="1" si="9"/>
        <v>DTE</v>
      </c>
    </row>
    <row r="20" spans="1:61" ht="13.8" x14ac:dyDescent="0.25">
      <c r="A20" s="223" t="s">
        <v>263</v>
      </c>
      <c r="B20" s="224" t="s">
        <v>140</v>
      </c>
      <c r="C20" s="224">
        <v>19</v>
      </c>
      <c r="D20" s="224" t="s">
        <v>264</v>
      </c>
      <c r="E20" s="225" t="str">
        <f t="shared" ca="1" si="0"/>
        <v>MR</v>
      </c>
      <c r="F20" s="348"/>
      <c r="G20" s="349">
        <f t="shared" ca="1" si="1"/>
        <v>22</v>
      </c>
      <c r="H20" s="350"/>
      <c r="I20" s="352"/>
      <c r="K20" s="352"/>
      <c r="N20" s="352"/>
      <c r="O20" s="173"/>
      <c r="Q20" s="352"/>
      <c r="T20" s="352"/>
      <c r="W20" s="352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9"/>
        <v/>
      </c>
      <c r="AJ20" s="169">
        <f t="shared" ca="1" si="4"/>
        <v>20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5"/>
        <v/>
      </c>
      <c r="AQ20" s="207" t="s">
        <v>263</v>
      </c>
      <c r="AR20" s="207" t="s">
        <v>140</v>
      </c>
      <c r="AS20" s="207">
        <v>15</v>
      </c>
      <c r="AT20" s="207" t="s">
        <v>264</v>
      </c>
      <c r="AV20" s="168">
        <f t="shared" si="21"/>
        <v>11</v>
      </c>
      <c r="AW20" s="168">
        <f>COUNTIF( AV$7:AV20, AV20 )</f>
        <v>4</v>
      </c>
      <c r="AX20" s="208">
        <f t="shared" si="22"/>
        <v>11.4</v>
      </c>
      <c r="AY20" s="168">
        <f t="shared" si="23"/>
        <v>14</v>
      </c>
      <c r="AZ20" s="169"/>
      <c r="BA20" s="169"/>
      <c r="BC20" s="168">
        <f t="shared" ca="1" si="24"/>
        <v>14</v>
      </c>
      <c r="BD20" s="209">
        <f t="shared" ca="1" si="7"/>
        <v>14</v>
      </c>
      <c r="BF20" s="173" t="str">
        <f t="shared" ca="1" si="8"/>
        <v>Duke Energy Corporation</v>
      </c>
      <c r="BG20" s="173" t="str">
        <f t="shared" ca="1" si="9"/>
        <v>BBB+</v>
      </c>
      <c r="BH20" s="173">
        <f t="shared" ca="1" si="9"/>
        <v>15</v>
      </c>
      <c r="BI20" s="173" t="str">
        <f t="shared" ca="1" si="9"/>
        <v>DUK</v>
      </c>
    </row>
    <row r="21" spans="1:61" ht="13.8" x14ac:dyDescent="0.25">
      <c r="A21" s="223" t="s">
        <v>271</v>
      </c>
      <c r="B21" s="224" t="s">
        <v>140</v>
      </c>
      <c r="C21" s="224">
        <v>19</v>
      </c>
      <c r="D21" s="224" t="s">
        <v>272</v>
      </c>
      <c r="E21" s="225" t="str">
        <f t="shared" ca="1" si="0"/>
        <v>D</v>
      </c>
      <c r="F21" s="348"/>
      <c r="G21" s="349">
        <f t="shared" ca="1" si="1"/>
        <v>33</v>
      </c>
      <c r="H21" s="350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9"/>
        <v/>
      </c>
      <c r="AJ21" s="169">
        <f t="shared" ca="1" si="4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5"/>
        <v/>
      </c>
      <c r="AQ21" s="207" t="s">
        <v>265</v>
      </c>
      <c r="AR21" s="207" t="s">
        <v>142</v>
      </c>
      <c r="AS21" s="207">
        <v>13</v>
      </c>
      <c r="AT21" s="207" t="s">
        <v>266</v>
      </c>
      <c r="AV21" s="168">
        <f t="shared" si="21"/>
        <v>42</v>
      </c>
      <c r="AW21" s="168">
        <f>COUNTIF( AV$7:AV21, AV21 )</f>
        <v>2</v>
      </c>
      <c r="AX21" s="208">
        <f t="shared" si="22"/>
        <v>42.2</v>
      </c>
      <c r="AY21" s="168">
        <f t="shared" si="23"/>
        <v>43</v>
      </c>
      <c r="AZ21" s="169"/>
      <c r="BA21" s="169"/>
      <c r="BC21" s="168">
        <f t="shared" ca="1" si="24"/>
        <v>15</v>
      </c>
      <c r="BD21" s="209">
        <f t="shared" ca="1" si="7"/>
        <v>28</v>
      </c>
      <c r="BF21" s="173" t="str">
        <f t="shared" ca="1" si="8"/>
        <v>MDU Resources Group, Inc.</v>
      </c>
      <c r="BG21" s="173" t="str">
        <f t="shared" ca="1" si="9"/>
        <v>BBB+</v>
      </c>
      <c r="BH21" s="173">
        <f t="shared" ca="1" si="9"/>
        <v>15</v>
      </c>
      <c r="BI21" s="173" t="str">
        <f t="shared" ca="1" si="9"/>
        <v>MDU</v>
      </c>
    </row>
    <row r="22" spans="1:61" ht="13.8" x14ac:dyDescent="0.25">
      <c r="A22" s="223" t="s">
        <v>408</v>
      </c>
      <c r="B22" s="224" t="s">
        <v>140</v>
      </c>
      <c r="C22" s="224">
        <v>19</v>
      </c>
      <c r="D22" s="224" t="s">
        <v>216</v>
      </c>
      <c r="E22" s="225" t="str">
        <f t="shared" ca="1" si="0"/>
        <v>MR</v>
      </c>
      <c r="F22" s="348"/>
      <c r="G22" s="349">
        <f t="shared" ca="1" si="1"/>
        <v>67</v>
      </c>
      <c r="H22" s="350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4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5"/>
        <v/>
      </c>
      <c r="AQ22" s="207" t="s">
        <v>328</v>
      </c>
      <c r="AR22" s="207" t="s">
        <v>141</v>
      </c>
      <c r="AS22" s="207">
        <v>14</v>
      </c>
      <c r="AT22" s="207" t="s">
        <v>331</v>
      </c>
      <c r="AV22" s="168">
        <f t="shared" si="21"/>
        <v>23</v>
      </c>
      <c r="AW22" s="168">
        <f>COUNTIF( AV$7:AV22, AV22 )</f>
        <v>6</v>
      </c>
      <c r="AX22" s="208">
        <f t="shared" si="22"/>
        <v>23.6</v>
      </c>
      <c r="AY22" s="168">
        <f t="shared" si="23"/>
        <v>28</v>
      </c>
      <c r="AZ22" s="169"/>
      <c r="BA22" s="169"/>
      <c r="BC22" s="168">
        <f t="shared" ca="1" si="24"/>
        <v>16</v>
      </c>
      <c r="BD22" s="209">
        <f t="shared" ca="1" si="7"/>
        <v>29</v>
      </c>
      <c r="BF22" s="173" t="str">
        <f t="shared" ca="1" si="8"/>
        <v>MidAmerican Energy Holdings Company</v>
      </c>
      <c r="BG22" s="173" t="str">
        <f t="shared" ca="1" si="9"/>
        <v>BBB+</v>
      </c>
      <c r="BH22" s="173">
        <f t="shared" ca="1" si="9"/>
        <v>15</v>
      </c>
      <c r="BI22" s="173" t="str">
        <f t="shared" ca="1" si="9"/>
        <v>**BRK</v>
      </c>
    </row>
    <row r="23" spans="1:61" ht="13.8" x14ac:dyDescent="0.25">
      <c r="A23" s="223" t="s">
        <v>277</v>
      </c>
      <c r="B23" s="224" t="s">
        <v>140</v>
      </c>
      <c r="C23" s="224">
        <v>19</v>
      </c>
      <c r="D23" s="224" t="s">
        <v>278</v>
      </c>
      <c r="E23" s="225" t="str">
        <f t="shared" ca="1" si="0"/>
        <v>MR</v>
      </c>
      <c r="F23" s="348"/>
      <c r="G23" s="349">
        <f t="shared" ca="1" si="1"/>
        <v>41</v>
      </c>
      <c r="H23" s="350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4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5"/>
        <v/>
      </c>
      <c r="AQ23" s="207" t="s">
        <v>367</v>
      </c>
      <c r="AR23" s="207" t="s">
        <v>141</v>
      </c>
      <c r="AS23" s="207">
        <v>14</v>
      </c>
      <c r="AT23" s="207" t="s">
        <v>368</v>
      </c>
      <c r="AV23" s="168">
        <f t="shared" si="21"/>
        <v>23</v>
      </c>
      <c r="AW23" s="168">
        <f>COUNTIF( AV$7:AV23, AV23 )</f>
        <v>7</v>
      </c>
      <c r="AX23" s="208">
        <f t="shared" si="22"/>
        <v>23.7</v>
      </c>
      <c r="AY23" s="168">
        <f t="shared" si="23"/>
        <v>29</v>
      </c>
      <c r="AZ23" s="169"/>
      <c r="BA23" s="169"/>
      <c r="BC23" s="168">
        <f t="shared" ca="1" si="24"/>
        <v>17</v>
      </c>
      <c r="BD23" s="209">
        <f t="shared" ca="1" si="7"/>
        <v>35</v>
      </c>
      <c r="BF23" s="173" t="str">
        <f t="shared" ca="1" si="8"/>
        <v>OGE Energy Corp.</v>
      </c>
      <c r="BG23" s="173" t="str">
        <f t="shared" ca="1" si="9"/>
        <v>BBB+</v>
      </c>
      <c r="BH23" s="173">
        <f t="shared" ca="1" si="9"/>
        <v>15</v>
      </c>
      <c r="BI23" s="173" t="str">
        <f t="shared" ca="1" si="9"/>
        <v>OGE</v>
      </c>
    </row>
    <row r="24" spans="1:61" ht="13.8" x14ac:dyDescent="0.25">
      <c r="A24" s="223" t="s">
        <v>382</v>
      </c>
      <c r="B24" s="224" t="s">
        <v>140</v>
      </c>
      <c r="C24" s="224">
        <v>19</v>
      </c>
      <c r="D24" s="224" t="s">
        <v>383</v>
      </c>
      <c r="E24" s="225" t="str">
        <f t="shared" ca="1" si="0"/>
        <v>MR</v>
      </c>
      <c r="F24" s="348"/>
      <c r="G24" s="349">
        <f t="shared" ca="1" si="1"/>
        <v>43</v>
      </c>
      <c r="H24" s="350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4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5"/>
        <v/>
      </c>
      <c r="AQ24" s="207" t="s">
        <v>371</v>
      </c>
      <c r="AR24" s="207" t="s">
        <v>187</v>
      </c>
      <c r="AS24" s="207">
        <v>5</v>
      </c>
      <c r="AT24" s="207" t="s">
        <v>359</v>
      </c>
      <c r="AV24" s="168">
        <f t="shared" si="21"/>
        <v>53</v>
      </c>
      <c r="AW24" s="168">
        <f>COUNTIF( AV$7:AV24, AV24 )</f>
        <v>1</v>
      </c>
      <c r="AX24" s="208">
        <f t="shared" si="22"/>
        <v>53.1</v>
      </c>
      <c r="AY24" s="168">
        <f t="shared" si="23"/>
        <v>53</v>
      </c>
      <c r="AZ24" s="169"/>
      <c r="BA24" s="169"/>
      <c r="BC24" s="168">
        <f t="shared" ca="1" si="24"/>
        <v>18</v>
      </c>
      <c r="BD24" s="209">
        <f t="shared" ca="1" si="7"/>
        <v>37</v>
      </c>
      <c r="BF24" s="173" t="str">
        <f t="shared" ca="1" si="8"/>
        <v>Pepco Holdings, Inc.</v>
      </c>
      <c r="BG24" s="173" t="str">
        <f t="shared" ca="1" si="9"/>
        <v>BBB+</v>
      </c>
      <c r="BH24" s="173">
        <f t="shared" ca="1" si="9"/>
        <v>15</v>
      </c>
      <c r="BI24" s="173" t="str">
        <f t="shared" ca="1" si="9"/>
        <v>POM</v>
      </c>
    </row>
    <row r="25" spans="1:61" ht="13.8" x14ac:dyDescent="0.25">
      <c r="A25" s="223" t="s">
        <v>281</v>
      </c>
      <c r="B25" s="224" t="s">
        <v>140</v>
      </c>
      <c r="C25" s="224">
        <v>19</v>
      </c>
      <c r="D25" s="224" t="s">
        <v>282</v>
      </c>
      <c r="E25" s="225" t="str">
        <f t="shared" ca="1" si="0"/>
        <v>R</v>
      </c>
      <c r="F25" s="348"/>
      <c r="G25" s="349">
        <f t="shared" ca="1" si="1"/>
        <v>45</v>
      </c>
      <c r="H25" s="350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9"/>
        <v/>
      </c>
      <c r="AJ25" s="169">
        <f t="shared" ca="1" si="4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5"/>
        <v/>
      </c>
      <c r="AQ25" s="207" t="s">
        <v>267</v>
      </c>
      <c r="AR25" s="207" t="s">
        <v>141</v>
      </c>
      <c r="AS25" s="207">
        <v>14</v>
      </c>
      <c r="AT25" s="207" t="s">
        <v>268</v>
      </c>
      <c r="AV25" s="168">
        <f t="shared" si="21"/>
        <v>23</v>
      </c>
      <c r="AW25" s="168">
        <f>COUNTIF( AV$7:AV25, AV25 )</f>
        <v>8</v>
      </c>
      <c r="AX25" s="208">
        <f t="shared" si="22"/>
        <v>23.8</v>
      </c>
      <c r="AY25" s="168">
        <f t="shared" si="23"/>
        <v>30</v>
      </c>
      <c r="AZ25" s="169"/>
      <c r="BA25" s="169"/>
      <c r="BC25" s="168">
        <f t="shared" ca="1" si="24"/>
        <v>19</v>
      </c>
      <c r="BD25" s="209">
        <f t="shared" ca="1" si="7"/>
        <v>39</v>
      </c>
      <c r="BF25" s="173" t="str">
        <f t="shared" ca="1" si="8"/>
        <v>Pinnacle West Capital Corporation</v>
      </c>
      <c r="BG25" s="173" t="str">
        <f t="shared" ca="1" si="9"/>
        <v>BBB+</v>
      </c>
      <c r="BH25" s="173">
        <f t="shared" ca="1" si="9"/>
        <v>15</v>
      </c>
      <c r="BI25" s="173" t="str">
        <f t="shared" ca="1" si="9"/>
        <v>PNW</v>
      </c>
    </row>
    <row r="26" spans="1:61" ht="13.8" x14ac:dyDescent="0.25">
      <c r="A26" s="223" t="s">
        <v>347</v>
      </c>
      <c r="B26" s="224" t="s">
        <v>140</v>
      </c>
      <c r="C26" s="224">
        <v>19</v>
      </c>
      <c r="D26" s="224" t="s">
        <v>348</v>
      </c>
      <c r="E26" s="225" t="str">
        <f t="shared" ca="1" si="0"/>
        <v>MR</v>
      </c>
      <c r="F26" s="348"/>
      <c r="G26" s="349">
        <f t="shared" ca="1" si="1"/>
        <v>51</v>
      </c>
      <c r="H26" s="350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9"/>
        <v/>
      </c>
      <c r="AJ26" s="169">
        <f t="shared" ca="1" si="4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5"/>
        <v/>
      </c>
      <c r="AQ26" s="207" t="s">
        <v>269</v>
      </c>
      <c r="AR26" s="207" t="s">
        <v>141</v>
      </c>
      <c r="AS26" s="207">
        <v>14</v>
      </c>
      <c r="AT26" s="207" t="s">
        <v>270</v>
      </c>
      <c r="AV26" s="168">
        <f t="shared" si="21"/>
        <v>23</v>
      </c>
      <c r="AW26" s="168">
        <f>COUNTIF( AV$7:AV26, AV26 )</f>
        <v>9</v>
      </c>
      <c r="AX26" s="208">
        <f t="shared" si="22"/>
        <v>23.9</v>
      </c>
      <c r="AY26" s="168">
        <f t="shared" si="23"/>
        <v>31</v>
      </c>
      <c r="AZ26" s="169"/>
      <c r="BA26" s="169"/>
      <c r="BC26" s="168">
        <f t="shared" ca="1" si="24"/>
        <v>20</v>
      </c>
      <c r="BD26" s="209">
        <f t="shared" ca="1" si="7"/>
        <v>45</v>
      </c>
      <c r="BF26" s="173" t="str">
        <f t="shared" ca="1" si="8"/>
        <v>SCANA Corporation</v>
      </c>
      <c r="BG26" s="173" t="str">
        <f t="shared" ca="1" si="9"/>
        <v>BBB+</v>
      </c>
      <c r="BH26" s="173">
        <f t="shared" ca="1" si="9"/>
        <v>15</v>
      </c>
      <c r="BI26" s="173" t="str">
        <f t="shared" ca="1" si="9"/>
        <v>SCG</v>
      </c>
    </row>
    <row r="27" spans="1:61" ht="13.8" x14ac:dyDescent="0.25">
      <c r="A27" s="223" t="s">
        <v>291</v>
      </c>
      <c r="B27" s="224" t="s">
        <v>140</v>
      </c>
      <c r="C27" s="224">
        <v>19</v>
      </c>
      <c r="D27" s="224" t="s">
        <v>292</v>
      </c>
      <c r="E27" s="225" t="str">
        <f t="shared" ca="1" si="0"/>
        <v>MR</v>
      </c>
      <c r="F27" s="348"/>
      <c r="G27" s="349">
        <f t="shared" ca="1" si="1"/>
        <v>52</v>
      </c>
      <c r="H27" s="350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4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5"/>
        <v/>
      </c>
      <c r="AQ27" s="207" t="s">
        <v>275</v>
      </c>
      <c r="AR27" s="207" t="s">
        <v>142</v>
      </c>
      <c r="AS27" s="207">
        <v>13</v>
      </c>
      <c r="AT27" s="207" t="s">
        <v>276</v>
      </c>
      <c r="AV27" s="168">
        <f t="shared" si="21"/>
        <v>42</v>
      </c>
      <c r="AW27" s="168">
        <f>COUNTIF( AV$7:AV27, AV27 )</f>
        <v>3</v>
      </c>
      <c r="AX27" s="208">
        <f t="shared" si="22"/>
        <v>42.3</v>
      </c>
      <c r="AY27" s="168">
        <f t="shared" si="23"/>
        <v>44</v>
      </c>
      <c r="AZ27" s="169"/>
      <c r="BA27" s="169"/>
      <c r="BC27" s="168">
        <f t="shared" ca="1" si="24"/>
        <v>21</v>
      </c>
      <c r="BD27" s="209">
        <f t="shared" ca="1" si="7"/>
        <v>46</v>
      </c>
      <c r="BF27" s="173" t="str">
        <f t="shared" ca="1" si="8"/>
        <v>Sempra Energy</v>
      </c>
      <c r="BG27" s="173" t="str">
        <f t="shared" ca="1" si="9"/>
        <v>BBB+</v>
      </c>
      <c r="BH27" s="173">
        <f t="shared" ca="1" si="9"/>
        <v>15</v>
      </c>
      <c r="BI27" s="173" t="str">
        <f t="shared" ca="1" si="9"/>
        <v>SRE</v>
      </c>
    </row>
    <row r="28" spans="1:61" ht="13.8" x14ac:dyDescent="0.25">
      <c r="A28" s="223" t="s">
        <v>369</v>
      </c>
      <c r="B28" s="224" t="s">
        <v>140</v>
      </c>
      <c r="C28" s="224">
        <v>19</v>
      </c>
      <c r="D28" s="224" t="s">
        <v>375</v>
      </c>
      <c r="E28" s="225" t="str">
        <f t="shared" ca="1" si="0"/>
        <v>R</v>
      </c>
      <c r="F28" s="348"/>
      <c r="G28" s="349">
        <f t="shared" ca="1" si="1"/>
        <v>54</v>
      </c>
      <c r="H28" s="350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4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5"/>
        <v/>
      </c>
      <c r="AQ28" s="207" t="s">
        <v>352</v>
      </c>
      <c r="AR28" s="207" t="s">
        <v>141</v>
      </c>
      <c r="AS28" s="207">
        <v>14</v>
      </c>
      <c r="AT28" s="207" t="s">
        <v>353</v>
      </c>
      <c r="AV28" s="168">
        <f t="shared" si="21"/>
        <v>23</v>
      </c>
      <c r="AW28" s="168">
        <f>COUNTIF( AV$7:AV28, AV28 )</f>
        <v>10</v>
      </c>
      <c r="AX28" s="208">
        <f t="shared" si="22"/>
        <v>24</v>
      </c>
      <c r="AY28" s="168">
        <f t="shared" si="23"/>
        <v>32</v>
      </c>
      <c r="AZ28" s="169"/>
      <c r="BA28" s="169"/>
      <c r="BC28" s="168">
        <f t="shared" ca="1" si="24"/>
        <v>22</v>
      </c>
      <c r="BD28" s="209">
        <f t="shared" ca="1" si="7"/>
        <v>48</v>
      </c>
      <c r="BF28" s="173" t="str">
        <f t="shared" ca="1" si="8"/>
        <v>TECO Energy, Inc.</v>
      </c>
      <c r="BG28" s="173" t="str">
        <f t="shared" ca="1" si="9"/>
        <v>BBB+</v>
      </c>
      <c r="BH28" s="173">
        <f t="shared" ca="1" si="9"/>
        <v>15</v>
      </c>
      <c r="BI28" s="173" t="str">
        <f t="shared" ca="1" si="9"/>
        <v>TE</v>
      </c>
    </row>
    <row r="29" spans="1:61" ht="13.8" x14ac:dyDescent="0.25">
      <c r="A29" s="223" t="s">
        <v>225</v>
      </c>
      <c r="B29" s="224" t="s">
        <v>141</v>
      </c>
      <c r="C29" s="224">
        <v>18</v>
      </c>
      <c r="D29" s="224" t="s">
        <v>226</v>
      </c>
      <c r="E29" s="225" t="str">
        <f t="shared" ca="1" si="0"/>
        <v>R</v>
      </c>
      <c r="F29" s="348"/>
      <c r="G29" s="349">
        <f t="shared" ca="1" si="1"/>
        <v>9</v>
      </c>
      <c r="H29" s="350"/>
      <c r="I29" s="237"/>
      <c r="J29" s="191"/>
      <c r="K29" s="237"/>
      <c r="N29" s="237"/>
      <c r="Q29" s="237"/>
      <c r="T29" s="237"/>
      <c r="W29" s="237"/>
      <c r="AF29" s="169">
        <f t="shared" si="2"/>
        <v>0</v>
      </c>
      <c r="AG29" s="169">
        <f t="shared" ca="1" si="3"/>
        <v>1</v>
      </c>
      <c r="AH29" s="169" t="str">
        <f t="shared" ca="1" si="19"/>
        <v/>
      </c>
      <c r="AJ29" s="169">
        <f t="shared" ca="1" si="4"/>
        <v>45</v>
      </c>
      <c r="AK29" s="169" t="str">
        <f t="shared" ca="1" si="20"/>
        <v>BBB-</v>
      </c>
      <c r="AL29" s="169">
        <f t="shared" ca="1" si="20"/>
        <v>17</v>
      </c>
      <c r="AM29" s="169" t="str">
        <f t="shared" ca="1" si="5"/>
        <v>Change</v>
      </c>
      <c r="AQ29" s="207" t="s">
        <v>279</v>
      </c>
      <c r="AR29" s="207" t="s">
        <v>142</v>
      </c>
      <c r="AS29" s="207">
        <v>13</v>
      </c>
      <c r="AT29" s="207" t="s">
        <v>280</v>
      </c>
      <c r="AV29" s="168">
        <f t="shared" si="21"/>
        <v>42</v>
      </c>
      <c r="AW29" s="168">
        <f>COUNTIF( AV$7:AV29, AV29 )</f>
        <v>4</v>
      </c>
      <c r="AX29" s="208">
        <f t="shared" si="22"/>
        <v>42.4</v>
      </c>
      <c r="AY29" s="168">
        <f t="shared" si="23"/>
        <v>45</v>
      </c>
      <c r="AZ29" s="169"/>
      <c r="BA29" s="169"/>
      <c r="BC29" s="168">
        <f t="shared" ca="1" si="24"/>
        <v>23</v>
      </c>
      <c r="BD29" s="209">
        <f t="shared" ca="1" si="7"/>
        <v>3</v>
      </c>
      <c r="BF29" s="173" t="str">
        <f t="shared" ca="1" si="8"/>
        <v>Ameren Corporation</v>
      </c>
      <c r="BG29" s="173" t="str">
        <f t="shared" ca="1" si="9"/>
        <v>BBB</v>
      </c>
      <c r="BH29" s="173">
        <f t="shared" ca="1" si="9"/>
        <v>14</v>
      </c>
      <c r="BI29" s="173" t="str">
        <f t="shared" ca="1" si="9"/>
        <v>AEE</v>
      </c>
    </row>
    <row r="30" spans="1:61" ht="13.8" x14ac:dyDescent="0.25">
      <c r="A30" s="223" t="s">
        <v>222</v>
      </c>
      <c r="B30" s="224" t="s">
        <v>141</v>
      </c>
      <c r="C30" s="224">
        <v>18</v>
      </c>
      <c r="D30" s="224" t="s">
        <v>223</v>
      </c>
      <c r="E30" s="225" t="str">
        <f t="shared" ca="1" si="0"/>
        <v>R</v>
      </c>
      <c r="F30" s="348"/>
      <c r="G30" s="349">
        <f t="shared" ca="1" si="1"/>
        <v>10</v>
      </c>
      <c r="H30" s="350"/>
      <c r="I30" s="237"/>
      <c r="J30" s="191"/>
      <c r="K30" s="237"/>
      <c r="N30" s="237"/>
      <c r="Q30" s="237"/>
      <c r="T30" s="237"/>
      <c r="W30" s="237"/>
      <c r="AF30" s="169">
        <f t="shared" si="2"/>
        <v>0</v>
      </c>
      <c r="AG30" s="169" t="str">
        <f t="shared" ca="1" si="3"/>
        <v/>
      </c>
      <c r="AH30" s="169" t="str">
        <f t="shared" ca="1" si="19"/>
        <v/>
      </c>
      <c r="AJ30" s="169">
        <f t="shared" ca="1" si="4"/>
        <v>29</v>
      </c>
      <c r="AK30" s="169" t="str">
        <f t="shared" ca="1" si="20"/>
        <v>BBB</v>
      </c>
      <c r="AL30" s="169">
        <f t="shared" ca="1" si="20"/>
        <v>18</v>
      </c>
      <c r="AM30" s="169" t="str">
        <f t="shared" ca="1" si="5"/>
        <v/>
      </c>
      <c r="AQ30" s="207" t="s">
        <v>387</v>
      </c>
      <c r="AR30" s="207" t="s">
        <v>141</v>
      </c>
      <c r="AS30" s="207">
        <v>14</v>
      </c>
      <c r="AT30" s="207" t="s">
        <v>388</v>
      </c>
      <c r="AV30" s="168">
        <f t="shared" si="21"/>
        <v>23</v>
      </c>
      <c r="AW30" s="168">
        <f>COUNTIF( AV$7:AV30, AV30 )</f>
        <v>11</v>
      </c>
      <c r="AX30" s="208">
        <f t="shared" si="22"/>
        <v>24.1</v>
      </c>
      <c r="AY30" s="168">
        <f t="shared" si="23"/>
        <v>33</v>
      </c>
      <c r="AZ30" s="169"/>
      <c r="BA30" s="169"/>
      <c r="BC30" s="168">
        <f t="shared" ca="1" si="24"/>
        <v>24</v>
      </c>
      <c r="BD30" s="209">
        <f t="shared" ca="1" si="7"/>
        <v>4</v>
      </c>
      <c r="BF30" s="173" t="str">
        <f t="shared" ca="1" si="8"/>
        <v>American Electric Power Company, Inc.</v>
      </c>
      <c r="BG30" s="173" t="str">
        <f t="shared" ca="1" si="9"/>
        <v>BBB</v>
      </c>
      <c r="BH30" s="173">
        <f t="shared" ca="1" si="9"/>
        <v>14</v>
      </c>
      <c r="BI30" s="173" t="str">
        <f t="shared" ca="1" si="9"/>
        <v>AEP</v>
      </c>
    </row>
    <row r="31" spans="1:61" ht="13.8" x14ac:dyDescent="0.25">
      <c r="A31" s="223" t="s">
        <v>238</v>
      </c>
      <c r="B31" s="224" t="s">
        <v>141</v>
      </c>
      <c r="C31" s="224">
        <v>18</v>
      </c>
      <c r="D31" s="224" t="s">
        <v>239</v>
      </c>
      <c r="E31" s="225" t="str">
        <f t="shared" ca="1" si="0"/>
        <v>R</v>
      </c>
      <c r="F31" s="348"/>
      <c r="G31" s="349">
        <f t="shared" ca="1" si="1"/>
        <v>11</v>
      </c>
      <c r="H31" s="350"/>
      <c r="I31" s="237"/>
      <c r="J31" s="191"/>
      <c r="K31" s="237"/>
      <c r="N31" s="237"/>
      <c r="O31" s="351"/>
      <c r="Q31" s="237"/>
      <c r="T31" s="237"/>
      <c r="W31" s="237"/>
      <c r="AF31" s="169">
        <f t="shared" si="2"/>
        <v>0</v>
      </c>
      <c r="AG31" s="169" t="str">
        <f t="shared" ca="1" si="3"/>
        <v/>
      </c>
      <c r="AH31" s="169" t="str">
        <f t="shared" ca="1" si="19"/>
        <v/>
      </c>
      <c r="AJ31" s="169">
        <f t="shared" ca="1" si="4"/>
        <v>30</v>
      </c>
      <c r="AK31" s="169" t="str">
        <f t="shared" ca="1" si="20"/>
        <v>BBB</v>
      </c>
      <c r="AL31" s="169">
        <f t="shared" ca="1" si="20"/>
        <v>18</v>
      </c>
      <c r="AM31" s="169" t="str">
        <f t="shared" ca="1" si="5"/>
        <v/>
      </c>
      <c r="AQ31" s="207" t="s">
        <v>283</v>
      </c>
      <c r="AR31" s="207" t="s">
        <v>141</v>
      </c>
      <c r="AS31" s="207">
        <v>14</v>
      </c>
      <c r="AT31" s="207" t="s">
        <v>284</v>
      </c>
      <c r="AV31" s="168">
        <f t="shared" si="21"/>
        <v>23</v>
      </c>
      <c r="AW31" s="168">
        <f>COUNTIF( AV$7:AV31, AV31 )</f>
        <v>12</v>
      </c>
      <c r="AX31" s="208">
        <f t="shared" si="22"/>
        <v>24.2</v>
      </c>
      <c r="AY31" s="168">
        <f t="shared" si="23"/>
        <v>34</v>
      </c>
      <c r="AZ31" s="169"/>
      <c r="BA31" s="169"/>
      <c r="BC31" s="168">
        <f t="shared" ca="1" si="24"/>
        <v>25</v>
      </c>
      <c r="BD31" s="209">
        <f t="shared" ca="1" si="7"/>
        <v>5</v>
      </c>
      <c r="BF31" s="173" t="str">
        <f t="shared" ca="1" si="8"/>
        <v>Avista Corporation</v>
      </c>
      <c r="BG31" s="173" t="str">
        <f t="shared" ca="1" si="9"/>
        <v>BBB</v>
      </c>
      <c r="BH31" s="173">
        <f t="shared" ca="1" si="9"/>
        <v>14</v>
      </c>
      <c r="BI31" s="173" t="str">
        <f t="shared" ca="1" si="9"/>
        <v>AVA</v>
      </c>
    </row>
    <row r="32" spans="1:61" ht="13.8" x14ac:dyDescent="0.25">
      <c r="A32" s="223" t="s">
        <v>254</v>
      </c>
      <c r="B32" s="224" t="s">
        <v>141</v>
      </c>
      <c r="C32" s="224">
        <v>18</v>
      </c>
      <c r="D32" s="224" t="s">
        <v>378</v>
      </c>
      <c r="E32" s="225" t="str">
        <f t="shared" ca="1" si="0"/>
        <v>R</v>
      </c>
      <c r="F32" s="348"/>
      <c r="G32" s="349">
        <f t="shared" ca="1" si="1"/>
        <v>16</v>
      </c>
      <c r="H32" s="350"/>
      <c r="I32" s="237"/>
      <c r="J32" s="191"/>
      <c r="K32" s="237"/>
      <c r="N32" s="237"/>
      <c r="Q32" s="237"/>
      <c r="T32" s="237"/>
      <c r="W32" s="237"/>
      <c r="AF32" s="169">
        <f t="shared" si="2"/>
        <v>0</v>
      </c>
      <c r="AG32" s="169" t="str">
        <f t="shared" ca="1" si="3"/>
        <v/>
      </c>
      <c r="AH32" s="169" t="str">
        <f t="shared" ca="1" si="19"/>
        <v/>
      </c>
      <c r="AJ32" s="169">
        <f t="shared" ca="1" si="4"/>
        <v>31</v>
      </c>
      <c r="AK32" s="169" t="str">
        <f t="shared" ca="1" si="20"/>
        <v>BBB</v>
      </c>
      <c r="AL32" s="169">
        <f t="shared" ca="1" si="20"/>
        <v>18</v>
      </c>
      <c r="AM32" s="169" t="str">
        <f t="shared" ca="1" si="5"/>
        <v/>
      </c>
      <c r="AQ32" s="207" t="s">
        <v>395</v>
      </c>
      <c r="AR32" s="207" t="s">
        <v>139</v>
      </c>
      <c r="AS32" s="207">
        <v>16</v>
      </c>
      <c r="AT32" s="207" t="s">
        <v>396</v>
      </c>
      <c r="AV32" s="168">
        <f t="shared" si="21"/>
        <v>2</v>
      </c>
      <c r="AW32" s="168">
        <f>COUNTIF( AV$7:AV32, AV32 )</f>
        <v>4</v>
      </c>
      <c r="AX32" s="208">
        <f t="shared" si="22"/>
        <v>2.4</v>
      </c>
      <c r="AY32" s="168">
        <f t="shared" si="23"/>
        <v>5</v>
      </c>
      <c r="AZ32" s="169"/>
      <c r="BA32" s="169"/>
      <c r="BC32" s="168">
        <f t="shared" ca="1" si="24"/>
        <v>26</v>
      </c>
      <c r="BD32" s="209">
        <f t="shared" ca="1" si="7"/>
        <v>8</v>
      </c>
      <c r="BF32" s="173" t="str">
        <f t="shared" ca="1" si="8"/>
        <v>Cleco Corporation</v>
      </c>
      <c r="BG32" s="173" t="str">
        <f t="shared" ca="1" si="9"/>
        <v>BBB</v>
      </c>
      <c r="BH32" s="173">
        <f t="shared" ca="1" si="9"/>
        <v>14</v>
      </c>
      <c r="BI32" s="173" t="str">
        <f t="shared" ca="1" si="9"/>
        <v>CNL</v>
      </c>
    </row>
    <row r="33" spans="1:61" ht="13.8" x14ac:dyDescent="0.25">
      <c r="A33" s="223" t="s">
        <v>256</v>
      </c>
      <c r="B33" s="224" t="s">
        <v>141</v>
      </c>
      <c r="C33" s="224">
        <v>18</v>
      </c>
      <c r="D33" s="224" t="s">
        <v>257</v>
      </c>
      <c r="E33" s="225" t="str">
        <f t="shared" ca="1" si="0"/>
        <v>R</v>
      </c>
      <c r="F33" s="348"/>
      <c r="G33" s="349">
        <f t="shared" ca="1" si="1"/>
        <v>17</v>
      </c>
      <c r="H33" s="350"/>
      <c r="I33" s="237"/>
      <c r="J33" s="191"/>
      <c r="K33" s="237"/>
      <c r="N33" s="237"/>
      <c r="Q33" s="237"/>
      <c r="T33" s="237"/>
      <c r="W33" s="237"/>
      <c r="AF33" s="169">
        <f t="shared" si="2"/>
        <v>0</v>
      </c>
      <c r="AG33" s="169">
        <f t="shared" ca="1" si="3"/>
        <v>1</v>
      </c>
      <c r="AH33" s="169" t="str">
        <f t="shared" ca="1" si="19"/>
        <v/>
      </c>
      <c r="AJ33" s="169">
        <f t="shared" ca="1" si="4"/>
        <v>47</v>
      </c>
      <c r="AK33" s="169" t="str">
        <f t="shared" ca="1" si="20"/>
        <v>BBB-</v>
      </c>
      <c r="AL33" s="169">
        <f t="shared" ca="1" si="20"/>
        <v>17</v>
      </c>
      <c r="AM33" s="169" t="str">
        <f t="shared" ca="1" si="5"/>
        <v>Change</v>
      </c>
      <c r="AQ33" s="207" t="s">
        <v>287</v>
      </c>
      <c r="AR33" s="207" t="s">
        <v>142</v>
      </c>
      <c r="AS33" s="207">
        <v>13</v>
      </c>
      <c r="AT33" s="207" t="s">
        <v>288</v>
      </c>
      <c r="AV33" s="168">
        <f t="shared" si="21"/>
        <v>42</v>
      </c>
      <c r="AW33" s="168">
        <f>COUNTIF( AV$7:AV33, AV33 )</f>
        <v>5</v>
      </c>
      <c r="AX33" s="208">
        <f t="shared" si="22"/>
        <v>42.5</v>
      </c>
      <c r="AY33" s="168">
        <f t="shared" si="23"/>
        <v>46</v>
      </c>
      <c r="AZ33" s="169"/>
      <c r="BA33" s="169"/>
      <c r="BC33" s="168">
        <f t="shared" ca="1" si="24"/>
        <v>27</v>
      </c>
      <c r="BD33" s="209">
        <f t="shared" ca="1" si="7"/>
        <v>9</v>
      </c>
      <c r="BF33" s="173" t="str">
        <f t="shared" ca="1" si="8"/>
        <v>CMS Energy Corporation</v>
      </c>
      <c r="BG33" s="173" t="str">
        <f t="shared" ca="1" si="9"/>
        <v>BBB</v>
      </c>
      <c r="BH33" s="173">
        <f t="shared" ca="1" si="9"/>
        <v>14</v>
      </c>
      <c r="BI33" s="173" t="str">
        <f t="shared" ca="1" si="9"/>
        <v>CMS</v>
      </c>
    </row>
    <row r="34" spans="1:61" ht="13.8" x14ac:dyDescent="0.25">
      <c r="A34" s="223" t="s">
        <v>328</v>
      </c>
      <c r="B34" s="224" t="s">
        <v>141</v>
      </c>
      <c r="C34" s="224">
        <v>18</v>
      </c>
      <c r="D34" s="224" t="s">
        <v>331</v>
      </c>
      <c r="E34" s="225" t="str">
        <f t="shared" ca="1" si="0"/>
        <v>R</v>
      </c>
      <c r="F34" s="348"/>
      <c r="G34" s="349">
        <f t="shared" ca="1" si="1"/>
        <v>24</v>
      </c>
      <c r="H34" s="350"/>
      <c r="I34" s="237"/>
      <c r="J34" s="191"/>
      <c r="K34" s="237"/>
      <c r="N34" s="237"/>
      <c r="Q34" s="237"/>
      <c r="T34" s="237"/>
      <c r="W34" s="237"/>
      <c r="AF34" s="169">
        <f t="shared" si="2"/>
        <v>0</v>
      </c>
      <c r="AG34" s="169" t="str">
        <f t="shared" ca="1" si="3"/>
        <v/>
      </c>
      <c r="AH34" s="169" t="str">
        <f t="shared" ca="1" si="19"/>
        <v/>
      </c>
      <c r="AJ34" s="169">
        <f t="shared" ca="1" si="4"/>
        <v>32</v>
      </c>
      <c r="AK34" s="169" t="str">
        <f t="shared" ca="1" si="20"/>
        <v>BBB</v>
      </c>
      <c r="AL34" s="169">
        <f t="shared" ca="1" si="20"/>
        <v>18</v>
      </c>
      <c r="AM34" s="169" t="str">
        <f t="shared" ca="1" si="5"/>
        <v/>
      </c>
      <c r="AQ34" s="207" t="s">
        <v>271</v>
      </c>
      <c r="AR34" s="207" t="s">
        <v>140</v>
      </c>
      <c r="AS34" s="207">
        <v>15</v>
      </c>
      <c r="AT34" s="207" t="s">
        <v>272</v>
      </c>
      <c r="AV34" s="168">
        <f t="shared" si="21"/>
        <v>11</v>
      </c>
      <c r="AW34" s="168">
        <f>COUNTIF( AV$7:AV34, AV34 )</f>
        <v>5</v>
      </c>
      <c r="AX34" s="208">
        <f t="shared" si="22"/>
        <v>11.5</v>
      </c>
      <c r="AY34" s="168">
        <f t="shared" si="23"/>
        <v>15</v>
      </c>
      <c r="AZ34" s="169"/>
      <c r="BA34" s="169"/>
      <c r="BC34" s="168">
        <f t="shared" ca="1" si="24"/>
        <v>28</v>
      </c>
      <c r="BD34" s="209">
        <f t="shared" ca="1" si="7"/>
        <v>16</v>
      </c>
      <c r="BF34" s="173" t="str">
        <f t="shared" ca="1" si="8"/>
        <v>El Paso Electric Company</v>
      </c>
      <c r="BG34" s="173" t="str">
        <f t="shared" ca="1" si="9"/>
        <v>BBB</v>
      </c>
      <c r="BH34" s="173">
        <f t="shared" ca="1" si="9"/>
        <v>14</v>
      </c>
      <c r="BI34" s="173" t="str">
        <f t="shared" ca="1" si="9"/>
        <v>EE</v>
      </c>
    </row>
    <row r="35" spans="1:61" ht="13.8" x14ac:dyDescent="0.25">
      <c r="A35" s="223" t="s">
        <v>367</v>
      </c>
      <c r="B35" s="224" t="s">
        <v>141</v>
      </c>
      <c r="C35" s="224">
        <v>18</v>
      </c>
      <c r="D35" s="224" t="s">
        <v>368</v>
      </c>
      <c r="E35" s="225" t="str">
        <f t="shared" ca="1" si="0"/>
        <v>R</v>
      </c>
      <c r="F35" s="348"/>
      <c r="G35" s="349">
        <f t="shared" ca="1" si="1"/>
        <v>25</v>
      </c>
      <c r="H35" s="350"/>
      <c r="I35" s="237"/>
      <c r="K35" s="237"/>
      <c r="N35" s="237"/>
      <c r="Q35" s="237"/>
      <c r="T35" s="237"/>
      <c r="W35" s="237"/>
      <c r="AF35" s="169">
        <f t="shared" si="2"/>
        <v>0</v>
      </c>
      <c r="AG35" s="169">
        <f t="shared" ca="1" si="3"/>
        <v>1</v>
      </c>
      <c r="AH35" s="169" t="str">
        <f t="shared" ca="1" si="19"/>
        <v/>
      </c>
      <c r="AJ35" s="169">
        <f t="shared" ca="1" si="4"/>
        <v>49</v>
      </c>
      <c r="AK35" s="169" t="str">
        <f t="shared" ca="1" si="20"/>
        <v>BBB-</v>
      </c>
      <c r="AL35" s="169">
        <f t="shared" ca="1" si="20"/>
        <v>17</v>
      </c>
      <c r="AM35" s="169" t="str">
        <f t="shared" ca="1" si="5"/>
        <v>Change</v>
      </c>
      <c r="AQ35" s="207" t="s">
        <v>408</v>
      </c>
      <c r="AR35" s="207" t="s">
        <v>140</v>
      </c>
      <c r="AS35" s="207">
        <v>15</v>
      </c>
      <c r="AT35" s="207" t="s">
        <v>216</v>
      </c>
      <c r="AV35" s="168">
        <f t="shared" si="21"/>
        <v>11</v>
      </c>
      <c r="AW35" s="168">
        <f>COUNTIF( AV$7:AV35, AV35 )</f>
        <v>6</v>
      </c>
      <c r="AX35" s="208">
        <f t="shared" si="22"/>
        <v>11.6</v>
      </c>
      <c r="AY35" s="168">
        <f t="shared" si="23"/>
        <v>16</v>
      </c>
      <c r="AZ35" s="169"/>
      <c r="BA35" s="169"/>
      <c r="BC35" s="168">
        <f t="shared" ca="1" si="24"/>
        <v>29</v>
      </c>
      <c r="BD35" s="209">
        <f t="shared" ca="1" si="7"/>
        <v>17</v>
      </c>
      <c r="BF35" s="173" t="str">
        <f t="shared" ca="1" si="8"/>
        <v>Empire District Electric Company</v>
      </c>
      <c r="BG35" s="173" t="str">
        <f t="shared" ca="1" si="9"/>
        <v>BBB</v>
      </c>
      <c r="BH35" s="173">
        <f t="shared" ca="1" si="9"/>
        <v>14</v>
      </c>
      <c r="BI35" s="173" t="str">
        <f t="shared" ca="1" si="9"/>
        <v>EDE</v>
      </c>
    </row>
    <row r="36" spans="1:61" ht="13.8" x14ac:dyDescent="0.25">
      <c r="A36" s="223" t="s">
        <v>267</v>
      </c>
      <c r="B36" s="224" t="s">
        <v>141</v>
      </c>
      <c r="C36" s="224">
        <v>18</v>
      </c>
      <c r="D36" s="224" t="s">
        <v>268</v>
      </c>
      <c r="E36" s="225" t="str">
        <f t="shared" ca="1" si="0"/>
        <v>R</v>
      </c>
      <c r="F36" s="348"/>
      <c r="G36" s="349">
        <f t="shared" ca="1" si="1"/>
        <v>26</v>
      </c>
      <c r="H36" s="350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9"/>
        <v/>
      </c>
      <c r="AJ36" s="169">
        <f t="shared" ca="1" si="4"/>
        <v>34</v>
      </c>
      <c r="AK36" s="169" t="str">
        <f t="shared" ca="1" si="20"/>
        <v>BBB</v>
      </c>
      <c r="AL36" s="169">
        <f t="shared" ca="1" si="20"/>
        <v>18</v>
      </c>
      <c r="AM36" s="169" t="str">
        <f t="shared" ca="1" si="5"/>
        <v/>
      </c>
      <c r="AQ36" s="207" t="s">
        <v>240</v>
      </c>
      <c r="AR36" s="207" t="s">
        <v>139</v>
      </c>
      <c r="AS36" s="207">
        <v>16</v>
      </c>
      <c r="AT36" s="207" t="s">
        <v>241</v>
      </c>
      <c r="AV36" s="168">
        <f t="shared" si="21"/>
        <v>2</v>
      </c>
      <c r="AW36" s="168">
        <f>COUNTIF( AV$7:AV36, AV36 )</f>
        <v>5</v>
      </c>
      <c r="AX36" s="208">
        <f t="shared" si="22"/>
        <v>2.5</v>
      </c>
      <c r="AY36" s="168">
        <f t="shared" si="23"/>
        <v>6</v>
      </c>
      <c r="AZ36" s="169"/>
      <c r="BA36" s="169"/>
      <c r="BC36" s="168">
        <f t="shared" ca="1" si="24"/>
        <v>30</v>
      </c>
      <c r="BD36" s="209">
        <f t="shared" ca="1" si="7"/>
        <v>19</v>
      </c>
      <c r="BF36" s="173" t="str">
        <f t="shared" ca="1" si="8"/>
        <v>Entergy Corporation</v>
      </c>
      <c r="BG36" s="173" t="str">
        <f t="shared" ca="1" si="9"/>
        <v>BBB</v>
      </c>
      <c r="BH36" s="173">
        <f t="shared" ca="1" si="9"/>
        <v>14</v>
      </c>
      <c r="BI36" s="173" t="str">
        <f t="shared" ca="1" si="9"/>
        <v>ETR</v>
      </c>
    </row>
    <row r="37" spans="1:61" ht="13.8" x14ac:dyDescent="0.25">
      <c r="A37" s="223" t="s">
        <v>269</v>
      </c>
      <c r="B37" s="224" t="s">
        <v>141</v>
      </c>
      <c r="C37" s="224">
        <v>18</v>
      </c>
      <c r="D37" s="224" t="s">
        <v>270</v>
      </c>
      <c r="E37" s="225" t="str">
        <f t="shared" ca="1" si="0"/>
        <v>MR</v>
      </c>
      <c r="F37" s="348"/>
      <c r="G37" s="349">
        <f t="shared" ca="1" si="1"/>
        <v>27</v>
      </c>
      <c r="H37" s="350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4"/>
        <v>35</v>
      </c>
      <c r="AK37" s="169" t="str">
        <f t="shared" ca="1" si="20"/>
        <v>BBB</v>
      </c>
      <c r="AL37" s="169">
        <f t="shared" ca="1" si="20"/>
        <v>18</v>
      </c>
      <c r="AM37" s="169" t="str">
        <f t="shared" ca="1" si="5"/>
        <v/>
      </c>
      <c r="AQ37" s="207" t="s">
        <v>273</v>
      </c>
      <c r="AR37" s="207" t="s">
        <v>142</v>
      </c>
      <c r="AS37" s="207">
        <v>13</v>
      </c>
      <c r="AT37" s="207" t="s">
        <v>274</v>
      </c>
      <c r="AV37" s="168">
        <f t="shared" si="21"/>
        <v>42</v>
      </c>
      <c r="AW37" s="168">
        <f>COUNTIF( AV$7:AV37, AV37 )</f>
        <v>6</v>
      </c>
      <c r="AX37" s="208">
        <f t="shared" si="22"/>
        <v>42.6</v>
      </c>
      <c r="AY37" s="168">
        <f t="shared" si="23"/>
        <v>47</v>
      </c>
      <c r="AZ37" s="169"/>
      <c r="BA37" s="169"/>
      <c r="BC37" s="168">
        <f t="shared" ca="1" si="24"/>
        <v>31</v>
      </c>
      <c r="BD37" s="209">
        <f t="shared" ca="1" si="7"/>
        <v>20</v>
      </c>
      <c r="BF37" s="173" t="str">
        <f t="shared" ca="1" si="8"/>
        <v>Exelon Corporation</v>
      </c>
      <c r="BG37" s="173" t="str">
        <f t="shared" ca="1" si="9"/>
        <v>BBB</v>
      </c>
      <c r="BH37" s="173">
        <f t="shared" ca="1" si="9"/>
        <v>14</v>
      </c>
      <c r="BI37" s="173" t="str">
        <f t="shared" ca="1" si="9"/>
        <v>EXC</v>
      </c>
    </row>
    <row r="38" spans="1:61" ht="13.8" x14ac:dyDescent="0.25">
      <c r="A38" s="223" t="s">
        <v>352</v>
      </c>
      <c r="B38" s="224" t="s">
        <v>141</v>
      </c>
      <c r="C38" s="224">
        <v>18</v>
      </c>
      <c r="D38" s="224" t="s">
        <v>353</v>
      </c>
      <c r="E38" s="225" t="str">
        <f t="shared" ca="1" si="0"/>
        <v>R</v>
      </c>
      <c r="F38" s="348"/>
      <c r="G38" s="349">
        <f t="shared" ca="1" si="1"/>
        <v>29</v>
      </c>
      <c r="H38" s="350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4"/>
        <v>36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5"/>
        <v/>
      </c>
      <c r="AQ38" s="207" t="s">
        <v>394</v>
      </c>
      <c r="AR38" s="207" t="s">
        <v>139</v>
      </c>
      <c r="AS38" s="207">
        <v>16</v>
      </c>
      <c r="AT38" s="207" t="s">
        <v>236</v>
      </c>
      <c r="AV38" s="168">
        <f t="shared" si="21"/>
        <v>2</v>
      </c>
      <c r="AW38" s="168">
        <f>COUNTIF( AV$7:AV38, AV38 )</f>
        <v>6</v>
      </c>
      <c r="AX38" s="208">
        <f t="shared" si="22"/>
        <v>2.6</v>
      </c>
      <c r="AY38" s="168">
        <f t="shared" si="23"/>
        <v>7</v>
      </c>
      <c r="AZ38" s="169"/>
      <c r="BA38" s="169"/>
      <c r="BC38" s="168">
        <f t="shared" ca="1" si="24"/>
        <v>32</v>
      </c>
      <c r="BD38" s="209">
        <f t="shared" ca="1" si="7"/>
        <v>22</v>
      </c>
      <c r="BF38" s="173" t="str">
        <f t="shared" ca="1" si="8"/>
        <v>Great Plains Energy Inc.</v>
      </c>
      <c r="BG38" s="173" t="str">
        <f t="shared" ca="1" si="9"/>
        <v>BBB</v>
      </c>
      <c r="BH38" s="173">
        <f t="shared" ca="1" si="9"/>
        <v>14</v>
      </c>
      <c r="BI38" s="173" t="str">
        <f t="shared" ca="1" si="9"/>
        <v>GXP</v>
      </c>
    </row>
    <row r="39" spans="1:61" ht="13.8" x14ac:dyDescent="0.25">
      <c r="A39" s="223" t="s">
        <v>387</v>
      </c>
      <c r="B39" s="224" t="s">
        <v>141</v>
      </c>
      <c r="C39" s="224">
        <v>18</v>
      </c>
      <c r="D39" s="224" t="s">
        <v>388</v>
      </c>
      <c r="E39" s="225" t="str">
        <f t="shared" ca="1" si="0"/>
        <v>R</v>
      </c>
      <c r="F39" s="348"/>
      <c r="G39" s="349">
        <f t="shared" ca="1" si="1"/>
        <v>63</v>
      </c>
      <c r="H39" s="350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9"/>
        <v/>
      </c>
      <c r="AJ39" s="169">
        <f t="shared" ca="1" si="4"/>
        <v>33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5"/>
        <v/>
      </c>
      <c r="AQ39" s="207" t="s">
        <v>297</v>
      </c>
      <c r="AR39" s="207" t="s">
        <v>141</v>
      </c>
      <c r="AS39" s="207">
        <v>14</v>
      </c>
      <c r="AT39" s="207" t="s">
        <v>298</v>
      </c>
      <c r="AV39" s="168">
        <f t="shared" si="21"/>
        <v>23</v>
      </c>
      <c r="AW39" s="168">
        <f>COUNTIF( AV$7:AV39, AV39 )</f>
        <v>13</v>
      </c>
      <c r="AX39" s="208">
        <f t="shared" si="22"/>
        <v>24.3</v>
      </c>
      <c r="AY39" s="168">
        <f t="shared" si="23"/>
        <v>35</v>
      </c>
      <c r="AZ39" s="169"/>
      <c r="BA39" s="169"/>
      <c r="BC39" s="168">
        <f t="shared" ca="1" si="24"/>
        <v>33</v>
      </c>
      <c r="BD39" s="209">
        <f t="shared" ca="1" si="7"/>
        <v>24</v>
      </c>
      <c r="BF39" s="173" t="str">
        <f t="shared" ref="BF39:BF63" ca="1" si="25">OFFSET( AQ$6, $BD39, 0 )</f>
        <v>Iberdrola USA</v>
      </c>
      <c r="BG39" s="173" t="str">
        <f t="shared" ca="1" si="9"/>
        <v>BBB</v>
      </c>
      <c r="BH39" s="173">
        <f t="shared" ca="1" si="9"/>
        <v>14</v>
      </c>
      <c r="BI39" s="173" t="str">
        <f t="shared" ca="1" si="9"/>
        <v>**EAST</v>
      </c>
    </row>
    <row r="40" spans="1:61" ht="13.8" x14ac:dyDescent="0.25">
      <c r="A40" s="223" t="s">
        <v>283</v>
      </c>
      <c r="B40" s="224" t="s">
        <v>141</v>
      </c>
      <c r="C40" s="224">
        <v>18</v>
      </c>
      <c r="D40" s="224" t="s">
        <v>284</v>
      </c>
      <c r="E40" s="225" t="str">
        <f t="shared" ca="1" si="0"/>
        <v>R</v>
      </c>
      <c r="F40" s="348"/>
      <c r="G40" s="349">
        <f t="shared" ca="1" si="1"/>
        <v>31</v>
      </c>
      <c r="H40" s="350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4"/>
        <v>37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5"/>
        <v/>
      </c>
      <c r="AQ40" s="207" t="s">
        <v>411</v>
      </c>
      <c r="AR40" s="207" t="s">
        <v>142</v>
      </c>
      <c r="AS40" s="207">
        <v>13</v>
      </c>
      <c r="AT40" s="207" t="s">
        <v>412</v>
      </c>
      <c r="AV40" s="168">
        <f t="shared" si="21"/>
        <v>42</v>
      </c>
      <c r="AW40" s="168">
        <f>COUNTIF( AV$7:AV40, AV40 )</f>
        <v>7</v>
      </c>
      <c r="AX40" s="208">
        <f t="shared" si="22"/>
        <v>42.7</v>
      </c>
      <c r="AY40" s="168">
        <f t="shared" si="23"/>
        <v>48</v>
      </c>
      <c r="AZ40" s="169"/>
      <c r="BA40" s="169"/>
      <c r="BC40" s="168">
        <f t="shared" ca="1" si="24"/>
        <v>34</v>
      </c>
      <c r="BD40" s="209">
        <f t="shared" ca="1" si="7"/>
        <v>25</v>
      </c>
      <c r="BF40" s="173" t="str">
        <f t="shared" ca="1" si="25"/>
        <v>IDACORP, Inc.</v>
      </c>
      <c r="BG40" s="173" t="str">
        <f t="shared" ca="1" si="9"/>
        <v>BBB</v>
      </c>
      <c r="BH40" s="173">
        <f t="shared" ca="1" si="9"/>
        <v>14</v>
      </c>
      <c r="BI40" s="173" t="str">
        <f t="shared" ca="1" si="9"/>
        <v>IDA</v>
      </c>
    </row>
    <row r="41" spans="1:61" ht="13.8" x14ac:dyDescent="0.25">
      <c r="A41" s="223" t="s">
        <v>297</v>
      </c>
      <c r="B41" s="224" t="s">
        <v>141</v>
      </c>
      <c r="C41" s="224">
        <v>18</v>
      </c>
      <c r="D41" s="224" t="s">
        <v>298</v>
      </c>
      <c r="E41" s="225" t="str">
        <f t="shared" ca="1" si="0"/>
        <v>R</v>
      </c>
      <c r="F41" s="348"/>
      <c r="G41" s="349">
        <f t="shared" ca="1" si="1"/>
        <v>38</v>
      </c>
      <c r="H41" s="350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4"/>
        <v>38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5"/>
        <v/>
      </c>
      <c r="AQ41" s="207" t="s">
        <v>277</v>
      </c>
      <c r="AR41" s="207" t="s">
        <v>140</v>
      </c>
      <c r="AS41" s="207">
        <v>15</v>
      </c>
      <c r="AT41" s="207" t="s">
        <v>278</v>
      </c>
      <c r="AV41" s="168">
        <f t="shared" si="21"/>
        <v>11</v>
      </c>
      <c r="AW41" s="168">
        <f>COUNTIF( AV$7:AV41, AV41 )</f>
        <v>7</v>
      </c>
      <c r="AX41" s="208">
        <f t="shared" si="22"/>
        <v>11.7</v>
      </c>
      <c r="AY41" s="168">
        <f t="shared" si="23"/>
        <v>17</v>
      </c>
      <c r="AZ41" s="169"/>
      <c r="BA41" s="169"/>
      <c r="BC41" s="168">
        <f t="shared" ca="1" si="24"/>
        <v>35</v>
      </c>
      <c r="BD41" s="209">
        <f t="shared" ca="1" si="7"/>
        <v>33</v>
      </c>
      <c r="BF41" s="173" t="str">
        <f t="shared" ca="1" si="25"/>
        <v>NorthWestern Corporation</v>
      </c>
      <c r="BG41" s="173" t="str">
        <f t="shared" ca="1" si="9"/>
        <v>BBB</v>
      </c>
      <c r="BH41" s="173">
        <f t="shared" ca="1" si="9"/>
        <v>14</v>
      </c>
      <c r="BI41" s="173" t="str">
        <f t="shared" ca="1" si="9"/>
        <v>NWE</v>
      </c>
    </row>
    <row r="42" spans="1:61" ht="13.8" x14ac:dyDescent="0.25">
      <c r="A42" s="223" t="s">
        <v>301</v>
      </c>
      <c r="B42" s="224" t="s">
        <v>141</v>
      </c>
      <c r="C42" s="224">
        <v>18</v>
      </c>
      <c r="D42" s="224" t="s">
        <v>302</v>
      </c>
      <c r="E42" s="225" t="str">
        <f t="shared" ca="1" si="0"/>
        <v>R</v>
      </c>
      <c r="F42" s="348"/>
      <c r="G42" s="349">
        <f t="shared" ca="1" si="1"/>
        <v>44</v>
      </c>
      <c r="H42" s="350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4"/>
        <v>39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5"/>
        <v/>
      </c>
      <c r="AQ42" s="207" t="s">
        <v>299</v>
      </c>
      <c r="AR42" s="207" t="s">
        <v>142</v>
      </c>
      <c r="AS42" s="207">
        <v>13</v>
      </c>
      <c r="AT42" s="207" t="s">
        <v>300</v>
      </c>
      <c r="AV42" s="168">
        <f t="shared" si="21"/>
        <v>42</v>
      </c>
      <c r="AW42" s="168">
        <f>COUNTIF( AV$7:AV42, AV42 )</f>
        <v>8</v>
      </c>
      <c r="AX42" s="208">
        <f t="shared" si="22"/>
        <v>42.8</v>
      </c>
      <c r="AY42" s="168">
        <f t="shared" si="23"/>
        <v>49</v>
      </c>
      <c r="AZ42" s="169"/>
      <c r="BA42" s="169"/>
      <c r="BC42" s="168">
        <f t="shared" ca="1" si="24"/>
        <v>36</v>
      </c>
      <c r="BD42" s="209">
        <f t="shared" ca="1" si="7"/>
        <v>38</v>
      </c>
      <c r="BF42" s="173" t="str">
        <f t="shared" ca="1" si="25"/>
        <v>PG&amp;E Corporation</v>
      </c>
      <c r="BG42" s="173" t="str">
        <f t="shared" ca="1" si="9"/>
        <v>BBB</v>
      </c>
      <c r="BH42" s="173">
        <f t="shared" ca="1" si="9"/>
        <v>14</v>
      </c>
      <c r="BI42" s="173" t="str">
        <f t="shared" ca="1" si="9"/>
        <v>PCG</v>
      </c>
    </row>
    <row r="43" spans="1:61" ht="13.8" x14ac:dyDescent="0.25">
      <c r="A43" s="223" t="s">
        <v>285</v>
      </c>
      <c r="B43" s="224" t="s">
        <v>141</v>
      </c>
      <c r="C43" s="224">
        <v>18</v>
      </c>
      <c r="D43" s="224" t="s">
        <v>286</v>
      </c>
      <c r="E43" s="225" t="str">
        <f t="shared" ca="1" si="0"/>
        <v>R</v>
      </c>
      <c r="F43" s="348"/>
      <c r="G43" s="349">
        <f t="shared" ca="1" si="1"/>
        <v>47</v>
      </c>
      <c r="H43" s="350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9"/>
        <v/>
      </c>
      <c r="AJ43" s="169">
        <f t="shared" ca="1" si="4"/>
        <v>40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5"/>
        <v/>
      </c>
      <c r="AQ43" s="207" t="s">
        <v>382</v>
      </c>
      <c r="AR43" s="207" t="s">
        <v>140</v>
      </c>
      <c r="AS43" s="207">
        <v>15</v>
      </c>
      <c r="AT43" s="207" t="s">
        <v>383</v>
      </c>
      <c r="AV43" s="168">
        <f t="shared" si="21"/>
        <v>11</v>
      </c>
      <c r="AW43" s="168">
        <f>COUNTIF( AV$7:AV43, AV43 )</f>
        <v>8</v>
      </c>
      <c r="AX43" s="208">
        <f t="shared" si="22"/>
        <v>11.8</v>
      </c>
      <c r="AY43" s="168">
        <f t="shared" si="23"/>
        <v>18</v>
      </c>
      <c r="AZ43" s="169"/>
      <c r="BA43" s="169"/>
      <c r="BC43" s="168">
        <f t="shared" ca="1" si="24"/>
        <v>37</v>
      </c>
      <c r="BD43" s="209">
        <f t="shared" ca="1" si="7"/>
        <v>41</v>
      </c>
      <c r="BF43" s="173" t="str">
        <f t="shared" ca="1" si="25"/>
        <v>Portland General Electric Company</v>
      </c>
      <c r="BG43" s="173" t="str">
        <f t="shared" ca="1" si="9"/>
        <v>BBB</v>
      </c>
      <c r="BH43" s="173">
        <f t="shared" ca="1" si="9"/>
        <v>14</v>
      </c>
      <c r="BI43" s="173" t="str">
        <f t="shared" ca="1" si="9"/>
        <v>POR</v>
      </c>
    </row>
    <row r="44" spans="1:61" ht="13.8" x14ac:dyDescent="0.25">
      <c r="A44" s="223" t="s">
        <v>243</v>
      </c>
      <c r="B44" s="224" t="s">
        <v>141</v>
      </c>
      <c r="C44" s="224">
        <v>18</v>
      </c>
      <c r="D44" s="224" t="s">
        <v>244</v>
      </c>
      <c r="E44" s="225" t="str">
        <f t="shared" ca="1" si="0"/>
        <v>MR</v>
      </c>
      <c r="F44" s="348"/>
      <c r="G44" s="349">
        <f t="shared" ca="1" si="1"/>
        <v>48</v>
      </c>
      <c r="H44" s="350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9"/>
        <v/>
      </c>
      <c r="AJ44" s="169">
        <f t="shared" ca="1" si="4"/>
        <v>41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5"/>
        <v/>
      </c>
      <c r="AQ44" s="207" t="s">
        <v>301</v>
      </c>
      <c r="AR44" s="207" t="s">
        <v>141</v>
      </c>
      <c r="AS44" s="207">
        <v>14</v>
      </c>
      <c r="AT44" s="207" t="s">
        <v>302</v>
      </c>
      <c r="AV44" s="168">
        <f t="shared" si="21"/>
        <v>23</v>
      </c>
      <c r="AW44" s="168">
        <f>COUNTIF( AV$7:AV44, AV44 )</f>
        <v>14</v>
      </c>
      <c r="AX44" s="208">
        <f t="shared" si="22"/>
        <v>24.4</v>
      </c>
      <c r="AY44" s="168">
        <f t="shared" si="23"/>
        <v>36</v>
      </c>
      <c r="AZ44" s="169"/>
      <c r="BA44" s="169"/>
      <c r="BC44" s="168">
        <f t="shared" ca="1" si="24"/>
        <v>38</v>
      </c>
      <c r="BD44" s="209">
        <f t="shared" ca="1" si="7"/>
        <v>42</v>
      </c>
      <c r="BF44" s="173" t="str">
        <f t="shared" ca="1" si="25"/>
        <v>PPL Corporation</v>
      </c>
      <c r="BG44" s="173" t="str">
        <f t="shared" ca="1" si="9"/>
        <v>BBB</v>
      </c>
      <c r="BH44" s="173">
        <f t="shared" ca="1" si="9"/>
        <v>14</v>
      </c>
      <c r="BI44" s="173" t="str">
        <f t="shared" ca="1" si="9"/>
        <v>PPL</v>
      </c>
    </row>
    <row r="45" spans="1:61" ht="13.8" x14ac:dyDescent="0.25">
      <c r="A45" s="223" t="s">
        <v>289</v>
      </c>
      <c r="B45" s="224" t="s">
        <v>141</v>
      </c>
      <c r="C45" s="224">
        <v>18</v>
      </c>
      <c r="D45" s="224" t="s">
        <v>290</v>
      </c>
      <c r="E45" s="225" t="str">
        <f t="shared" ca="1" si="0"/>
        <v>MR</v>
      </c>
      <c r="F45" s="348"/>
      <c r="G45" s="349">
        <f t="shared" ca="1" si="1"/>
        <v>50</v>
      </c>
      <c r="H45" s="350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9"/>
        <v/>
      </c>
      <c r="AJ45" s="169">
        <f t="shared" ca="1" si="4"/>
        <v>42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5"/>
        <v/>
      </c>
      <c r="AQ45" s="207" t="s">
        <v>281</v>
      </c>
      <c r="AR45" s="207" t="s">
        <v>140</v>
      </c>
      <c r="AS45" s="207">
        <v>15</v>
      </c>
      <c r="AT45" s="207" t="s">
        <v>282</v>
      </c>
      <c r="AV45" s="168">
        <f t="shared" si="21"/>
        <v>11</v>
      </c>
      <c r="AW45" s="168">
        <f>COUNTIF( AV$7:AV45, AV45 )</f>
        <v>9</v>
      </c>
      <c r="AX45" s="208">
        <f t="shared" si="22"/>
        <v>11.9</v>
      </c>
      <c r="AY45" s="168">
        <f t="shared" si="23"/>
        <v>19</v>
      </c>
      <c r="AZ45" s="169"/>
      <c r="BA45" s="169"/>
      <c r="BC45" s="168">
        <f t="shared" ca="1" si="24"/>
        <v>39</v>
      </c>
      <c r="BD45" s="209">
        <f t="shared" ca="1" si="7"/>
        <v>43</v>
      </c>
      <c r="BF45" s="173" t="str">
        <f t="shared" ca="1" si="25"/>
        <v>Public Service Enterprise Group Incorporated</v>
      </c>
      <c r="BG45" s="173" t="str">
        <f t="shared" ca="1" si="9"/>
        <v>BBB</v>
      </c>
      <c r="BH45" s="173">
        <f t="shared" ca="1" si="9"/>
        <v>14</v>
      </c>
      <c r="BI45" s="173" t="str">
        <f t="shared" ca="1" si="9"/>
        <v>PEG</v>
      </c>
    </row>
    <row r="46" spans="1:61" ht="13.8" x14ac:dyDescent="0.25">
      <c r="A46" s="223" t="s">
        <v>389</v>
      </c>
      <c r="B46" s="224" t="s">
        <v>141</v>
      </c>
      <c r="C46" s="224">
        <v>18</v>
      </c>
      <c r="D46" s="224" t="s">
        <v>390</v>
      </c>
      <c r="E46" s="225" t="str">
        <f t="shared" ca="1" si="0"/>
        <v>R</v>
      </c>
      <c r="F46" s="348"/>
      <c r="G46" s="349">
        <f t="shared" ca="1" si="1"/>
        <v>55</v>
      </c>
      <c r="H46" s="350"/>
      <c r="I46" s="191"/>
      <c r="K46" s="191"/>
      <c r="N46" s="351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9"/>
        <v/>
      </c>
      <c r="AJ46" s="169">
        <f t="shared" ca="1" si="4"/>
        <v>43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5"/>
        <v/>
      </c>
      <c r="AQ46" s="207" t="s">
        <v>303</v>
      </c>
      <c r="AR46" s="207" t="s">
        <v>142</v>
      </c>
      <c r="AS46" s="207">
        <v>13</v>
      </c>
      <c r="AT46" s="207" t="s">
        <v>304</v>
      </c>
      <c r="AV46" s="168">
        <f t="shared" si="21"/>
        <v>42</v>
      </c>
      <c r="AW46" s="168">
        <f>COUNTIF( AV$7:AV46, AV46 )</f>
        <v>9</v>
      </c>
      <c r="AX46" s="208">
        <f t="shared" si="22"/>
        <v>42.9</v>
      </c>
      <c r="AY46" s="168">
        <f t="shared" si="23"/>
        <v>50</v>
      </c>
      <c r="AZ46" s="169"/>
      <c r="BA46" s="169"/>
      <c r="BC46" s="168">
        <f t="shared" ca="1" si="24"/>
        <v>40</v>
      </c>
      <c r="BD46" s="209">
        <f t="shared" ca="1" si="7"/>
        <v>49</v>
      </c>
      <c r="BF46" s="173" t="str">
        <f t="shared" ca="1" si="25"/>
        <v>UIL Holdings Corporation</v>
      </c>
      <c r="BG46" s="173" t="str">
        <f t="shared" ca="1" si="9"/>
        <v>BBB</v>
      </c>
      <c r="BH46" s="173">
        <f t="shared" ca="1" si="9"/>
        <v>14</v>
      </c>
      <c r="BI46" s="173" t="str">
        <f t="shared" ca="1" si="9"/>
        <v>UIL</v>
      </c>
    </row>
    <row r="47" spans="1:61" ht="13.8" x14ac:dyDescent="0.25">
      <c r="A47" s="223" t="s">
        <v>354</v>
      </c>
      <c r="B47" s="224" t="s">
        <v>141</v>
      </c>
      <c r="C47" s="224">
        <v>18</v>
      </c>
      <c r="D47" s="224" t="s">
        <v>355</v>
      </c>
      <c r="E47" s="225" t="str">
        <f t="shared" ca="1" si="0"/>
        <v>R</v>
      </c>
      <c r="F47" s="348"/>
      <c r="G47" s="349">
        <f t="shared" ca="1" si="1"/>
        <v>59</v>
      </c>
      <c r="H47" s="350"/>
      <c r="I47" s="350"/>
      <c r="J47" s="187" t="s">
        <v>373</v>
      </c>
      <c r="K47" s="191"/>
      <c r="M47" s="351"/>
      <c r="N47" s="351"/>
      <c r="AF47" s="169">
        <f t="shared" si="2"/>
        <v>0</v>
      </c>
      <c r="AG47" s="169" t="str">
        <f t="shared" ca="1" si="3"/>
        <v/>
      </c>
      <c r="AH47" s="169" t="str">
        <f t="shared" ca="1" si="19"/>
        <v/>
      </c>
      <c r="AJ47" s="169">
        <f t="shared" ca="1" si="4"/>
        <v>44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5"/>
        <v/>
      </c>
      <c r="AQ47" s="207" t="s">
        <v>285</v>
      </c>
      <c r="AR47" s="207" t="s">
        <v>141</v>
      </c>
      <c r="AS47" s="207">
        <v>14</v>
      </c>
      <c r="AT47" s="207" t="s">
        <v>286</v>
      </c>
      <c r="AV47" s="168">
        <f t="shared" si="21"/>
        <v>23</v>
      </c>
      <c r="AW47" s="168">
        <f>COUNTIF( AV$7:AV47, AV47 )</f>
        <v>15</v>
      </c>
      <c r="AX47" s="208">
        <f t="shared" si="22"/>
        <v>24.5</v>
      </c>
      <c r="AY47" s="168">
        <f t="shared" si="23"/>
        <v>37</v>
      </c>
      <c r="AZ47" s="169"/>
      <c r="BA47" s="169"/>
      <c r="BC47" s="168">
        <f t="shared" ca="1" si="24"/>
        <v>41</v>
      </c>
      <c r="BD47" s="209">
        <f t="shared" ca="1" si="7"/>
        <v>51</v>
      </c>
      <c r="BF47" s="173" t="str">
        <f t="shared" ca="1" si="25"/>
        <v>Westar Energy, Inc.</v>
      </c>
      <c r="BG47" s="173" t="str">
        <f t="shared" ca="1" si="9"/>
        <v>BBB</v>
      </c>
      <c r="BH47" s="173">
        <f t="shared" ca="1" si="9"/>
        <v>14</v>
      </c>
      <c r="BI47" s="173" t="str">
        <f t="shared" ca="1" si="9"/>
        <v>WR</v>
      </c>
    </row>
    <row r="48" spans="1:61" ht="13.8" x14ac:dyDescent="0.25">
      <c r="A48" s="223" t="s">
        <v>245</v>
      </c>
      <c r="B48" s="224" t="s">
        <v>142</v>
      </c>
      <c r="C48" s="224">
        <v>17</v>
      </c>
      <c r="D48" s="224" t="s">
        <v>246</v>
      </c>
      <c r="E48" s="225" t="str">
        <f t="shared" ca="1" si="0"/>
        <v>MR</v>
      </c>
      <c r="F48" s="348"/>
      <c r="G48" s="349">
        <f t="shared" ca="1" si="1"/>
        <v>12</v>
      </c>
      <c r="H48" s="350"/>
      <c r="I48" s="350"/>
      <c r="K48" s="191"/>
      <c r="M48" s="351"/>
      <c r="N48" s="351"/>
      <c r="AF48" s="169">
        <f t="shared" si="2"/>
        <v>1</v>
      </c>
      <c r="AG48" s="169" t="str">
        <f t="shared" ca="1" si="3"/>
        <v/>
      </c>
      <c r="AH48" s="169" t="str">
        <f t="shared" ca="1" si="19"/>
        <v/>
      </c>
      <c r="AJ48" s="169">
        <f t="shared" ca="1" si="4"/>
        <v>46</v>
      </c>
      <c r="AK48" s="169" t="str">
        <f t="shared" ca="1" si="20"/>
        <v>BBB-</v>
      </c>
      <c r="AL48" s="169">
        <f t="shared" ca="1" si="20"/>
        <v>17</v>
      </c>
      <c r="AM48" s="169" t="str">
        <f t="shared" ca="1" si="5"/>
        <v/>
      </c>
      <c r="AQ48" s="207" t="s">
        <v>243</v>
      </c>
      <c r="AR48" s="207" t="s">
        <v>141</v>
      </c>
      <c r="AS48" s="207">
        <v>14</v>
      </c>
      <c r="AT48" s="207" t="s">
        <v>244</v>
      </c>
      <c r="AV48" s="168">
        <f t="shared" si="21"/>
        <v>23</v>
      </c>
      <c r="AW48" s="168">
        <f>COUNTIF( AV$7:AV48, AV48 )</f>
        <v>16</v>
      </c>
      <c r="AX48" s="208">
        <f t="shared" si="22"/>
        <v>24.6</v>
      </c>
      <c r="AY48" s="168">
        <f t="shared" si="23"/>
        <v>38</v>
      </c>
      <c r="AZ48" s="169"/>
      <c r="BA48" s="169"/>
      <c r="BC48" s="168">
        <f t="shared" ca="1" si="24"/>
        <v>42</v>
      </c>
      <c r="BD48" s="209">
        <f t="shared" ca="1" si="7"/>
        <v>6</v>
      </c>
      <c r="BF48" s="173" t="str">
        <f t="shared" ca="1" si="25"/>
        <v>Black Hills Corporation</v>
      </c>
      <c r="BG48" s="173" t="str">
        <f t="shared" ca="1" si="9"/>
        <v>BBB-</v>
      </c>
      <c r="BH48" s="173">
        <f t="shared" ca="1" si="9"/>
        <v>13</v>
      </c>
      <c r="BI48" s="173" t="str">
        <f t="shared" ca="1" si="9"/>
        <v>BKH</v>
      </c>
    </row>
    <row r="49" spans="1:61" ht="13.8" x14ac:dyDescent="0.25">
      <c r="A49" s="223" t="s">
        <v>265</v>
      </c>
      <c r="B49" s="224" t="s">
        <v>142</v>
      </c>
      <c r="C49" s="224">
        <v>17</v>
      </c>
      <c r="D49" s="224" t="s">
        <v>266</v>
      </c>
      <c r="E49" s="225" t="str">
        <f t="shared" ca="1" si="0"/>
        <v>R</v>
      </c>
      <c r="F49" s="348"/>
      <c r="G49" s="349">
        <f t="shared" ca="1" si="1"/>
        <v>23</v>
      </c>
      <c r="H49" s="350"/>
      <c r="I49" s="350"/>
      <c r="J49" s="191"/>
      <c r="K49" s="191"/>
      <c r="M49" s="351"/>
      <c r="N49" s="351"/>
      <c r="AF49" s="169">
        <f t="shared" si="2"/>
        <v>1</v>
      </c>
      <c r="AG49" s="169" t="str">
        <f t="shared" ca="1" si="3"/>
        <v/>
      </c>
      <c r="AH49" s="169" t="str">
        <f t="shared" ca="1" si="19"/>
        <v/>
      </c>
      <c r="AJ49" s="169">
        <f t="shared" ca="1" si="4"/>
        <v>48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5"/>
        <v/>
      </c>
      <c r="AQ49" s="207" t="s">
        <v>289</v>
      </c>
      <c r="AR49" s="207" t="s">
        <v>141</v>
      </c>
      <c r="AS49" s="207">
        <v>14</v>
      </c>
      <c r="AT49" s="207" t="s">
        <v>290</v>
      </c>
      <c r="AV49" s="168">
        <f t="shared" si="21"/>
        <v>23</v>
      </c>
      <c r="AW49" s="168">
        <f>COUNTIF( AV$7:AV49, AV49 )</f>
        <v>17</v>
      </c>
      <c r="AX49" s="208">
        <f t="shared" si="22"/>
        <v>24.7</v>
      </c>
      <c r="AY49" s="168">
        <f t="shared" si="23"/>
        <v>39</v>
      </c>
      <c r="AZ49" s="169"/>
      <c r="BA49" s="169"/>
      <c r="BC49" s="168">
        <f t="shared" ca="1" si="24"/>
        <v>43</v>
      </c>
      <c r="BD49" s="209">
        <f t="shared" ca="1" si="7"/>
        <v>15</v>
      </c>
      <c r="BF49" s="173" t="str">
        <f t="shared" ca="1" si="25"/>
        <v>Edison International</v>
      </c>
      <c r="BG49" s="173" t="str">
        <f t="shared" ca="1" si="9"/>
        <v>BBB-</v>
      </c>
      <c r="BH49" s="173">
        <f t="shared" ca="1" si="9"/>
        <v>13</v>
      </c>
      <c r="BI49" s="173" t="str">
        <f t="shared" ca="1" si="9"/>
        <v>EIX</v>
      </c>
    </row>
    <row r="50" spans="1:61" ht="13.8" x14ac:dyDescent="0.25">
      <c r="A50" s="223" t="s">
        <v>275</v>
      </c>
      <c r="B50" s="224" t="s">
        <v>142</v>
      </c>
      <c r="C50" s="224">
        <v>17</v>
      </c>
      <c r="D50" s="224" t="s">
        <v>276</v>
      </c>
      <c r="E50" s="225" t="str">
        <f t="shared" ca="1" si="0"/>
        <v>MR</v>
      </c>
      <c r="F50" s="348"/>
      <c r="G50" s="349">
        <f t="shared" ca="1" si="1"/>
        <v>28</v>
      </c>
      <c r="H50" s="350"/>
      <c r="I50" s="350"/>
      <c r="J50" s="191"/>
      <c r="K50" s="191"/>
      <c r="M50" s="351"/>
      <c r="N50" s="351"/>
      <c r="AF50" s="169">
        <f t="shared" si="2"/>
        <v>1</v>
      </c>
      <c r="AG50" s="169" t="str">
        <f t="shared" ca="1" si="3"/>
        <v/>
      </c>
      <c r="AH50" s="169" t="str">
        <f t="shared" ca="1" si="19"/>
        <v/>
      </c>
      <c r="AJ50" s="169">
        <f t="shared" ca="1" si="4"/>
        <v>50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5"/>
        <v/>
      </c>
      <c r="AQ50" s="207" t="s">
        <v>305</v>
      </c>
      <c r="AR50" s="207" t="s">
        <v>173</v>
      </c>
      <c r="AS50" s="207">
        <v>12</v>
      </c>
      <c r="AT50" s="207" t="s">
        <v>306</v>
      </c>
      <c r="AV50" s="168">
        <f t="shared" si="21"/>
        <v>51</v>
      </c>
      <c r="AW50" s="168">
        <f>COUNTIF( AV$7:AV50, AV50 )</f>
        <v>1</v>
      </c>
      <c r="AX50" s="208">
        <f t="shared" si="22"/>
        <v>51.1</v>
      </c>
      <c r="AY50" s="168">
        <f t="shared" si="23"/>
        <v>51</v>
      </c>
      <c r="AZ50" s="169"/>
      <c r="BA50" s="169"/>
      <c r="BC50" s="168">
        <f t="shared" ca="1" si="24"/>
        <v>44</v>
      </c>
      <c r="BD50" s="209">
        <f t="shared" ca="1" si="7"/>
        <v>21</v>
      </c>
      <c r="BF50" s="173" t="str">
        <f t="shared" ca="1" si="25"/>
        <v>FirstEnergy Corp.</v>
      </c>
      <c r="BG50" s="173" t="str">
        <f t="shared" ca="1" si="9"/>
        <v>BBB-</v>
      </c>
      <c r="BH50" s="173">
        <f t="shared" ca="1" si="9"/>
        <v>13</v>
      </c>
      <c r="BI50" s="173" t="str">
        <f t="shared" ca="1" si="9"/>
        <v>FE</v>
      </c>
    </row>
    <row r="51" spans="1:61" ht="13.8" x14ac:dyDescent="0.25">
      <c r="A51" s="223" t="s">
        <v>279</v>
      </c>
      <c r="B51" s="224" t="s">
        <v>142</v>
      </c>
      <c r="C51" s="224">
        <v>17</v>
      </c>
      <c r="D51" s="224" t="s">
        <v>280</v>
      </c>
      <c r="E51" s="225" t="str">
        <f t="shared" ca="1" si="0"/>
        <v>D</v>
      </c>
      <c r="F51" s="348"/>
      <c r="G51" s="349">
        <f t="shared" ca="1" si="1"/>
        <v>30</v>
      </c>
      <c r="H51" s="350"/>
      <c r="I51" s="350"/>
      <c r="J51" s="191"/>
      <c r="K51" s="191"/>
      <c r="M51" s="351"/>
      <c r="N51" s="351"/>
      <c r="AF51" s="169">
        <f t="shared" si="2"/>
        <v>1</v>
      </c>
      <c r="AG51" s="169" t="str">
        <f t="shared" ca="1" si="3"/>
        <v/>
      </c>
      <c r="AH51" s="169" t="str">
        <f t="shared" ca="1" si="19"/>
        <v/>
      </c>
      <c r="AJ51" s="169">
        <f t="shared" ca="1" si="4"/>
        <v>51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5"/>
        <v/>
      </c>
      <c r="AQ51" s="207" t="s">
        <v>347</v>
      </c>
      <c r="AR51" s="207" t="s">
        <v>140</v>
      </c>
      <c r="AS51" s="207">
        <v>15</v>
      </c>
      <c r="AT51" s="207" t="s">
        <v>348</v>
      </c>
      <c r="AV51" s="168">
        <f t="shared" si="21"/>
        <v>11</v>
      </c>
      <c r="AW51" s="168">
        <f>COUNTIF( AV$7:AV51, AV51 )</f>
        <v>10</v>
      </c>
      <c r="AX51" s="208">
        <f t="shared" si="22"/>
        <v>12</v>
      </c>
      <c r="AY51" s="168">
        <f t="shared" si="23"/>
        <v>20</v>
      </c>
      <c r="AZ51" s="169"/>
      <c r="BA51" s="169"/>
      <c r="BC51" s="168">
        <f t="shared" ca="1" si="24"/>
        <v>45</v>
      </c>
      <c r="BD51" s="209">
        <f t="shared" ca="1" si="7"/>
        <v>23</v>
      </c>
      <c r="BF51" s="173" t="str">
        <f t="shared" ca="1" si="25"/>
        <v>Hawaiian Electric Industries, Inc.</v>
      </c>
      <c r="BG51" s="173" t="str">
        <f t="shared" ca="1" si="9"/>
        <v>BBB-</v>
      </c>
      <c r="BH51" s="173">
        <f t="shared" ca="1" si="9"/>
        <v>13</v>
      </c>
      <c r="BI51" s="173" t="str">
        <f t="shared" ca="1" si="9"/>
        <v>HE</v>
      </c>
    </row>
    <row r="52" spans="1:61" ht="13.8" x14ac:dyDescent="0.25">
      <c r="A52" s="223" t="s">
        <v>287</v>
      </c>
      <c r="B52" s="224" t="s">
        <v>142</v>
      </c>
      <c r="C52" s="224">
        <v>17</v>
      </c>
      <c r="D52" s="224" t="s">
        <v>288</v>
      </c>
      <c r="E52" s="225" t="str">
        <f t="shared" ca="1" si="0"/>
        <v>R</v>
      </c>
      <c r="F52" s="348"/>
      <c r="G52" s="349">
        <f t="shared" ca="1" si="1"/>
        <v>66</v>
      </c>
      <c r="H52" s="350"/>
      <c r="I52" s="350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9"/>
        <v/>
      </c>
      <c r="AJ52" s="169">
        <f t="shared" ca="1" si="4"/>
        <v>52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5"/>
        <v/>
      </c>
      <c r="AQ52" s="207" t="s">
        <v>291</v>
      </c>
      <c r="AR52" s="207" t="s">
        <v>140</v>
      </c>
      <c r="AS52" s="207">
        <v>15</v>
      </c>
      <c r="AT52" s="207" t="s">
        <v>292</v>
      </c>
      <c r="AV52" s="168">
        <f t="shared" si="21"/>
        <v>11</v>
      </c>
      <c r="AW52" s="168">
        <f>COUNTIF( AV$7:AV52, AV52 )</f>
        <v>11</v>
      </c>
      <c r="AX52" s="208">
        <f t="shared" si="22"/>
        <v>12.1</v>
      </c>
      <c r="AY52" s="168">
        <f t="shared" si="23"/>
        <v>21</v>
      </c>
      <c r="AZ52" s="169"/>
      <c r="BA52" s="169"/>
      <c r="BC52" s="168">
        <f t="shared" ca="1" si="24"/>
        <v>46</v>
      </c>
      <c r="BD52" s="209">
        <f t="shared" ca="1" si="7"/>
        <v>27</v>
      </c>
      <c r="BF52" s="173" t="str">
        <f t="shared" ca="1" si="25"/>
        <v>IPALCO Enterprises, Inc.</v>
      </c>
      <c r="BG52" s="173" t="str">
        <f t="shared" ca="1" si="9"/>
        <v>BBB-</v>
      </c>
      <c r="BH52" s="173">
        <f t="shared" ca="1" si="9"/>
        <v>13</v>
      </c>
      <c r="BI52" s="173" t="str">
        <f t="shared" ca="1" si="9"/>
        <v>**IPALCO</v>
      </c>
    </row>
    <row r="53" spans="1:61" ht="13.8" x14ac:dyDescent="0.25">
      <c r="A53" s="223" t="s">
        <v>273</v>
      </c>
      <c r="B53" s="224" t="s">
        <v>142</v>
      </c>
      <c r="C53" s="224">
        <v>17</v>
      </c>
      <c r="D53" s="224" t="s">
        <v>274</v>
      </c>
      <c r="E53" s="225" t="str">
        <f t="shared" ca="1" si="0"/>
        <v>MR</v>
      </c>
      <c r="F53" s="348"/>
      <c r="G53" s="349">
        <f t="shared" ca="1" si="1"/>
        <v>36</v>
      </c>
      <c r="H53" s="350"/>
      <c r="I53" s="350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9"/>
        <v/>
      </c>
      <c r="AJ53" s="169">
        <f t="shared" ca="1" si="4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5"/>
        <v/>
      </c>
      <c r="AQ53" s="207" t="s">
        <v>293</v>
      </c>
      <c r="AR53" s="207" t="s">
        <v>166</v>
      </c>
      <c r="AS53" s="207">
        <v>17</v>
      </c>
      <c r="AT53" s="207" t="s">
        <v>294</v>
      </c>
      <c r="AV53" s="168">
        <f t="shared" si="21"/>
        <v>1</v>
      </c>
      <c r="AW53" s="168">
        <f>COUNTIF( AV$7:AV53, AV53 )</f>
        <v>1</v>
      </c>
      <c r="AX53" s="208">
        <f t="shared" si="22"/>
        <v>1.1000000000000001</v>
      </c>
      <c r="AY53" s="168">
        <f t="shared" si="23"/>
        <v>1</v>
      </c>
      <c r="AZ53" s="169"/>
      <c r="BA53" s="169"/>
      <c r="BC53" s="168">
        <f t="shared" ca="1" si="24"/>
        <v>47</v>
      </c>
      <c r="BD53" s="209">
        <f t="shared" ca="1" si="7"/>
        <v>31</v>
      </c>
      <c r="BF53" s="173" t="str">
        <f t="shared" ca="1" si="25"/>
        <v>NiSource Inc.</v>
      </c>
      <c r="BG53" s="173" t="str">
        <f t="shared" ca="1" si="9"/>
        <v>BBB-</v>
      </c>
      <c r="BH53" s="173">
        <f t="shared" ca="1" si="9"/>
        <v>13</v>
      </c>
      <c r="BI53" s="173" t="str">
        <f t="shared" ca="1" si="9"/>
        <v>NI</v>
      </c>
    </row>
    <row r="54" spans="1:61" ht="13.8" x14ac:dyDescent="0.25">
      <c r="A54" s="223" t="s">
        <v>411</v>
      </c>
      <c r="B54" s="224" t="s">
        <v>142</v>
      </c>
      <c r="C54" s="224">
        <v>17</v>
      </c>
      <c r="D54" s="224" t="s">
        <v>412</v>
      </c>
      <c r="E54" s="225" t="str">
        <f t="shared" ca="1" si="0"/>
        <v>R</v>
      </c>
      <c r="F54" s="348"/>
      <c r="G54" s="349">
        <f t="shared" ca="1" si="1"/>
        <v>40</v>
      </c>
      <c r="H54" s="350"/>
      <c r="I54" s="350"/>
      <c r="J54" s="191"/>
      <c r="K54" s="191"/>
      <c r="AF54" s="169">
        <f t="shared" si="2"/>
        <v>1</v>
      </c>
      <c r="AG54" s="169">
        <f t="shared" ca="1" si="3"/>
        <v>1</v>
      </c>
      <c r="AH54" s="169" t="str">
        <f t="shared" ca="1" si="19"/>
        <v/>
      </c>
      <c r="AJ54" s="169">
        <f t="shared" ca="1" si="4"/>
        <v>56</v>
      </c>
      <c r="AK54" s="169" t="str">
        <f t="shared" ca="1" si="20"/>
        <v>BB+</v>
      </c>
      <c r="AL54" s="169">
        <f t="shared" ca="1" si="20"/>
        <v>16</v>
      </c>
      <c r="AM54" s="169" t="str">
        <f t="shared" ca="1" si="5"/>
        <v>Change</v>
      </c>
      <c r="AQ54" s="207" t="s">
        <v>369</v>
      </c>
      <c r="AR54" s="207" t="s">
        <v>140</v>
      </c>
      <c r="AS54" s="207">
        <v>15</v>
      </c>
      <c r="AT54" s="207" t="s">
        <v>375</v>
      </c>
      <c r="AV54" s="168">
        <f t="shared" si="21"/>
        <v>11</v>
      </c>
      <c r="AW54" s="168">
        <f>COUNTIF( AV$7:AV54, AV54 )</f>
        <v>12</v>
      </c>
      <c r="AX54" s="208">
        <f t="shared" si="22"/>
        <v>12.2</v>
      </c>
      <c r="AY54" s="168">
        <f t="shared" si="23"/>
        <v>22</v>
      </c>
      <c r="AZ54" s="169"/>
      <c r="BA54" s="169"/>
      <c r="BC54" s="168">
        <f t="shared" ca="1" si="24"/>
        <v>48</v>
      </c>
      <c r="BD54" s="209">
        <f t="shared" ca="1" si="7"/>
        <v>34</v>
      </c>
      <c r="BF54" s="173" t="str">
        <f t="shared" ca="1" si="25"/>
        <v>NV Energy, Inc.</v>
      </c>
      <c r="BG54" s="173" t="str">
        <f t="shared" ca="1" si="9"/>
        <v>BBB-</v>
      </c>
      <c r="BH54" s="173">
        <f t="shared" ca="1" si="9"/>
        <v>13</v>
      </c>
      <c r="BI54" s="173" t="str">
        <f t="shared" ca="1" si="9"/>
        <v>NVE</v>
      </c>
    </row>
    <row r="55" spans="1:61" ht="13.8" x14ac:dyDescent="0.25">
      <c r="A55" s="223" t="s">
        <v>299</v>
      </c>
      <c r="B55" s="224" t="s">
        <v>142</v>
      </c>
      <c r="C55" s="224">
        <v>17</v>
      </c>
      <c r="D55" s="224" t="s">
        <v>300</v>
      </c>
      <c r="E55" s="225" t="str">
        <f t="shared" ca="1" si="0"/>
        <v>MR</v>
      </c>
      <c r="F55" s="348"/>
      <c r="G55" s="349">
        <f t="shared" ca="1" si="1"/>
        <v>42</v>
      </c>
      <c r="H55" s="350"/>
      <c r="I55" s="350"/>
      <c r="J55" s="191"/>
      <c r="K55" s="191"/>
      <c r="AF55" s="169">
        <f t="shared" si="2"/>
        <v>1</v>
      </c>
      <c r="AG55" s="169" t="str">
        <f t="shared" ca="1" si="3"/>
        <v/>
      </c>
      <c r="AH55" s="169" t="str">
        <f t="shared" ca="1" si="19"/>
        <v/>
      </c>
      <c r="AJ55" s="169">
        <f t="shared" ca="1" si="4"/>
        <v>54</v>
      </c>
      <c r="AK55" s="169" t="str">
        <f t="shared" ca="1" si="20"/>
        <v>BBB-</v>
      </c>
      <c r="AL55" s="169">
        <f t="shared" ca="1" si="20"/>
        <v>17</v>
      </c>
      <c r="AM55" s="169" t="str">
        <f t="shared" ca="1" si="5"/>
        <v/>
      </c>
      <c r="AQ55" s="207" t="s">
        <v>389</v>
      </c>
      <c r="AR55" s="207" t="s">
        <v>141</v>
      </c>
      <c r="AS55" s="207">
        <v>14</v>
      </c>
      <c r="AT55" s="207" t="s">
        <v>390</v>
      </c>
      <c r="AV55" s="168">
        <f t="shared" si="21"/>
        <v>23</v>
      </c>
      <c r="AW55" s="168">
        <f>COUNTIF( AV$7:AV55, AV55 )</f>
        <v>18</v>
      </c>
      <c r="AX55" s="208">
        <f t="shared" si="22"/>
        <v>24.8</v>
      </c>
      <c r="AY55" s="168">
        <f t="shared" si="23"/>
        <v>40</v>
      </c>
      <c r="AZ55" s="169"/>
      <c r="BA55" s="169"/>
      <c r="BC55" s="168">
        <f t="shared" ca="1" si="24"/>
        <v>49</v>
      </c>
      <c r="BD55" s="209">
        <f t="shared" ca="1" si="7"/>
        <v>36</v>
      </c>
      <c r="BF55" s="173" t="str">
        <f t="shared" ca="1" si="25"/>
        <v>Otter Tail Corporation</v>
      </c>
      <c r="BG55" s="173" t="str">
        <f t="shared" ca="1" si="9"/>
        <v>BBB-</v>
      </c>
      <c r="BH55" s="173">
        <f t="shared" ca="1" si="9"/>
        <v>13</v>
      </c>
      <c r="BI55" s="173" t="str">
        <f t="shared" ca="1" si="9"/>
        <v>OTTR</v>
      </c>
    </row>
    <row r="56" spans="1:61" ht="13.8" x14ac:dyDescent="0.25">
      <c r="A56" s="223" t="s">
        <v>303</v>
      </c>
      <c r="B56" s="224" t="s">
        <v>142</v>
      </c>
      <c r="C56" s="224">
        <v>17</v>
      </c>
      <c r="D56" s="224" t="s">
        <v>304</v>
      </c>
      <c r="E56" s="225" t="str">
        <f t="shared" ca="1" si="0"/>
        <v>R</v>
      </c>
      <c r="F56" s="348"/>
      <c r="G56" s="349">
        <f t="shared" ca="1" si="1"/>
        <v>46</v>
      </c>
      <c r="H56" s="350"/>
      <c r="I56" s="350"/>
      <c r="J56" s="191"/>
      <c r="K56" s="191"/>
      <c r="AF56" s="169">
        <f t="shared" si="2"/>
        <v>1</v>
      </c>
      <c r="AG56" s="169" t="str">
        <f t="shared" ca="1" si="3"/>
        <v/>
      </c>
      <c r="AH56" s="169" t="str">
        <f t="shared" ca="1" si="19"/>
        <v/>
      </c>
      <c r="AJ56" s="169">
        <f t="shared" ca="1" si="4"/>
        <v>55</v>
      </c>
      <c r="AK56" s="169" t="str">
        <f t="shared" ca="1" si="20"/>
        <v>BBB-</v>
      </c>
      <c r="AL56" s="169">
        <f t="shared" ca="1" si="20"/>
        <v>17</v>
      </c>
      <c r="AM56" s="169" t="str">
        <f t="shared" ca="1" si="5"/>
        <v/>
      </c>
      <c r="AQ56" s="207" t="s">
        <v>345</v>
      </c>
      <c r="AR56" s="207" t="s">
        <v>139</v>
      </c>
      <c r="AS56" s="207">
        <v>16</v>
      </c>
      <c r="AT56" s="207" t="s">
        <v>346</v>
      </c>
      <c r="AV56" s="168">
        <f t="shared" si="21"/>
        <v>2</v>
      </c>
      <c r="AW56" s="168">
        <f>COUNTIF( AV$7:AV56, AV56 )</f>
        <v>7</v>
      </c>
      <c r="AX56" s="208">
        <f t="shared" si="22"/>
        <v>2.7</v>
      </c>
      <c r="AY56" s="168">
        <f t="shared" si="23"/>
        <v>8</v>
      </c>
      <c r="AZ56" s="169"/>
      <c r="BA56" s="169"/>
      <c r="BC56" s="168">
        <f t="shared" ca="1" si="24"/>
        <v>50</v>
      </c>
      <c r="BD56" s="209">
        <f t="shared" ca="1" si="7"/>
        <v>40</v>
      </c>
      <c r="BF56" s="173" t="str">
        <f t="shared" ca="1" si="25"/>
        <v>PNM Resources, Inc.</v>
      </c>
      <c r="BG56" s="173" t="str">
        <f t="shared" ca="1" si="9"/>
        <v>BBB-</v>
      </c>
      <c r="BH56" s="173">
        <f t="shared" ca="1" si="9"/>
        <v>13</v>
      </c>
      <c r="BI56" s="173" t="str">
        <f t="shared" ca="1" si="9"/>
        <v>PNM</v>
      </c>
    </row>
    <row r="57" spans="1:61" ht="13.8" x14ac:dyDescent="0.25">
      <c r="A57" s="223" t="s">
        <v>305</v>
      </c>
      <c r="B57" s="224" t="s">
        <v>173</v>
      </c>
      <c r="C57" s="224">
        <v>16</v>
      </c>
      <c r="D57" s="224" t="s">
        <v>306</v>
      </c>
      <c r="E57" s="225" t="str">
        <f t="shared" ca="1" si="0"/>
        <v>R</v>
      </c>
      <c r="F57" s="348"/>
      <c r="G57" s="349">
        <f t="shared" ca="1" si="1"/>
        <v>68</v>
      </c>
      <c r="H57" s="350"/>
      <c r="I57" s="350"/>
      <c r="J57" s="191"/>
      <c r="K57" s="191"/>
      <c r="AF57" s="169">
        <f t="shared" si="2"/>
        <v>0</v>
      </c>
      <c r="AG57" s="169" t="str">
        <f t="shared" ca="1" si="3"/>
        <v/>
      </c>
      <c r="AH57" s="169" t="str">
        <f t="shared" ca="1" si="19"/>
        <v/>
      </c>
      <c r="AJ57" s="169">
        <f t="shared" ca="1" si="4"/>
        <v>57</v>
      </c>
      <c r="AK57" s="169" t="str">
        <f t="shared" ca="1" si="20"/>
        <v>BB+</v>
      </c>
      <c r="AL57" s="169">
        <f t="shared" ca="1" si="20"/>
        <v>16</v>
      </c>
      <c r="AM57" s="169" t="str">
        <f t="shared" ca="1" si="5"/>
        <v/>
      </c>
      <c r="AQ57" s="207" t="s">
        <v>354</v>
      </c>
      <c r="AR57" s="207" t="s">
        <v>141</v>
      </c>
      <c r="AS57" s="207">
        <v>14</v>
      </c>
      <c r="AT57" s="207" t="s">
        <v>355</v>
      </c>
      <c r="AV57" s="168">
        <f t="shared" si="21"/>
        <v>23</v>
      </c>
      <c r="AW57" s="168">
        <f>COUNTIF( AV$7:AV57, AV57 )</f>
        <v>19</v>
      </c>
      <c r="AX57" s="208">
        <f t="shared" si="22"/>
        <v>24.9</v>
      </c>
      <c r="AY57" s="168">
        <f t="shared" si="23"/>
        <v>41</v>
      </c>
      <c r="AZ57" s="169"/>
      <c r="BA57" s="169"/>
      <c r="BC57" s="168">
        <f t="shared" ca="1" si="24"/>
        <v>51</v>
      </c>
      <c r="BD57" s="209">
        <f t="shared" ca="1" si="7"/>
        <v>44</v>
      </c>
      <c r="BF57" s="173" t="str">
        <f t="shared" ca="1" si="25"/>
        <v>Puget Energy, Inc.</v>
      </c>
      <c r="BG57" s="173" t="str">
        <f t="shared" ca="1" si="9"/>
        <v>BB+</v>
      </c>
      <c r="BH57" s="173">
        <f t="shared" ca="1" si="9"/>
        <v>12</v>
      </c>
      <c r="BI57" s="173" t="str">
        <f t="shared" ca="1" si="9"/>
        <v>**PSD</v>
      </c>
    </row>
    <row r="58" spans="1:61" ht="13.8" x14ac:dyDescent="0.25">
      <c r="A58" s="223" t="s">
        <v>259</v>
      </c>
      <c r="B58" s="224" t="s">
        <v>175</v>
      </c>
      <c r="C58" s="224">
        <v>15</v>
      </c>
      <c r="D58" s="224" t="s">
        <v>260</v>
      </c>
      <c r="E58" s="225" t="str">
        <f t="shared" ca="1" si="0"/>
        <v>R</v>
      </c>
      <c r="F58" s="348"/>
      <c r="G58" s="349">
        <f t="shared" ca="1" si="1"/>
        <v>64</v>
      </c>
      <c r="H58" s="350"/>
      <c r="I58" s="350"/>
      <c r="J58" s="191"/>
      <c r="K58" s="191"/>
      <c r="AF58" s="169">
        <f t="shared" si="2"/>
        <v>1</v>
      </c>
      <c r="AG58" s="169" t="str">
        <f t="shared" ca="1" si="3"/>
        <v/>
      </c>
      <c r="AH58" s="169" t="str">
        <f t="shared" ca="1" si="19"/>
        <v/>
      </c>
      <c r="AJ58" s="169">
        <f t="shared" ca="1" si="4"/>
        <v>58</v>
      </c>
      <c r="AK58" s="169" t="str">
        <f t="shared" ca="1" si="20"/>
        <v>BB</v>
      </c>
      <c r="AL58" s="169">
        <f t="shared" ca="1" si="20"/>
        <v>15</v>
      </c>
      <c r="AM58" s="169" t="str">
        <f t="shared" ca="1" si="5"/>
        <v/>
      </c>
      <c r="AQ58" s="207" t="s">
        <v>247</v>
      </c>
      <c r="AR58" s="207" t="s">
        <v>139</v>
      </c>
      <c r="AS58" s="207">
        <v>16</v>
      </c>
      <c r="AT58" s="207" t="s">
        <v>248</v>
      </c>
      <c r="AV58" s="168">
        <f t="shared" si="21"/>
        <v>2</v>
      </c>
      <c r="AW58" s="168">
        <f>COUNTIF( AV$7:AV58, AV58 )</f>
        <v>8</v>
      </c>
      <c r="AX58" s="208">
        <f t="shared" si="22"/>
        <v>2.8</v>
      </c>
      <c r="AY58" s="168">
        <f t="shared" si="23"/>
        <v>9</v>
      </c>
      <c r="AZ58" s="169"/>
      <c r="BA58" s="169"/>
      <c r="BC58" s="168">
        <f t="shared" ca="1" si="24"/>
        <v>52</v>
      </c>
      <c r="BD58" s="209">
        <f t="shared" ca="1" si="7"/>
        <v>12</v>
      </c>
      <c r="BF58" s="173" t="str">
        <f t="shared" ca="1" si="25"/>
        <v>DPL Inc.</v>
      </c>
      <c r="BG58" s="173" t="str">
        <f t="shared" ca="1" si="9"/>
        <v>BB</v>
      </c>
      <c r="BH58" s="173">
        <f t="shared" ca="1" si="9"/>
        <v>11</v>
      </c>
      <c r="BI58" s="173" t="str">
        <f t="shared" ca="1" si="9"/>
        <v>**DPL</v>
      </c>
    </row>
    <row r="59" spans="1:61" ht="13.8" x14ac:dyDescent="0.25">
      <c r="A59" s="223" t="s">
        <v>371</v>
      </c>
      <c r="B59" s="224" t="s">
        <v>187</v>
      </c>
      <c r="C59" s="224">
        <v>9</v>
      </c>
      <c r="D59" s="224" t="s">
        <v>359</v>
      </c>
      <c r="E59" s="225" t="str">
        <f t="shared" ca="1" si="0"/>
        <v>D</v>
      </c>
      <c r="F59" s="348"/>
      <c r="G59" s="349">
        <f t="shared" ca="1" si="1"/>
        <v>65</v>
      </c>
      <c r="H59" s="350"/>
      <c r="I59" s="350"/>
      <c r="J59" s="191"/>
      <c r="K59" s="191"/>
      <c r="AF59" s="169">
        <f t="shared" si="2"/>
        <v>0</v>
      </c>
      <c r="AG59" s="169">
        <f t="shared" ca="1" si="3"/>
        <v>1</v>
      </c>
      <c r="AH59" s="169" t="str">
        <f t="shared" ca="1" si="19"/>
        <v/>
      </c>
      <c r="AJ59" s="169">
        <f t="shared" ca="1" si="4"/>
        <v>59</v>
      </c>
      <c r="AK59" s="169" t="str">
        <f t="shared" ca="1" si="20"/>
        <v>SD</v>
      </c>
      <c r="AL59" s="169">
        <f t="shared" ca="1" si="20"/>
        <v>2</v>
      </c>
      <c r="AM59" s="169" t="str">
        <f t="shared" ca="1" si="5"/>
        <v>Change</v>
      </c>
      <c r="AQ59" s="207" t="s">
        <v>251</v>
      </c>
      <c r="AR59" s="207" t="s">
        <v>139</v>
      </c>
      <c r="AS59" s="207">
        <v>16</v>
      </c>
      <c r="AT59" s="207" t="s">
        <v>252</v>
      </c>
      <c r="AV59" s="168">
        <f t="shared" si="21"/>
        <v>2</v>
      </c>
      <c r="AW59" s="168">
        <f>COUNTIF( AV$7:AV59, AV59 )</f>
        <v>9</v>
      </c>
      <c r="AX59" s="208">
        <f t="shared" si="22"/>
        <v>2.9</v>
      </c>
      <c r="AY59" s="168">
        <f t="shared" si="23"/>
        <v>10</v>
      </c>
      <c r="AZ59" s="169"/>
      <c r="BA59" s="169"/>
      <c r="BC59" s="168">
        <f t="shared" ca="1" si="24"/>
        <v>53</v>
      </c>
      <c r="BD59" s="209">
        <f t="shared" ca="1" si="7"/>
        <v>18</v>
      </c>
      <c r="BF59" s="173" t="str">
        <f t="shared" ca="1" si="25"/>
        <v>Energy Future Holdings Corp.</v>
      </c>
      <c r="BG59" s="173" t="str">
        <f t="shared" ca="1" si="9"/>
        <v>CCC</v>
      </c>
      <c r="BH59" s="173">
        <f t="shared" ca="1" si="9"/>
        <v>5</v>
      </c>
      <c r="BI59" s="173" t="str">
        <f t="shared" ca="1" si="9"/>
        <v>**EFH</v>
      </c>
    </row>
    <row r="60" spans="1:61" ht="13.8" x14ac:dyDescent="0.25">
      <c r="A60" s="180"/>
      <c r="B60" s="181"/>
      <c r="C60" s="181"/>
      <c r="D60" s="181"/>
      <c r="E60" s="182"/>
      <c r="F60" s="350"/>
      <c r="G60" s="353" t="str">
        <f t="shared" ca="1" si="1"/>
        <v/>
      </c>
      <c r="H60" s="350"/>
      <c r="I60" s="350"/>
      <c r="AF60" s="169">
        <f t="shared" si="2"/>
        <v>0</v>
      </c>
      <c r="AG60" s="169" t="str">
        <f t="shared" si="3"/>
        <v/>
      </c>
      <c r="AH60" s="169" t="str">
        <f t="shared" si="19"/>
        <v/>
      </c>
      <c r="AJ60" s="169" t="e">
        <f t="shared" ca="1" si="4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5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1</v>
      </c>
      <c r="AX60" s="208">
        <f t="shared" si="22"/>
        <v>99.1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7"/>
        <v>54</v>
      </c>
      <c r="BF60" s="173">
        <f t="shared" ca="1" si="25"/>
        <v>0</v>
      </c>
      <c r="BG60" s="173">
        <f t="shared" ca="1" si="9"/>
        <v>0</v>
      </c>
      <c r="BH60" s="173">
        <f t="shared" ca="1" si="9"/>
        <v>0</v>
      </c>
      <c r="BI60" s="173">
        <f t="shared" ca="1" si="9"/>
        <v>0</v>
      </c>
    </row>
    <row r="61" spans="1:61" ht="14.4" thickBot="1" x14ac:dyDescent="0.3">
      <c r="A61" s="192"/>
      <c r="B61" s="193"/>
      <c r="C61" s="193"/>
      <c r="D61" s="193"/>
      <c r="E61" s="194"/>
      <c r="F61" s="350"/>
      <c r="G61" s="353" t="str">
        <f t="shared" ca="1" si="1"/>
        <v/>
      </c>
      <c r="H61" s="350"/>
      <c r="I61" s="350"/>
      <c r="AF61" s="169">
        <f t="shared" si="2"/>
        <v>0</v>
      </c>
      <c r="AG61" s="169" t="str">
        <f t="shared" si="3"/>
        <v/>
      </c>
      <c r="AH61" s="169" t="str">
        <f t="shared" si="19"/>
        <v/>
      </c>
      <c r="AJ61" s="169" t="e">
        <f t="shared" ca="1" si="4"/>
        <v>#N/A</v>
      </c>
      <c r="AK61" s="169" t="str">
        <f t="shared" ca="1" si="20"/>
        <v/>
      </c>
      <c r="AL61" s="169" t="str">
        <f t="shared" ca="1" si="20"/>
        <v/>
      </c>
      <c r="AM61" s="169" t="str">
        <f t="shared" ca="1" si="5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2</v>
      </c>
      <c r="AX61" s="208">
        <f t="shared" si="22"/>
        <v>99.2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7"/>
        <v>55</v>
      </c>
      <c r="BF61" s="173">
        <f t="shared" ca="1" si="25"/>
        <v>0</v>
      </c>
      <c r="BG61" s="173">
        <f t="shared" ca="1" si="9"/>
        <v>0</v>
      </c>
      <c r="BH61" s="173">
        <f t="shared" ca="1" si="9"/>
        <v>0</v>
      </c>
      <c r="BI61" s="173">
        <f t="shared" ca="1" si="9"/>
        <v>0</v>
      </c>
    </row>
    <row r="62" spans="1:61" ht="13.8" x14ac:dyDescent="0.25">
      <c r="A62" s="226" t="s">
        <v>384</v>
      </c>
      <c r="B62" s="227" t="s">
        <v>162</v>
      </c>
      <c r="C62" s="227">
        <v>23</v>
      </c>
      <c r="D62" s="227" t="s">
        <v>309</v>
      </c>
      <c r="E62" s="228" t="str">
        <f ca="1">OFFSET( INDIRECT( E$3 &amp; E$4 ), $G62 - 1, 0 )</f>
        <v>MR</v>
      </c>
      <c r="F62" s="354"/>
      <c r="G62" s="355">
        <f t="shared" ca="1" si="1"/>
        <v>34</v>
      </c>
      <c r="H62" s="350"/>
      <c r="I62" s="350"/>
      <c r="AF62" s="169">
        <f t="shared" si="2"/>
        <v>1</v>
      </c>
      <c r="AG62" s="169" t="str">
        <f t="shared" ca="1" si="3"/>
        <v/>
      </c>
      <c r="AH62" s="169" t="str">
        <f t="shared" ca="1" si="19"/>
        <v/>
      </c>
      <c r="AJ62" s="169">
        <f t="shared" ca="1" si="4"/>
        <v>62</v>
      </c>
      <c r="AK62" s="169" t="str">
        <f t="shared" ca="1" si="20"/>
        <v>AA-</v>
      </c>
      <c r="AL62" s="169">
        <f t="shared" ca="1" si="20"/>
        <v>23</v>
      </c>
      <c r="AM62" s="169" t="str">
        <f t="shared" ca="1" si="5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3</v>
      </c>
      <c r="AX62" s="208">
        <f t="shared" si="22"/>
        <v>99.3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7"/>
        <v>56</v>
      </c>
      <c r="BF62" s="173">
        <f t="shared" ca="1" si="25"/>
        <v>0</v>
      </c>
      <c r="BG62" s="173">
        <f t="shared" ca="1" si="9"/>
        <v>0</v>
      </c>
      <c r="BH62" s="173">
        <f t="shared" ca="1" si="9"/>
        <v>0</v>
      </c>
      <c r="BI62" s="173">
        <f t="shared" ca="1" si="9"/>
        <v>0</v>
      </c>
    </row>
    <row r="63" spans="1:61" ht="13.8" x14ac:dyDescent="0.25">
      <c r="A63" s="223" t="s">
        <v>416</v>
      </c>
      <c r="B63" s="224" t="s">
        <v>166</v>
      </c>
      <c r="C63" s="224">
        <v>21</v>
      </c>
      <c r="D63" s="224" t="s">
        <v>417</v>
      </c>
      <c r="E63" s="225" t="str">
        <f ca="1">OFFSET( INDIRECT( E$3 &amp; E$4 ), $G63 - 1, 0 )</f>
        <v>R</v>
      </c>
      <c r="F63" s="348"/>
      <c r="G63" s="349">
        <f t="shared" ca="1" si="1"/>
        <v>15</v>
      </c>
      <c r="H63" s="350"/>
      <c r="I63" s="350"/>
      <c r="AF63" s="169">
        <f t="shared" si="2"/>
        <v>0</v>
      </c>
      <c r="AG63" s="169" t="str">
        <f t="shared" ca="1" si="3"/>
        <v/>
      </c>
      <c r="AH63" s="169" t="str">
        <f t="shared" ca="1" si="19"/>
        <v/>
      </c>
      <c r="AJ63" s="169">
        <f t="shared" ca="1" si="4"/>
        <v>63</v>
      </c>
      <c r="AK63" s="169" t="str">
        <f t="shared" ca="1" si="20"/>
        <v>A</v>
      </c>
      <c r="AL63" s="169">
        <f t="shared" ca="1" si="20"/>
        <v>21</v>
      </c>
      <c r="AM63" s="169" t="str">
        <f t="shared" ca="1" si="5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4</v>
      </c>
      <c r="AX63" s="208">
        <f t="shared" si="22"/>
        <v>99.4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ref="BG63:BI63" ca="1" si="26">OFFSET( AR$6, $BD63, 0 )</f>
        <v>0</v>
      </c>
      <c r="BH63" s="173">
        <f t="shared" ca="1" si="26"/>
        <v>0</v>
      </c>
      <c r="BI63" s="173">
        <f t="shared" ca="1" si="26"/>
        <v>0</v>
      </c>
    </row>
    <row r="64" spans="1:61" ht="13.8" x14ac:dyDescent="0.25">
      <c r="A64" s="223" t="s">
        <v>399</v>
      </c>
      <c r="B64" s="224" t="s">
        <v>173</v>
      </c>
      <c r="C64" s="224">
        <v>16</v>
      </c>
      <c r="D64" s="224" t="s">
        <v>400</v>
      </c>
      <c r="E64" s="225" t="str">
        <f ca="1">OFFSET( INDIRECT( E$3 &amp; E$4 ), $G64 - 1, 0 )</f>
        <v>R</v>
      </c>
      <c r="F64" s="348"/>
      <c r="G64" s="349">
        <f t="shared" ca="1" si="1"/>
        <v>57</v>
      </c>
      <c r="H64" s="350"/>
      <c r="I64" s="350"/>
      <c r="AF64" s="169">
        <f t="shared" si="2"/>
        <v>1</v>
      </c>
      <c r="AG64" s="169" t="str">
        <f t="shared" ca="1" si="3"/>
        <v/>
      </c>
      <c r="AH64" s="169" t="str">
        <f t="shared" ca="1" si="19"/>
        <v/>
      </c>
      <c r="AJ64" s="169">
        <f t="shared" ca="1" si="4"/>
        <v>64</v>
      </c>
      <c r="AK64" s="169" t="str">
        <f t="shared" ca="1" si="20"/>
        <v>BB+</v>
      </c>
      <c r="AL64" s="169">
        <f t="shared" ca="1" si="20"/>
        <v>16</v>
      </c>
      <c r="AM64" s="169" t="str">
        <f t="shared" ca="1" si="5"/>
        <v/>
      </c>
      <c r="AQ64" s="207"/>
      <c r="AR64" s="207"/>
      <c r="AS64" s="207"/>
      <c r="AT64" s="207"/>
      <c r="AU64" s="207"/>
      <c r="AZ64" s="169"/>
      <c r="BA64" s="169"/>
      <c r="BF64" s="169"/>
    </row>
    <row r="65" spans="1:58" ht="13.8" x14ac:dyDescent="0.25">
      <c r="A65" s="223" t="s">
        <v>401</v>
      </c>
      <c r="B65" s="229" t="s">
        <v>310</v>
      </c>
      <c r="C65" s="224" t="s">
        <v>310</v>
      </c>
      <c r="D65" s="224" t="s">
        <v>376</v>
      </c>
      <c r="E65" s="225" t="str">
        <f ca="1">OFFSET( INDIRECT( E$3 &amp; E$4 ), $G65 - 1, 0 )</f>
        <v>R</v>
      </c>
      <c r="F65" s="348"/>
      <c r="G65" s="349">
        <f t="shared" ca="1" si="1"/>
        <v>56</v>
      </c>
      <c r="H65" s="350"/>
      <c r="I65" s="350"/>
      <c r="N65" s="168" t="s">
        <v>310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9"/>
        <v/>
      </c>
      <c r="AJ65" s="169">
        <f t="shared" ca="1" si="4"/>
        <v>65</v>
      </c>
      <c r="AK65" s="169">
        <f t="shared" ca="1" si="20"/>
        <v>0</v>
      </c>
      <c r="AL65" s="169">
        <f t="shared" ca="1" si="20"/>
        <v>0</v>
      </c>
      <c r="AM65" s="169" t="str">
        <f t="shared" ca="1" si="5"/>
        <v>Change</v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3.8" x14ac:dyDescent="0.25">
      <c r="A66" s="195"/>
      <c r="B66" s="196"/>
      <c r="C66" s="185"/>
      <c r="D66" s="185"/>
      <c r="E66" s="182"/>
      <c r="F66" s="350"/>
      <c r="H66" s="350"/>
      <c r="I66" s="350"/>
      <c r="AF66" s="169">
        <f t="shared" si="2"/>
        <v>0</v>
      </c>
      <c r="AG66" s="169" t="str">
        <f t="shared" ref="AG66:AG67" si="27">IF( LEN( $C66 ) = 0, "", IF( $C66 &gt; $AL66, 1, "" ) )</f>
        <v/>
      </c>
      <c r="AH66" s="169" t="str">
        <f t="shared" si="19"/>
        <v/>
      </c>
      <c r="AJ66" s="169" t="e">
        <f t="shared" ca="1" si="4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5"/>
        <v/>
      </c>
      <c r="AQ66" s="207" t="s">
        <v>308</v>
      </c>
      <c r="AR66" s="207" t="s">
        <v>162</v>
      </c>
      <c r="AS66" s="207">
        <v>19</v>
      </c>
      <c r="AT66" s="207" t="s">
        <v>309</v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50"/>
      <c r="H67" s="350"/>
      <c r="I67" s="350"/>
      <c r="AF67" s="169">
        <f t="shared" si="2"/>
        <v>0</v>
      </c>
      <c r="AG67" s="169" t="str">
        <f t="shared" si="27"/>
        <v/>
      </c>
      <c r="AH67" s="169" t="str">
        <f t="shared" si="19"/>
        <v/>
      </c>
      <c r="AJ67" s="169" t="e">
        <f t="shared" ca="1" si="4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5"/>
        <v/>
      </c>
      <c r="AQ67" s="207" t="s">
        <v>418</v>
      </c>
      <c r="AR67" s="207" t="s">
        <v>166</v>
      </c>
      <c r="AS67" s="207">
        <v>17</v>
      </c>
      <c r="AT67" s="207" t="s">
        <v>417</v>
      </c>
      <c r="AX67" s="208"/>
      <c r="AZ67" s="169"/>
      <c r="BA67" s="169"/>
      <c r="BD67" s="209"/>
      <c r="BF67" s="169"/>
    </row>
    <row r="68" spans="1:58" ht="13.8" x14ac:dyDescent="0.25">
      <c r="A68" s="200" t="s">
        <v>311</v>
      </c>
      <c r="B68" s="189" t="s">
        <v>141</v>
      </c>
      <c r="C68" s="201">
        <f>AVERAGE(C7:C65)</f>
        <v>18.285714285714285</v>
      </c>
      <c r="D68" s="201"/>
      <c r="E68" s="201"/>
      <c r="F68" s="350"/>
      <c r="H68" s="350"/>
      <c r="I68" s="350"/>
      <c r="J68" s="351"/>
      <c r="K68" s="351"/>
      <c r="AQ68" s="207" t="s">
        <v>402</v>
      </c>
      <c r="AR68" s="207" t="s">
        <v>173</v>
      </c>
      <c r="AS68" s="207">
        <v>12</v>
      </c>
      <c r="AT68" s="207" t="s">
        <v>400</v>
      </c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50"/>
      <c r="H69" s="350"/>
      <c r="I69" s="350"/>
      <c r="AQ69" s="168" t="s">
        <v>295</v>
      </c>
      <c r="AR69" s="168" t="s">
        <v>310</v>
      </c>
      <c r="AS69" s="168" t="s">
        <v>310</v>
      </c>
      <c r="AT69" s="168" t="s">
        <v>376</v>
      </c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1"/>
      <c r="K70" s="351"/>
    </row>
    <row r="71" spans="1:58" x14ac:dyDescent="0.25">
      <c r="A71" s="203" t="s">
        <v>312</v>
      </c>
      <c r="F71" s="173"/>
      <c r="H71" s="173"/>
      <c r="I71" s="173"/>
    </row>
    <row r="72" spans="1:58" x14ac:dyDescent="0.25">
      <c r="A72" s="203" t="s">
        <v>313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419</v>
      </c>
      <c r="B73" s="173"/>
      <c r="D73" s="173"/>
      <c r="E73" s="173"/>
      <c r="F73" s="204"/>
      <c r="H73" s="204"/>
      <c r="I73" s="204"/>
    </row>
    <row r="74" spans="1:58" x14ac:dyDescent="0.25">
      <c r="A74" s="205" t="s">
        <v>314</v>
      </c>
      <c r="B74" s="173"/>
      <c r="D74" s="173"/>
      <c r="E74" s="173"/>
      <c r="F74" s="204"/>
      <c r="H74" s="204"/>
      <c r="I74" s="204"/>
    </row>
    <row r="75" spans="1:58" x14ac:dyDescent="0.25">
      <c r="A75" s="205" t="s">
        <v>403</v>
      </c>
      <c r="D75" s="204"/>
      <c r="F75" s="206"/>
      <c r="H75" s="206"/>
      <c r="I75" s="206"/>
    </row>
    <row r="76" spans="1:58" x14ac:dyDescent="0.25">
      <c r="A76" s="203" t="s">
        <v>315</v>
      </c>
      <c r="D76" s="204"/>
      <c r="F76" s="206"/>
      <c r="H76" s="206"/>
      <c r="I76" s="206"/>
      <c r="AQ76" s="207"/>
      <c r="AR76" s="207"/>
      <c r="AS76" s="207"/>
    </row>
    <row r="77" spans="1:58" x14ac:dyDescent="0.25">
      <c r="A77" s="203"/>
      <c r="D77" s="204"/>
      <c r="F77" s="206"/>
      <c r="H77" s="206"/>
      <c r="I77" s="206"/>
      <c r="AQ77" s="207"/>
      <c r="AR77" s="207"/>
      <c r="AS77" s="207"/>
    </row>
    <row r="78" spans="1:58" x14ac:dyDescent="0.25">
      <c r="A78" s="203"/>
      <c r="AQ78" s="207"/>
      <c r="AR78" s="207"/>
      <c r="AS78" s="207"/>
    </row>
    <row r="79" spans="1:58" x14ac:dyDescent="0.25">
      <c r="C79" s="190">
        <f>SUMPRODUCT( L8:L13, Y8:Y13 ) / L14</f>
        <v>18.392857142857142</v>
      </c>
      <c r="E79" s="191"/>
      <c r="G79" s="353"/>
      <c r="J79" s="173"/>
      <c r="K79" s="173"/>
      <c r="AQ79" s="207"/>
      <c r="AR79" s="207"/>
      <c r="AS79" s="207"/>
    </row>
    <row r="80" spans="1:58" s="173" customFormat="1" ht="13.8" x14ac:dyDescent="0.25">
      <c r="A80" s="195"/>
      <c r="B80" s="185"/>
      <c r="C80" s="185"/>
      <c r="D80" s="185"/>
      <c r="E80" s="182"/>
      <c r="F80" s="168"/>
      <c r="G80" s="169"/>
      <c r="H80" s="168"/>
      <c r="I80" s="168"/>
      <c r="Q80" s="168"/>
      <c r="T80" s="169"/>
      <c r="U80" s="169"/>
      <c r="V80" s="169"/>
      <c r="AF80" s="169"/>
      <c r="AG80" s="169"/>
      <c r="AH80" s="169"/>
      <c r="AJ80" s="169"/>
      <c r="AK80" s="169"/>
      <c r="AL80" s="169"/>
      <c r="AM80" s="169"/>
      <c r="AN80" s="169"/>
      <c r="AQ80" s="207"/>
      <c r="AR80" s="207"/>
      <c r="AS80" s="207"/>
    </row>
    <row r="81" spans="43:45" x14ac:dyDescent="0.25">
      <c r="AQ81" s="207"/>
      <c r="AR81" s="207"/>
      <c r="AS81" s="207"/>
    </row>
    <row r="82" spans="43:45" x14ac:dyDescent="0.25">
      <c r="AQ82" s="207"/>
      <c r="AR82" s="207"/>
      <c r="AS82" s="207"/>
    </row>
  </sheetData>
  <sortState ref="AQ7:AT59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C61">
    <cfRule type="expression" dxfId="311" priority="62" stopIfTrue="1">
      <formula>IF( $AH60 = 1, TRUE, FALSE )</formula>
    </cfRule>
    <cfRule type="expression" dxfId="310" priority="63" stopIfTrue="1">
      <formula>IF( $AG60 = 1, TRUE, FALSE )</formula>
    </cfRule>
    <cfRule type="expression" dxfId="309" priority="64" stopIfTrue="1">
      <formula>IF( $AF60 = 1, TRUE, FALSE )</formula>
    </cfRule>
  </conditionalFormatting>
  <conditionalFormatting sqref="A67:C67">
    <cfRule type="expression" dxfId="308" priority="65" stopIfTrue="1">
      <formula>IF( $AH67 = 1, TRUE, FALSE )</formula>
    </cfRule>
    <cfRule type="expression" dxfId="307" priority="66" stopIfTrue="1">
      <formula>IF( $AG67 = 1, TRUE, FALSE )</formula>
    </cfRule>
    <cfRule type="expression" dxfId="306" priority="67" stopIfTrue="1">
      <formula>IF( $AF67 = 1, TRUE, FALSE )</formula>
    </cfRule>
  </conditionalFormatting>
  <conditionalFormatting sqref="A66:C66">
    <cfRule type="expression" dxfId="305" priority="59" stopIfTrue="1">
      <formula>IF( $AH66 = 1, TRUE, FALSE )</formula>
    </cfRule>
    <cfRule type="expression" dxfId="304" priority="60" stopIfTrue="1">
      <formula>IF( $AG66 = 1, TRUE, FALSE )</formula>
    </cfRule>
    <cfRule type="expression" dxfId="303" priority="61" stopIfTrue="1">
      <formula>IF( $AF66 = 1, TRUE, FALSE )</formula>
    </cfRule>
  </conditionalFormatting>
  <conditionalFormatting sqref="A7:C58">
    <cfRule type="expression" dxfId="302" priority="56" stopIfTrue="1">
      <formula>IF( $AH7 = 1, TRUE, FALSE )</formula>
    </cfRule>
    <cfRule type="expression" dxfId="301" priority="57" stopIfTrue="1">
      <formula>IF( $AG7 = 1, TRUE, FALSE )</formula>
    </cfRule>
    <cfRule type="expression" dxfId="300" priority="58" stopIfTrue="1">
      <formula>IF( $AF7 = 1, TRUE, FALSE )</formula>
    </cfRule>
  </conditionalFormatting>
  <conditionalFormatting sqref="A59:C59">
    <cfRule type="expression" dxfId="299" priority="53" stopIfTrue="1">
      <formula>IF( $AH59 = 1, TRUE, FALSE )</formula>
    </cfRule>
    <cfRule type="expression" dxfId="298" priority="54" stopIfTrue="1">
      <formula>IF( $AG59 = 1, TRUE, FALSE )</formula>
    </cfRule>
    <cfRule type="expression" dxfId="297" priority="55" stopIfTrue="1">
      <formula>IF( $AF59 = 1, TRUE, FALSE )</formula>
    </cfRule>
  </conditionalFormatting>
  <conditionalFormatting sqref="A62:C65">
    <cfRule type="expression" dxfId="296" priority="50" stopIfTrue="1">
      <formula>IF( $AH62 = 1, TRUE, FALSE )</formula>
    </cfRule>
    <cfRule type="expression" dxfId="295" priority="51" stopIfTrue="1">
      <formula>IF( $AG62 = 1, TRUE, FALSE )</formula>
    </cfRule>
    <cfRule type="expression" dxfId="294" priority="52" stopIfTrue="1">
      <formula>IF( $AF62 = 1, TRUE, FALSE )</formula>
    </cfRule>
  </conditionalFormatting>
  <conditionalFormatting sqref="U8:U12">
    <cfRule type="cellIs" dxfId="293" priority="49" operator="equal">
      <formula>0</formula>
    </cfRule>
  </conditionalFormatting>
  <conditionalFormatting sqref="O8:O12 Q8:Q12">
    <cfRule type="cellIs" dxfId="292" priority="48" operator="equal">
      <formula>0</formula>
    </cfRule>
  </conditionalFormatting>
  <conditionalFormatting sqref="V8:V12">
    <cfRule type="cellIs" dxfId="291" priority="47" operator="equal">
      <formula>0</formula>
    </cfRule>
  </conditionalFormatting>
  <conditionalFormatting sqref="S8:S12">
    <cfRule type="cellIs" dxfId="290" priority="45" operator="equal">
      <formula>0</formula>
    </cfRule>
  </conditionalFormatting>
  <conditionalFormatting sqref="R8:R12">
    <cfRule type="cellIs" dxfId="289" priority="46" operator="equal">
      <formula>0</formula>
    </cfRule>
  </conditionalFormatting>
  <conditionalFormatting sqref="P8:P12">
    <cfRule type="cellIs" dxfId="288" priority="44" operator="equal">
      <formula>0</formula>
    </cfRule>
  </conditionalFormatting>
  <conditionalFormatting sqref="M8:M12">
    <cfRule type="cellIs" dxfId="287" priority="43" operator="equal">
      <formula>0</formula>
    </cfRule>
  </conditionalFormatting>
  <conditionalFormatting sqref="T8:T12">
    <cfRule type="cellIs" dxfId="286" priority="42" operator="equal">
      <formula>0</formula>
    </cfRule>
  </conditionalFormatting>
  <conditionalFormatting sqref="N8:N12">
    <cfRule type="cellIs" dxfId="285" priority="41" operator="equal">
      <formula>0</formula>
    </cfRule>
  </conditionalFormatting>
  <conditionalFormatting sqref="K8:K12">
    <cfRule type="cellIs" dxfId="284" priority="40" operator="equal">
      <formula>0</formula>
    </cfRule>
  </conditionalFormatting>
  <conditionalFormatting sqref="W8:W12">
    <cfRule type="cellIs" dxfId="283" priority="38" operator="equal">
      <formula>0</formula>
    </cfRule>
  </conditionalFormatting>
  <conditionalFormatting sqref="D60:E61 E7:E59 E62:E65">
    <cfRule type="expression" dxfId="282" priority="14" stopIfTrue="1">
      <formula>IF( $AH7 = 1, TRUE, FALSE )</formula>
    </cfRule>
    <cfRule type="expression" dxfId="281" priority="15" stopIfTrue="1">
      <formula>IF( $AG7 = 1, TRUE, FALSE )</formula>
    </cfRule>
    <cfRule type="expression" dxfId="280" priority="16" stopIfTrue="1">
      <formula>IF( $AF7 = 1, TRUE, FALSE )</formula>
    </cfRule>
  </conditionalFormatting>
  <conditionalFormatting sqref="D67:E67">
    <cfRule type="expression" dxfId="279" priority="17" stopIfTrue="1">
      <formula>IF( $AH67 = 1, TRUE, FALSE )</formula>
    </cfRule>
    <cfRule type="expression" dxfId="278" priority="18" stopIfTrue="1">
      <formula>IF( $AG67 = 1, TRUE, FALSE )</formula>
    </cfRule>
    <cfRule type="expression" dxfId="277" priority="19" stopIfTrue="1">
      <formula>IF( $AF67 = 1, TRUE, FALSE )</formula>
    </cfRule>
  </conditionalFormatting>
  <conditionalFormatting sqref="D66:E66">
    <cfRule type="expression" dxfId="276" priority="11" stopIfTrue="1">
      <formula>IF( $AH66 = 1, TRUE, FALSE )</formula>
    </cfRule>
    <cfRule type="expression" dxfId="275" priority="12" stopIfTrue="1">
      <formula>IF( $AG66 = 1, TRUE, FALSE )</formula>
    </cfRule>
    <cfRule type="expression" dxfId="274" priority="13" stopIfTrue="1">
      <formula>IF( $AF66 = 1, TRUE, FALSE )</formula>
    </cfRule>
  </conditionalFormatting>
  <conditionalFormatting sqref="D7:D58">
    <cfRule type="expression" dxfId="273" priority="8" stopIfTrue="1">
      <formula>IF( $AH7 = 1, TRUE, FALSE )</formula>
    </cfRule>
    <cfRule type="expression" dxfId="272" priority="9" stopIfTrue="1">
      <formula>IF( $AG7 = 1, TRUE, FALSE )</formula>
    </cfRule>
    <cfRule type="expression" dxfId="271" priority="10" stopIfTrue="1">
      <formula>IF( $AF7 = 1, TRUE, FALSE )</formula>
    </cfRule>
  </conditionalFormatting>
  <conditionalFormatting sqref="D59">
    <cfRule type="expression" dxfId="270" priority="5" stopIfTrue="1">
      <formula>IF( $AH59 = 1, TRUE, FALSE )</formula>
    </cfRule>
    <cfRule type="expression" dxfId="269" priority="6" stopIfTrue="1">
      <formula>IF( $AG59 = 1, TRUE, FALSE )</formula>
    </cfRule>
    <cfRule type="expression" dxfId="268" priority="7" stopIfTrue="1">
      <formula>IF( $AF59 = 1, TRUE, FALSE )</formula>
    </cfRule>
  </conditionalFormatting>
  <conditionalFormatting sqref="D62:D65">
    <cfRule type="expression" dxfId="267" priority="2" stopIfTrue="1">
      <formula>IF( $AH62 = 1, TRUE, FALSE )</formula>
    </cfRule>
    <cfRule type="expression" dxfId="266" priority="3" stopIfTrue="1">
      <formula>IF( $AG62 = 1, TRUE, FALSE )</formula>
    </cfRule>
    <cfRule type="expression" dxfId="265" priority="4" stopIfTrue="1">
      <formula>IF( $AF62 = 1, TRUE, FALSE )</formula>
    </cfRule>
  </conditionalFormatting>
  <conditionalFormatting sqref="I8:I12">
    <cfRule type="cellIs" dxfId="264" priority="1" operator="equal">
      <formula>0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0"/>
    <pageSetUpPr fitToPage="1"/>
  </sheetPr>
  <dimension ref="A1:BJ82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customWidth="1"/>
    <col min="23" max="23" width="2" style="168" customWidth="1"/>
    <col min="24" max="24" width="4.109375" style="168" bestFit="1" customWidth="1"/>
    <col min="25" max="25" width="5.5546875" style="168" bestFit="1" customWidth="1"/>
    <col min="26" max="26" width="2.44140625" style="168" bestFit="1" customWidth="1"/>
    <col min="27" max="27" width="4.33203125" style="168" bestFit="1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7.88671875" style="169" hidden="1" customWidth="1" outlineLevel="1" collapsed="1"/>
    <col min="37" max="38" width="9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3.441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style="168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-- 2012 Q4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</row>
    <row r="2" spans="1:61" ht="18" hidden="1" outlineLevel="1" x14ac:dyDescent="0.25">
      <c r="A2" s="167"/>
      <c r="E2" s="171" t="str">
        <f>G2</f>
        <v>Reg_Percent_2011</v>
      </c>
      <c r="G2" s="172" t="s">
        <v>414</v>
      </c>
      <c r="AJ2" s="173" t="str">
        <f>AJ4 &amp; AJ3</f>
        <v>'Credit_2012Q3'!a:a</v>
      </c>
      <c r="AK2" s="173" t="str">
        <f>AK4 &amp; AK3</f>
        <v>'Credit_2012Q3'!b1</v>
      </c>
      <c r="AL2" s="173" t="str">
        <f>AL4 &amp; AL3</f>
        <v>'Credit_2012Q3'!c1</v>
      </c>
    </row>
    <row r="3" spans="1:61" ht="18" hidden="1" outlineLevel="1" x14ac:dyDescent="0.25">
      <c r="A3" s="167"/>
      <c r="E3" s="174" t="str">
        <f>"'" &amp; E2 &amp; "'!"</f>
        <v>'Reg_Percent_2011'!</v>
      </c>
      <c r="G3" s="168" t="str">
        <f>"'" &amp; G2 &amp; "'!"</f>
        <v>'Reg_Percent_2011'!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406</v>
      </c>
      <c r="AK3" s="149" t="s">
        <v>206</v>
      </c>
      <c r="AL3" s="149" t="s">
        <v>207</v>
      </c>
    </row>
    <row r="4" spans="1:61" ht="18" hidden="1" outlineLevel="1" x14ac:dyDescent="0.25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6" t="s">
        <v>420</v>
      </c>
      <c r="AK4" s="169" t="str">
        <f>AJ4</f>
        <v>'Credit_2012Q3'!</v>
      </c>
      <c r="AL4" s="169" t="str">
        <f>AK4</f>
        <v>'Credit_2012Q3'!</v>
      </c>
    </row>
    <row r="5" spans="1:61" ht="13.8" collapsed="1" x14ac:dyDescent="0.25">
      <c r="E5" s="176" t="s">
        <v>209</v>
      </c>
      <c r="G5" s="170" t="s">
        <v>199</v>
      </c>
      <c r="I5" s="230"/>
      <c r="J5" s="389" t="s">
        <v>210</v>
      </c>
      <c r="K5" s="230"/>
      <c r="L5" s="391" t="str">
        <f>"All Companies" &amp; CHAR( 10 ) &amp; "("&amp; L14 &amp; ")"</f>
        <v>All Companies
(56)</v>
      </c>
      <c r="M5" s="391"/>
      <c r="N5" s="230"/>
      <c r="O5" s="389" t="str">
        <f ca="1">"Regulated" &amp; CHAR( 10 ) &amp; "(" &amp; O14 &amp; ")"</f>
        <v>Regulated
(36)</v>
      </c>
      <c r="P5" s="393"/>
      <c r="Q5" s="230"/>
      <c r="R5" s="389" t="str">
        <f ca="1">"Mostly Regulated" &amp; CHAR( 10 ) &amp; "(" &amp; R14 &amp; ")"</f>
        <v>Mostly Regulated
(17)</v>
      </c>
      <c r="S5" s="393"/>
      <c r="T5" s="230"/>
      <c r="U5" s="389" t="str">
        <f ca="1">"Diversified" &amp; CHAR( 10 ) &amp; "(" &amp; U14 &amp; ")"</f>
        <v>Diversified
(3)</v>
      </c>
      <c r="V5" s="393"/>
      <c r="W5" s="230"/>
      <c r="AE5" s="177"/>
      <c r="AF5" s="168"/>
      <c r="AG5" s="168"/>
      <c r="AH5" s="168"/>
      <c r="AJ5" s="168"/>
      <c r="AK5" s="168"/>
      <c r="AL5" s="168"/>
      <c r="AM5" s="168"/>
      <c r="AN5" s="168"/>
    </row>
    <row r="6" spans="1:61" ht="28.5" customHeight="1" x14ac:dyDescent="0.25">
      <c r="A6" s="219" t="s">
        <v>212</v>
      </c>
      <c r="B6" s="220" t="s">
        <v>51</v>
      </c>
      <c r="C6" s="249" t="s">
        <v>214</v>
      </c>
      <c r="D6" s="221"/>
      <c r="E6" s="222">
        <v>40908</v>
      </c>
      <c r="I6" s="231"/>
      <c r="J6" s="390"/>
      <c r="K6" s="231"/>
      <c r="L6" s="392"/>
      <c r="M6" s="392"/>
      <c r="N6" s="231"/>
      <c r="O6" s="390"/>
      <c r="P6" s="390"/>
      <c r="Q6" s="231"/>
      <c r="R6" s="390" t="s">
        <v>136</v>
      </c>
      <c r="S6" s="390"/>
      <c r="T6" s="231"/>
      <c r="U6" s="390"/>
      <c r="V6" s="390"/>
      <c r="W6" s="231"/>
      <c r="AE6" s="178"/>
      <c r="AJ6" s="179"/>
    </row>
    <row r="7" spans="1:61" ht="13.8" x14ac:dyDescent="0.25">
      <c r="A7" s="223" t="s">
        <v>293</v>
      </c>
      <c r="B7" s="224" t="s">
        <v>166</v>
      </c>
      <c r="C7" s="224">
        <v>21</v>
      </c>
      <c r="D7" s="224" t="s">
        <v>294</v>
      </c>
      <c r="E7" s="225" t="str">
        <f t="shared" ref="E7:E38" ca="1" si="0">OFFSET( INDIRECT( E$3 &amp; E$4 ), $G7 - 1, 0 )</f>
        <v>R</v>
      </c>
      <c r="F7" s="348"/>
      <c r="G7" s="349">
        <f t="shared" ref="G7:G38" ca="1" si="1">IF( LEN( $D7 ) = 0, "", MATCH( $D7, INDIRECT( G$3 &amp; G$4 ), 0 ) )</f>
        <v>53</v>
      </c>
      <c r="H7" s="350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38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t="shared" ref="AJ7:AJ38" ca="1" si="4">MATCH( $A7,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38" ca="1" si="5">IF( B7 = AK7, "", "Change" )</f>
        <v/>
      </c>
      <c r="AQ7" s="207" t="s">
        <v>217</v>
      </c>
      <c r="AR7" s="207" t="s">
        <v>140</v>
      </c>
      <c r="AS7" s="207">
        <v>19</v>
      </c>
      <c r="AT7" s="207" t="s">
        <v>218</v>
      </c>
      <c r="AV7" s="168">
        <f>IF( LEN( AS7 ) = 0, 99, RANK( AS7, $AS$7:$AS$63 ) )</f>
        <v>10</v>
      </c>
      <c r="AW7" s="168">
        <f>COUNTIF( AV7:AV$7, AV7 )</f>
        <v>1</v>
      </c>
      <c r="AX7" s="208">
        <f>AV7 + AW7 / 10</f>
        <v>10.1</v>
      </c>
      <c r="AY7" s="168">
        <f>RANK( AX7, $AX$7:$AX$63, 1 )</f>
        <v>10</v>
      </c>
      <c r="AZ7" s="169"/>
      <c r="BA7" s="169"/>
      <c r="BC7" s="168">
        <f t="shared" ref="BC7" ca="1" si="6">OFFSET( BC7, -1, 0 ) + 1</f>
        <v>1</v>
      </c>
      <c r="BD7" s="209">
        <f t="shared" ref="BD7:BD62" ca="1" si="7">MATCH( BC7, $AY$7:$AY$63, 0 )</f>
        <v>47</v>
      </c>
      <c r="BF7" s="173" t="str">
        <f t="shared" ref="BF7:BF38" ca="1" si="8">OFFSET( AQ$6, $BD7, 0 )</f>
        <v>Southern Company</v>
      </c>
      <c r="BG7" s="173" t="str">
        <f t="shared" ref="BG7:BI62" ca="1" si="9">OFFSET( AR$6, $BD7, 0 )</f>
        <v>A</v>
      </c>
      <c r="BH7" s="173">
        <f t="shared" ca="1" si="9"/>
        <v>21</v>
      </c>
      <c r="BI7" s="173" t="str">
        <f t="shared" ca="1" si="9"/>
        <v>SO</v>
      </c>
    </row>
    <row r="8" spans="1:61" ht="13.8" x14ac:dyDescent="0.25">
      <c r="A8" s="223" t="s">
        <v>227</v>
      </c>
      <c r="B8" s="224" t="s">
        <v>139</v>
      </c>
      <c r="C8" s="224">
        <v>20</v>
      </c>
      <c r="D8" s="224" t="s">
        <v>228</v>
      </c>
      <c r="E8" s="225" t="str">
        <f t="shared" ca="1" si="0"/>
        <v>R</v>
      </c>
      <c r="F8" s="348"/>
      <c r="G8" s="349">
        <f t="shared" ca="1" si="1"/>
        <v>18</v>
      </c>
      <c r="H8" s="350"/>
      <c r="I8" s="233"/>
      <c r="J8" s="213" t="s">
        <v>137</v>
      </c>
      <c r="K8" s="233"/>
      <c r="L8" s="213">
        <f t="shared" ref="L8:L13" si="10">COUNTIF($C$7:$C$67,$X8)</f>
        <v>3</v>
      </c>
      <c r="M8" s="214">
        <f t="shared" ref="M8:M13" si="11">IF( L8 = 0, "", L8/L$14 )</f>
        <v>5.3571428571428568E-2</v>
      </c>
      <c r="N8" s="233"/>
      <c r="O8" s="213">
        <f t="shared" ref="O8:O13" ca="1" si="12">COUNTIFS( $E$7:$E$66, O$3, $C$7:$C$66, $X8 )</f>
        <v>2</v>
      </c>
      <c r="P8" s="214">
        <f t="shared" ref="P8:P13" ca="1" si="13">IF( O8 = 0, "", O8/O$14 )</f>
        <v>5.5555555555555552E-2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5.8823529411764705E-2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8">SUM(O8, R8, U8)</f>
        <v>3</v>
      </c>
      <c r="AC8" s="351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ca="1" si="4"/>
        <v>8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5"/>
        <v/>
      </c>
      <c r="AQ8" s="207" t="s">
        <v>219</v>
      </c>
      <c r="AR8" s="207" t="s">
        <v>140</v>
      </c>
      <c r="AS8" s="207">
        <v>19</v>
      </c>
      <c r="AT8" s="207" t="s">
        <v>220</v>
      </c>
      <c r="AV8" s="168">
        <f t="shared" ref="AV8:AV63" si="21">IF( LEN( AS8 ) = 0, 99, RANK( AS8, $AS$7:$AS$63 ) )</f>
        <v>10</v>
      </c>
      <c r="AW8" s="168">
        <f>COUNTIF( AV$7:AV8, AV8 )</f>
        <v>2</v>
      </c>
      <c r="AX8" s="208">
        <f t="shared" ref="AX8:AX63" si="22">AV8 + AW8 / 10</f>
        <v>10.199999999999999</v>
      </c>
      <c r="AY8" s="168">
        <f t="shared" ref="AY8:AY63" si="23">RANK( AX8, $AX$7:$AX$63, 1 )</f>
        <v>11</v>
      </c>
      <c r="AZ8" s="169"/>
      <c r="BA8" s="169"/>
      <c r="BC8" s="168">
        <f ca="1">OFFSET( BC8, -1, 0 ) + 1</f>
        <v>2</v>
      </c>
      <c r="BD8" s="209">
        <f t="shared" ca="1" si="7"/>
        <v>10</v>
      </c>
      <c r="BF8" s="173" t="str">
        <f t="shared" ca="1" si="8"/>
        <v>Consolidated Edison, Inc.</v>
      </c>
      <c r="BG8" s="173" t="str">
        <f t="shared" ca="1" si="9"/>
        <v>A-</v>
      </c>
      <c r="BH8" s="173">
        <f t="shared" ca="1" si="9"/>
        <v>20</v>
      </c>
      <c r="BI8" s="173" t="str">
        <f t="shared" ca="1" si="9"/>
        <v>ED</v>
      </c>
    </row>
    <row r="9" spans="1:61" ht="13.8" x14ac:dyDescent="0.25">
      <c r="A9" s="223" t="s">
        <v>361</v>
      </c>
      <c r="B9" s="224" t="s">
        <v>139</v>
      </c>
      <c r="C9" s="224">
        <v>20</v>
      </c>
      <c r="D9" s="224" t="s">
        <v>194</v>
      </c>
      <c r="E9" s="225" t="str">
        <f t="shared" ca="1" si="0"/>
        <v>MR</v>
      </c>
      <c r="F9" s="348"/>
      <c r="G9" s="349">
        <f t="shared" ca="1" si="1"/>
        <v>20</v>
      </c>
      <c r="H9" s="350"/>
      <c r="I9" s="234"/>
      <c r="J9" s="215" t="s">
        <v>139</v>
      </c>
      <c r="K9" s="234"/>
      <c r="L9" s="215">
        <f t="shared" si="10"/>
        <v>8</v>
      </c>
      <c r="M9" s="216">
        <f t="shared" si="11"/>
        <v>0.14285714285714285</v>
      </c>
      <c r="N9" s="234"/>
      <c r="O9" s="215">
        <f t="shared" ca="1" si="12"/>
        <v>6</v>
      </c>
      <c r="P9" s="216">
        <f t="shared" ca="1" si="13"/>
        <v>0.16666666666666666</v>
      </c>
      <c r="Q9" s="234"/>
      <c r="R9" s="215">
        <f t="shared" ca="1" si="14"/>
        <v>2</v>
      </c>
      <c r="S9" s="216">
        <f t="shared" ca="1" si="15"/>
        <v>0.11764705882352941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8"/>
        <v>8</v>
      </c>
      <c r="AC9" s="351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9"/>
        <v/>
      </c>
      <c r="AJ9" s="169">
        <f t="shared" ca="1" si="4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5"/>
        <v/>
      </c>
      <c r="AQ9" s="207" t="s">
        <v>225</v>
      </c>
      <c r="AR9" s="207" t="s">
        <v>142</v>
      </c>
      <c r="AS9" s="207">
        <v>17</v>
      </c>
      <c r="AT9" s="207" t="s">
        <v>226</v>
      </c>
      <c r="AV9" s="168">
        <f t="shared" si="21"/>
        <v>39</v>
      </c>
      <c r="AW9" s="168">
        <f>COUNTIF( AV$7:AV9, AV9 )</f>
        <v>1</v>
      </c>
      <c r="AX9" s="208">
        <f t="shared" si="22"/>
        <v>39.1</v>
      </c>
      <c r="AY9" s="168">
        <f t="shared" si="23"/>
        <v>39</v>
      </c>
      <c r="AZ9" s="169"/>
      <c r="BA9" s="169"/>
      <c r="BC9" s="168">
        <f t="shared" ref="BC9:BC63" ca="1" si="24">OFFSET( BC9, -1, 0 ) + 1</f>
        <v>3</v>
      </c>
      <c r="BD9" s="209">
        <f t="shared" ca="1" si="7"/>
        <v>11</v>
      </c>
      <c r="BF9" s="173" t="str">
        <f t="shared" ca="1" si="8"/>
        <v>Dominion Resources, Inc.</v>
      </c>
      <c r="BG9" s="173" t="str">
        <f t="shared" ca="1" si="9"/>
        <v>A-</v>
      </c>
      <c r="BH9" s="173">
        <f t="shared" ca="1" si="9"/>
        <v>20</v>
      </c>
      <c r="BI9" s="173" t="str">
        <f t="shared" ca="1" si="9"/>
        <v>D</v>
      </c>
    </row>
    <row r="10" spans="1:61" ht="13.8" x14ac:dyDescent="0.25">
      <c r="A10" s="223" t="s">
        <v>395</v>
      </c>
      <c r="B10" s="224" t="s">
        <v>139</v>
      </c>
      <c r="C10" s="224">
        <v>20</v>
      </c>
      <c r="D10" s="224" t="s">
        <v>396</v>
      </c>
      <c r="E10" s="225" t="str">
        <f t="shared" ca="1" si="0"/>
        <v>R</v>
      </c>
      <c r="F10" s="348"/>
      <c r="G10" s="349">
        <f t="shared" ca="1" si="1"/>
        <v>32</v>
      </c>
      <c r="H10" s="350"/>
      <c r="I10" s="234"/>
      <c r="J10" s="215" t="s">
        <v>140</v>
      </c>
      <c r="K10" s="234"/>
      <c r="L10" s="215">
        <f t="shared" si="10"/>
        <v>13</v>
      </c>
      <c r="M10" s="216">
        <f t="shared" si="11"/>
        <v>0.23214285714285715</v>
      </c>
      <c r="N10" s="234"/>
      <c r="O10" s="215">
        <f t="shared" ca="1" si="12"/>
        <v>5</v>
      </c>
      <c r="P10" s="216">
        <f t="shared" ca="1" si="13"/>
        <v>0.1388888888888889</v>
      </c>
      <c r="Q10" s="234"/>
      <c r="R10" s="215">
        <f t="shared" ca="1" si="14"/>
        <v>7</v>
      </c>
      <c r="S10" s="216">
        <f t="shared" ca="1" si="15"/>
        <v>0.41176470588235292</v>
      </c>
      <c r="T10" s="234"/>
      <c r="U10" s="215">
        <f t="shared" ca="1" si="16"/>
        <v>1</v>
      </c>
      <c r="V10" s="216">
        <f t="shared" ca="1" si="17"/>
        <v>0.33333333333333331</v>
      </c>
      <c r="W10" s="234"/>
      <c r="X10" s="186" t="s">
        <v>229</v>
      </c>
      <c r="Y10" s="186">
        <v>19</v>
      </c>
      <c r="Z10" s="186">
        <v>1</v>
      </c>
      <c r="AA10" s="185">
        <f t="shared" ca="1" si="18"/>
        <v>13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4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5"/>
        <v/>
      </c>
      <c r="AQ10" s="207" t="s">
        <v>222</v>
      </c>
      <c r="AR10" s="207" t="s">
        <v>141</v>
      </c>
      <c r="AS10" s="207">
        <v>18</v>
      </c>
      <c r="AT10" s="207" t="s">
        <v>223</v>
      </c>
      <c r="AV10" s="168">
        <f t="shared" si="21"/>
        <v>23</v>
      </c>
      <c r="AW10" s="168">
        <f>COUNTIF( AV$7:AV10, AV10 )</f>
        <v>1</v>
      </c>
      <c r="AX10" s="208">
        <f t="shared" si="22"/>
        <v>23.1</v>
      </c>
      <c r="AY10" s="168">
        <f t="shared" si="23"/>
        <v>23</v>
      </c>
      <c r="AZ10" s="169"/>
      <c r="BA10" s="169"/>
      <c r="BC10" s="168">
        <f t="shared" ca="1" si="24"/>
        <v>4</v>
      </c>
      <c r="BD10" s="209">
        <f t="shared" ca="1" si="7"/>
        <v>26</v>
      </c>
      <c r="BF10" s="173" t="str">
        <f t="shared" ca="1" si="8"/>
        <v>Integrys Energy Group, Inc.</v>
      </c>
      <c r="BG10" s="173" t="str">
        <f t="shared" ca="1" si="9"/>
        <v>A-</v>
      </c>
      <c r="BH10" s="173">
        <f t="shared" ca="1" si="9"/>
        <v>20</v>
      </c>
      <c r="BI10" s="173" t="str">
        <f t="shared" ca="1" si="9"/>
        <v>TEG</v>
      </c>
    </row>
    <row r="11" spans="1:61" ht="13.8" x14ac:dyDescent="0.25">
      <c r="A11" s="223" t="s">
        <v>240</v>
      </c>
      <c r="B11" s="224" t="s">
        <v>139</v>
      </c>
      <c r="C11" s="224">
        <v>20</v>
      </c>
      <c r="D11" s="224" t="s">
        <v>241</v>
      </c>
      <c r="E11" s="225" t="str">
        <f t="shared" ca="1" si="0"/>
        <v>MR</v>
      </c>
      <c r="F11" s="348"/>
      <c r="G11" s="349">
        <f t="shared" ca="1" si="1"/>
        <v>35</v>
      </c>
      <c r="H11" s="350"/>
      <c r="I11" s="234"/>
      <c r="J11" s="215" t="s">
        <v>141</v>
      </c>
      <c r="K11" s="234"/>
      <c r="L11" s="215">
        <f t="shared" si="10"/>
        <v>16</v>
      </c>
      <c r="M11" s="216">
        <f t="shared" si="11"/>
        <v>0.2857142857142857</v>
      </c>
      <c r="N11" s="234"/>
      <c r="O11" s="215">
        <f t="shared" ca="1" si="12"/>
        <v>13</v>
      </c>
      <c r="P11" s="216">
        <f t="shared" ca="1" si="13"/>
        <v>0.3611111111111111</v>
      </c>
      <c r="Q11" s="234"/>
      <c r="R11" s="215">
        <f t="shared" ca="1" si="14"/>
        <v>3</v>
      </c>
      <c r="S11" s="216">
        <f t="shared" ca="1" si="15"/>
        <v>0.17647058823529413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8"/>
        <v>16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4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5"/>
        <v/>
      </c>
      <c r="AQ11" s="207" t="s">
        <v>238</v>
      </c>
      <c r="AR11" s="207" t="s">
        <v>141</v>
      </c>
      <c r="AS11" s="207">
        <v>18</v>
      </c>
      <c r="AT11" s="207" t="s">
        <v>239</v>
      </c>
      <c r="AV11" s="168">
        <f t="shared" si="21"/>
        <v>23</v>
      </c>
      <c r="AW11" s="168">
        <f>COUNTIF( AV$7:AV11, AV11 )</f>
        <v>2</v>
      </c>
      <c r="AX11" s="208">
        <f t="shared" si="22"/>
        <v>23.2</v>
      </c>
      <c r="AY11" s="168">
        <f t="shared" si="23"/>
        <v>24</v>
      </c>
      <c r="AZ11" s="169"/>
      <c r="BA11" s="169"/>
      <c r="BC11" s="168">
        <f t="shared" ca="1" si="24"/>
        <v>5</v>
      </c>
      <c r="BD11" s="209">
        <f t="shared" ca="1" si="7"/>
        <v>30</v>
      </c>
      <c r="BF11" s="173" t="str">
        <f t="shared" ca="1" si="8"/>
        <v>NextEra Energy, Inc.</v>
      </c>
      <c r="BG11" s="173" t="str">
        <f t="shared" ca="1" si="9"/>
        <v>A-</v>
      </c>
      <c r="BH11" s="173">
        <f t="shared" ca="1" si="9"/>
        <v>20</v>
      </c>
      <c r="BI11" s="173" t="str">
        <f t="shared" ca="1" si="9"/>
        <v>NEE</v>
      </c>
    </row>
    <row r="12" spans="1:61" ht="13.8" x14ac:dyDescent="0.25">
      <c r="A12" s="223" t="s">
        <v>394</v>
      </c>
      <c r="B12" s="224" t="s">
        <v>139</v>
      </c>
      <c r="C12" s="224">
        <v>20</v>
      </c>
      <c r="D12" s="224" t="s">
        <v>236</v>
      </c>
      <c r="E12" s="225" t="str">
        <f t="shared" ca="1" si="0"/>
        <v>R</v>
      </c>
      <c r="F12" s="348"/>
      <c r="G12" s="349">
        <f t="shared" ca="1" si="1"/>
        <v>37</v>
      </c>
      <c r="H12" s="350"/>
      <c r="I12" s="234"/>
      <c r="J12" s="215" t="s">
        <v>142</v>
      </c>
      <c r="K12" s="234"/>
      <c r="L12" s="215">
        <f t="shared" si="10"/>
        <v>11</v>
      </c>
      <c r="M12" s="216">
        <f t="shared" si="11"/>
        <v>0.19642857142857142</v>
      </c>
      <c r="N12" s="234"/>
      <c r="O12" s="215">
        <f t="shared" ca="1" si="12"/>
        <v>6</v>
      </c>
      <c r="P12" s="216">
        <f t="shared" ca="1" si="13"/>
        <v>0.16666666666666666</v>
      </c>
      <c r="Q12" s="234"/>
      <c r="R12" s="215">
        <f t="shared" ca="1" si="14"/>
        <v>4</v>
      </c>
      <c r="S12" s="216">
        <f t="shared" ca="1" si="15"/>
        <v>0.23529411764705882</v>
      </c>
      <c r="T12" s="234"/>
      <c r="U12" s="215">
        <f t="shared" ca="1" si="16"/>
        <v>1</v>
      </c>
      <c r="V12" s="216">
        <f t="shared" ca="1" si="17"/>
        <v>0.33333333333333331</v>
      </c>
      <c r="W12" s="234"/>
      <c r="X12" s="186" t="s">
        <v>237</v>
      </c>
      <c r="Y12" s="186">
        <v>17</v>
      </c>
      <c r="Z12" s="186">
        <v>1</v>
      </c>
      <c r="AA12" s="185">
        <f t="shared" ca="1" si="18"/>
        <v>11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4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5"/>
        <v/>
      </c>
      <c r="AQ12" s="207" t="s">
        <v>245</v>
      </c>
      <c r="AR12" s="207" t="s">
        <v>142</v>
      </c>
      <c r="AS12" s="207">
        <v>17</v>
      </c>
      <c r="AT12" s="207" t="s">
        <v>246</v>
      </c>
      <c r="AV12" s="168">
        <f t="shared" si="21"/>
        <v>39</v>
      </c>
      <c r="AW12" s="168">
        <f>COUNTIF( AV$7:AV12, AV12 )</f>
        <v>2</v>
      </c>
      <c r="AX12" s="208">
        <f t="shared" si="22"/>
        <v>39.200000000000003</v>
      </c>
      <c r="AY12" s="168">
        <f t="shared" si="23"/>
        <v>40</v>
      </c>
      <c r="AZ12" s="169"/>
      <c r="BA12" s="169"/>
      <c r="BC12" s="168">
        <f t="shared" ca="1" si="24"/>
        <v>6</v>
      </c>
      <c r="BD12" s="209">
        <f t="shared" ca="1" si="7"/>
        <v>32</v>
      </c>
      <c r="BF12" s="173" t="str">
        <f t="shared" ca="1" si="8"/>
        <v>Eversource</v>
      </c>
      <c r="BG12" s="173" t="str">
        <f t="shared" ca="1" si="9"/>
        <v>A-</v>
      </c>
      <c r="BH12" s="173">
        <f t="shared" ca="1" si="9"/>
        <v>20</v>
      </c>
      <c r="BI12" s="173" t="str">
        <f t="shared" ca="1" si="9"/>
        <v>ES</v>
      </c>
    </row>
    <row r="13" spans="1:61" ht="13.8" x14ac:dyDescent="0.25">
      <c r="A13" s="223" t="s">
        <v>345</v>
      </c>
      <c r="B13" s="224" t="s">
        <v>139</v>
      </c>
      <c r="C13" s="224">
        <v>20</v>
      </c>
      <c r="D13" s="224" t="s">
        <v>346</v>
      </c>
      <c r="E13" s="225" t="str">
        <f t="shared" ca="1" si="0"/>
        <v>R</v>
      </c>
      <c r="F13" s="348"/>
      <c r="G13" s="349">
        <f t="shared" ca="1" si="1"/>
        <v>58</v>
      </c>
      <c r="H13" s="350"/>
      <c r="I13" s="235"/>
      <c r="J13" s="217" t="s">
        <v>143</v>
      </c>
      <c r="K13" s="235"/>
      <c r="L13" s="217">
        <f t="shared" si="10"/>
        <v>5</v>
      </c>
      <c r="M13" s="218">
        <f t="shared" si="11"/>
        <v>8.9285714285714288E-2</v>
      </c>
      <c r="N13" s="235"/>
      <c r="O13" s="217">
        <f t="shared" ca="1" si="12"/>
        <v>4</v>
      </c>
      <c r="P13" s="218">
        <f t="shared" ca="1" si="13"/>
        <v>0.1111111111111111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1</v>
      </c>
      <c r="V13" s="218">
        <f t="shared" ca="1" si="17"/>
        <v>0.33333333333333331</v>
      </c>
      <c r="W13" s="235"/>
      <c r="X13" s="186" t="s">
        <v>242</v>
      </c>
      <c r="Y13" s="186">
        <v>16</v>
      </c>
      <c r="Z13" s="186">
        <v>1</v>
      </c>
      <c r="AA13" s="188">
        <f t="shared" ca="1" si="18"/>
        <v>5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9"/>
        <v/>
      </c>
      <c r="AJ13" s="169">
        <f t="shared" ca="1" si="4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5"/>
        <v/>
      </c>
      <c r="AQ13" s="207" t="s">
        <v>249</v>
      </c>
      <c r="AR13" s="207" t="s">
        <v>140</v>
      </c>
      <c r="AS13" s="207">
        <v>19</v>
      </c>
      <c r="AT13" s="207" t="s">
        <v>250</v>
      </c>
      <c r="AV13" s="168">
        <f t="shared" si="21"/>
        <v>10</v>
      </c>
      <c r="AW13" s="168">
        <f>COUNTIF( AV$7:AV13, AV13 )</f>
        <v>3</v>
      </c>
      <c r="AX13" s="208">
        <f t="shared" si="22"/>
        <v>10.3</v>
      </c>
      <c r="AY13" s="168">
        <f t="shared" si="23"/>
        <v>12</v>
      </c>
      <c r="AZ13" s="169"/>
      <c r="BA13" s="169"/>
      <c r="BC13" s="168">
        <f t="shared" ca="1" si="24"/>
        <v>7</v>
      </c>
      <c r="BD13" s="209">
        <f t="shared" ca="1" si="7"/>
        <v>50</v>
      </c>
      <c r="BF13" s="173" t="str">
        <f t="shared" ca="1" si="8"/>
        <v>Vectren Corporation</v>
      </c>
      <c r="BG13" s="173" t="str">
        <f t="shared" ca="1" si="9"/>
        <v>A-</v>
      </c>
      <c r="BH13" s="173">
        <f t="shared" ca="1" si="9"/>
        <v>20</v>
      </c>
      <c r="BI13" s="173" t="str">
        <f t="shared" ca="1" si="9"/>
        <v>VVC</v>
      </c>
    </row>
    <row r="14" spans="1:61" ht="13.8" x14ac:dyDescent="0.25">
      <c r="A14" s="223" t="s">
        <v>247</v>
      </c>
      <c r="B14" s="224" t="s">
        <v>139</v>
      </c>
      <c r="C14" s="224">
        <v>20</v>
      </c>
      <c r="D14" s="224" t="s">
        <v>248</v>
      </c>
      <c r="E14" s="225" t="str">
        <f t="shared" ca="1" si="0"/>
        <v>R</v>
      </c>
      <c r="F14" s="348"/>
      <c r="G14" s="349">
        <f t="shared" ca="1" si="1"/>
        <v>60</v>
      </c>
      <c r="H14" s="350"/>
      <c r="I14" s="236"/>
      <c r="J14" s="211" t="s">
        <v>144</v>
      </c>
      <c r="K14" s="236"/>
      <c r="L14" s="211">
        <f>SUM(L8:L13)</f>
        <v>56</v>
      </c>
      <c r="M14" s="212">
        <f>L14/L$14</f>
        <v>1</v>
      </c>
      <c r="N14" s="236"/>
      <c r="O14" s="211">
        <f ca="1">SUM(O8:O13)</f>
        <v>36</v>
      </c>
      <c r="P14" s="212">
        <f ca="1">O14/O$14</f>
        <v>1</v>
      </c>
      <c r="Q14" s="236"/>
      <c r="R14" s="211">
        <f ca="1">SUM(R8:R13)</f>
        <v>17</v>
      </c>
      <c r="S14" s="212">
        <f ca="1">R14/R$14</f>
        <v>1</v>
      </c>
      <c r="T14" s="236"/>
      <c r="U14" s="211">
        <f ca="1">SUM(U8:U13)</f>
        <v>3</v>
      </c>
      <c r="V14" s="212">
        <f ca="1">U14/U$14</f>
        <v>1</v>
      </c>
      <c r="W14" s="236"/>
      <c r="Y14" s="190">
        <f>SUMPRODUCT( L8:L13, Y8:Y13 ) / L14</f>
        <v>18.303571428571427</v>
      </c>
      <c r="Z14" s="190"/>
      <c r="AA14" s="189">
        <f ca="1">SUM(AA8:AA13)</f>
        <v>56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4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5"/>
        <v/>
      </c>
      <c r="AQ14" s="207" t="s">
        <v>254</v>
      </c>
      <c r="AR14" s="207" t="s">
        <v>141</v>
      </c>
      <c r="AS14" s="207">
        <v>18</v>
      </c>
      <c r="AT14" s="207" t="s">
        <v>378</v>
      </c>
      <c r="AV14" s="168">
        <f>IF( LEN( AS14 ) = 0, 99, RANK( AS14, $AS$7:$AS$63 ) )</f>
        <v>23</v>
      </c>
      <c r="AW14" s="168">
        <f>COUNTIF( AV$7:AV14, AV14 )</f>
        <v>3</v>
      </c>
      <c r="AX14" s="208">
        <f t="shared" si="22"/>
        <v>23.3</v>
      </c>
      <c r="AY14" s="168">
        <f t="shared" si="23"/>
        <v>25</v>
      </c>
      <c r="AZ14" s="169"/>
      <c r="BA14" s="169"/>
      <c r="BC14" s="168">
        <f t="shared" ca="1" si="24"/>
        <v>8</v>
      </c>
      <c r="BD14" s="209">
        <f t="shared" ca="1" si="7"/>
        <v>52</v>
      </c>
      <c r="BF14" s="173" t="str">
        <f t="shared" ca="1" si="8"/>
        <v>Wisconsin Energy Corporation</v>
      </c>
      <c r="BG14" s="173" t="str">
        <f t="shared" ca="1" si="9"/>
        <v>A-</v>
      </c>
      <c r="BH14" s="173">
        <f t="shared" ca="1" si="9"/>
        <v>20</v>
      </c>
      <c r="BI14" s="173" t="str">
        <f t="shared" ca="1" si="9"/>
        <v>WEC</v>
      </c>
    </row>
    <row r="15" spans="1:61" ht="13.8" x14ac:dyDescent="0.25">
      <c r="A15" s="223" t="s">
        <v>251</v>
      </c>
      <c r="B15" s="224" t="s">
        <v>139</v>
      </c>
      <c r="C15" s="224">
        <v>20</v>
      </c>
      <c r="D15" s="224" t="s">
        <v>252</v>
      </c>
      <c r="E15" s="225" t="str">
        <f t="shared" ca="1" si="0"/>
        <v>R</v>
      </c>
      <c r="F15" s="348"/>
      <c r="G15" s="349">
        <f t="shared" ca="1" si="1"/>
        <v>61</v>
      </c>
      <c r="H15" s="350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9"/>
        <v/>
      </c>
      <c r="AJ15" s="169">
        <f t="shared" ca="1" si="4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5"/>
        <v/>
      </c>
      <c r="AQ15" s="207" t="s">
        <v>256</v>
      </c>
      <c r="AR15" s="207" t="s">
        <v>142</v>
      </c>
      <c r="AS15" s="207">
        <v>17</v>
      </c>
      <c r="AT15" s="207" t="s">
        <v>257</v>
      </c>
      <c r="AV15" s="168">
        <f t="shared" si="21"/>
        <v>39</v>
      </c>
      <c r="AW15" s="168">
        <f>COUNTIF( AV$7:AV15, AV15 )</f>
        <v>3</v>
      </c>
      <c r="AX15" s="208">
        <f t="shared" si="22"/>
        <v>39.299999999999997</v>
      </c>
      <c r="AY15" s="168">
        <f t="shared" si="23"/>
        <v>41</v>
      </c>
      <c r="AZ15" s="169"/>
      <c r="BA15" s="169"/>
      <c r="BC15" s="168">
        <f t="shared" ca="1" si="24"/>
        <v>9</v>
      </c>
      <c r="BD15" s="209">
        <f t="shared" ca="1" si="7"/>
        <v>53</v>
      </c>
      <c r="BF15" s="173" t="str">
        <f t="shared" ca="1" si="8"/>
        <v>Xcel Energy Inc.</v>
      </c>
      <c r="BG15" s="173" t="str">
        <f t="shared" ca="1" si="9"/>
        <v>A-</v>
      </c>
      <c r="BH15" s="173">
        <f t="shared" ca="1" si="9"/>
        <v>20</v>
      </c>
      <c r="BI15" s="173" t="str">
        <f t="shared" ca="1" si="9"/>
        <v>XEL</v>
      </c>
    </row>
    <row r="16" spans="1:61" ht="13.8" x14ac:dyDescent="0.25">
      <c r="A16" s="223" t="s">
        <v>217</v>
      </c>
      <c r="B16" s="224" t="s">
        <v>140</v>
      </c>
      <c r="C16" s="224">
        <v>19</v>
      </c>
      <c r="D16" s="224" t="s">
        <v>218</v>
      </c>
      <c r="E16" s="225" t="str">
        <f t="shared" ca="1" si="0"/>
        <v>R</v>
      </c>
      <c r="F16" s="348"/>
      <c r="G16" s="349">
        <f t="shared" ca="1" si="1"/>
        <v>7</v>
      </c>
      <c r="H16" s="350"/>
      <c r="I16" s="232"/>
      <c r="J16" s="210" t="s">
        <v>253</v>
      </c>
      <c r="K16" s="232"/>
      <c r="L16" s="386">
        <f t="array" ref="L16">SUM( IF( LEN( $C$7:$C$65 ) = 0, 0, $C$7:$C$65 ) ) / SUM( IF( LEN( $C$7:$C$65 ) = 0, 0, 1  ) )</f>
        <v>18.071428571428573</v>
      </c>
      <c r="M16" s="387"/>
      <c r="N16" s="232"/>
      <c r="O16" s="386">
        <f t="array" aca="1" ref="O16" ca="1">SUM( IF( LEN( $C$7:$C$65 ) = 0, 0, IF( $E$7:$E$65 = O3, $C$7:$C$65, 0 ) ) ) / SUM( IF( LEN( $C$7:$C$65 ) = 0, 0, IF( $E$7:$E$65 = O3, 1, 0 ) ) )</f>
        <v>18.222222222222221</v>
      </c>
      <c r="P16" s="387"/>
      <c r="Q16" s="232"/>
      <c r="R16" s="386">
        <f t="array" aca="1" ref="R16" ca="1">SUM( IF( LEN( $C$7:$C$65 ) = 0, 0, IF( $E$7:$E$65 = R3, $C$7:$C$65, 0 ) ) ) / SUM( IF( LEN( $C$7:$C$65 ) = 0, 0, IF( $E$7:$E$65 = R3, 1, 0 ) ) )</f>
        <v>18.705882352941178</v>
      </c>
      <c r="S16" s="387"/>
      <c r="T16" s="232"/>
      <c r="U16" s="386">
        <f t="array" aca="1" ref="U16" ca="1">SUM( IF( LEN( $C$7:$C$65 ) = 0, 0, IF( $E$7:$E$65 = U3, $C$7:$C$65, 0 ) ) ) / SUM( IF( LEN( $C$7:$C$65 ) = 0, 0, IF( $E$7:$E$65 = U3, 1, 0 ) ) )</f>
        <v>12.666666666666666</v>
      </c>
      <c r="V16" s="388"/>
      <c r="W16" s="232"/>
      <c r="AE16" s="184"/>
      <c r="AF16" s="169">
        <f t="shared" si="2"/>
        <v>1</v>
      </c>
      <c r="AG16" s="169" t="str">
        <f t="shared" ca="1" si="3"/>
        <v/>
      </c>
      <c r="AH16" s="169" t="str">
        <f t="shared" ca="1" si="19"/>
        <v/>
      </c>
      <c r="AJ16" s="169">
        <f t="shared" ca="1" si="4"/>
        <v>16</v>
      </c>
      <c r="AK16" s="169" t="str">
        <f t="shared" ca="1" si="20"/>
        <v>BBB+</v>
      </c>
      <c r="AL16" s="169">
        <f t="shared" ca="1" si="20"/>
        <v>19</v>
      </c>
      <c r="AM16" s="169" t="str">
        <f t="shared" ca="1" si="5"/>
        <v/>
      </c>
      <c r="AQ16" s="207" t="s">
        <v>227</v>
      </c>
      <c r="AR16" s="207" t="s">
        <v>139</v>
      </c>
      <c r="AS16" s="207">
        <v>20</v>
      </c>
      <c r="AT16" s="207" t="s">
        <v>228</v>
      </c>
      <c r="AV16" s="168">
        <f t="shared" si="21"/>
        <v>2</v>
      </c>
      <c r="AW16" s="168">
        <f>COUNTIF( AV$7:AV16, AV16 )</f>
        <v>1</v>
      </c>
      <c r="AX16" s="208">
        <f t="shared" si="22"/>
        <v>2.1</v>
      </c>
      <c r="AY16" s="168">
        <f t="shared" si="23"/>
        <v>2</v>
      </c>
      <c r="AZ16" s="169"/>
      <c r="BA16" s="169"/>
      <c r="BC16" s="168">
        <f t="shared" ca="1" si="24"/>
        <v>10</v>
      </c>
      <c r="BD16" s="209">
        <f t="shared" ca="1" si="7"/>
        <v>1</v>
      </c>
      <c r="BF16" s="173" t="str">
        <f t="shared" ca="1" si="8"/>
        <v>ALLETE, Inc.</v>
      </c>
      <c r="BG16" s="173" t="str">
        <f t="shared" ca="1" si="9"/>
        <v>BBB+</v>
      </c>
      <c r="BH16" s="173">
        <f t="shared" ca="1" si="9"/>
        <v>19</v>
      </c>
      <c r="BI16" s="173" t="str">
        <f t="shared" ca="1" si="9"/>
        <v>ALE</v>
      </c>
    </row>
    <row r="17" spans="1:61" ht="13.8" x14ac:dyDescent="0.25">
      <c r="A17" s="223" t="s">
        <v>219</v>
      </c>
      <c r="B17" s="224" t="s">
        <v>140</v>
      </c>
      <c r="C17" s="224">
        <v>19</v>
      </c>
      <c r="D17" s="224" t="s">
        <v>220</v>
      </c>
      <c r="E17" s="225" t="str">
        <f t="shared" ca="1" si="0"/>
        <v>R</v>
      </c>
      <c r="F17" s="348"/>
      <c r="G17" s="349">
        <f t="shared" ca="1" si="1"/>
        <v>8</v>
      </c>
      <c r="H17" s="350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1</v>
      </c>
      <c r="AG17" s="169" t="str">
        <f t="shared" ca="1" si="3"/>
        <v/>
      </c>
      <c r="AH17" s="169" t="str">
        <f t="shared" ca="1" si="19"/>
        <v/>
      </c>
      <c r="AJ17" s="169">
        <f t="shared" ca="1" si="4"/>
        <v>17</v>
      </c>
      <c r="AK17" s="169" t="str">
        <f t="shared" ca="1" si="20"/>
        <v>BBB+</v>
      </c>
      <c r="AL17" s="169">
        <f t="shared" ca="1" si="20"/>
        <v>19</v>
      </c>
      <c r="AM17" s="169" t="str">
        <f t="shared" ca="1" si="5"/>
        <v/>
      </c>
      <c r="AQ17" s="207" t="s">
        <v>361</v>
      </c>
      <c r="AR17" s="207" t="s">
        <v>139</v>
      </c>
      <c r="AS17" s="207">
        <v>20</v>
      </c>
      <c r="AT17" s="207" t="s">
        <v>194</v>
      </c>
      <c r="AV17" s="168">
        <f t="shared" si="21"/>
        <v>2</v>
      </c>
      <c r="AW17" s="168">
        <f>COUNTIF( AV$7:AV17, AV17 )</f>
        <v>2</v>
      </c>
      <c r="AX17" s="208">
        <f t="shared" si="22"/>
        <v>2.2000000000000002</v>
      </c>
      <c r="AY17" s="168">
        <f t="shared" si="23"/>
        <v>3</v>
      </c>
      <c r="AZ17" s="169"/>
      <c r="BA17" s="169"/>
      <c r="BC17" s="168">
        <f t="shared" ca="1" si="24"/>
        <v>11</v>
      </c>
      <c r="BD17" s="209">
        <f t="shared" ca="1" si="7"/>
        <v>2</v>
      </c>
      <c r="BF17" s="173" t="str">
        <f t="shared" ca="1" si="8"/>
        <v>Alliant Energy Corporation</v>
      </c>
      <c r="BG17" s="173" t="str">
        <f t="shared" ca="1" si="9"/>
        <v>BBB+</v>
      </c>
      <c r="BH17" s="173">
        <f t="shared" ca="1" si="9"/>
        <v>19</v>
      </c>
      <c r="BI17" s="173" t="str">
        <f t="shared" ca="1" si="9"/>
        <v>LNT</v>
      </c>
    </row>
    <row r="18" spans="1:61" ht="13.8" x14ac:dyDescent="0.25">
      <c r="A18" s="223" t="s">
        <v>249</v>
      </c>
      <c r="B18" s="224" t="s">
        <v>140</v>
      </c>
      <c r="C18" s="224">
        <v>19</v>
      </c>
      <c r="D18" s="224" t="s">
        <v>250</v>
      </c>
      <c r="E18" s="225" t="str">
        <f t="shared" ca="1" si="0"/>
        <v>MR</v>
      </c>
      <c r="F18" s="348"/>
      <c r="G18" s="349">
        <f t="shared" ca="1" si="1"/>
        <v>13</v>
      </c>
      <c r="H18" s="350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1</v>
      </c>
      <c r="AG18" s="169" t="str">
        <f t="shared" ca="1" si="3"/>
        <v/>
      </c>
      <c r="AH18" s="169" t="str">
        <f t="shared" ca="1" si="19"/>
        <v/>
      </c>
      <c r="AJ18" s="169">
        <f t="shared" ca="1" si="4"/>
        <v>18</v>
      </c>
      <c r="AK18" s="169" t="str">
        <f t="shared" ca="1" si="20"/>
        <v>BBB+</v>
      </c>
      <c r="AL18" s="169">
        <f t="shared" ca="1" si="20"/>
        <v>19</v>
      </c>
      <c r="AM18" s="169" t="str">
        <f t="shared" ca="1" si="5"/>
        <v/>
      </c>
      <c r="AQ18" s="207" t="s">
        <v>259</v>
      </c>
      <c r="AR18" s="207" t="s">
        <v>175</v>
      </c>
      <c r="AS18" s="207">
        <v>15</v>
      </c>
      <c r="AT18" s="207" t="s">
        <v>260</v>
      </c>
      <c r="AV18" s="168">
        <f t="shared" si="21"/>
        <v>52</v>
      </c>
      <c r="AW18" s="168">
        <f>COUNTIF( AV$7:AV18, AV18 )</f>
        <v>1</v>
      </c>
      <c r="AX18" s="208">
        <f t="shared" si="22"/>
        <v>52.1</v>
      </c>
      <c r="AY18" s="168">
        <f t="shared" si="23"/>
        <v>52</v>
      </c>
      <c r="AZ18" s="169"/>
      <c r="BA18" s="169"/>
      <c r="BC18" s="168">
        <f t="shared" ca="1" si="24"/>
        <v>12</v>
      </c>
      <c r="BD18" s="209">
        <f t="shared" ca="1" si="7"/>
        <v>7</v>
      </c>
      <c r="BF18" s="173" t="str">
        <f t="shared" ca="1" si="8"/>
        <v>CenterPoint Energy, Inc.</v>
      </c>
      <c r="BG18" s="173" t="str">
        <f t="shared" ca="1" si="9"/>
        <v>BBB+</v>
      </c>
      <c r="BH18" s="173">
        <f t="shared" ca="1" si="9"/>
        <v>19</v>
      </c>
      <c r="BI18" s="173" t="str">
        <f t="shared" ca="1" si="9"/>
        <v>CNP</v>
      </c>
    </row>
    <row r="19" spans="1:61" ht="13.8" x14ac:dyDescent="0.25">
      <c r="A19" s="223" t="s">
        <v>261</v>
      </c>
      <c r="B19" s="224" t="s">
        <v>140</v>
      </c>
      <c r="C19" s="224">
        <v>19</v>
      </c>
      <c r="D19" s="224" t="s">
        <v>262</v>
      </c>
      <c r="E19" s="225" t="str">
        <f t="shared" ca="1" si="0"/>
        <v>R</v>
      </c>
      <c r="F19" s="348"/>
      <c r="G19" s="349">
        <f t="shared" ca="1" si="1"/>
        <v>21</v>
      </c>
      <c r="H19" s="350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9"/>
        <v/>
      </c>
      <c r="AJ19" s="169">
        <f t="shared" ca="1" si="4"/>
        <v>19</v>
      </c>
      <c r="AK19" s="169" t="str">
        <f t="shared" ca="1" si="20"/>
        <v>BBB+</v>
      </c>
      <c r="AL19" s="169">
        <f t="shared" ca="1" si="20"/>
        <v>19</v>
      </c>
      <c r="AM19" s="169" t="str">
        <f t="shared" ca="1" si="5"/>
        <v/>
      </c>
      <c r="AQ19" s="207" t="s">
        <v>261</v>
      </c>
      <c r="AR19" s="207" t="s">
        <v>140</v>
      </c>
      <c r="AS19" s="207">
        <v>19</v>
      </c>
      <c r="AT19" s="207" t="s">
        <v>262</v>
      </c>
      <c r="AV19" s="168">
        <f t="shared" si="21"/>
        <v>10</v>
      </c>
      <c r="AW19" s="168">
        <f>COUNTIF( AV$7:AV19, AV19 )</f>
        <v>4</v>
      </c>
      <c r="AX19" s="208">
        <f t="shared" si="22"/>
        <v>10.4</v>
      </c>
      <c r="AY19" s="168">
        <f t="shared" si="23"/>
        <v>13</v>
      </c>
      <c r="AZ19" s="169"/>
      <c r="BA19" s="169"/>
      <c r="BC19" s="168">
        <f t="shared" ca="1" si="24"/>
        <v>13</v>
      </c>
      <c r="BD19" s="209">
        <f t="shared" ca="1" si="7"/>
        <v>13</v>
      </c>
      <c r="BF19" s="173" t="str">
        <f t="shared" ca="1" si="8"/>
        <v>DTE Energy Company</v>
      </c>
      <c r="BG19" s="173" t="str">
        <f t="shared" ca="1" si="9"/>
        <v>BBB+</v>
      </c>
      <c r="BH19" s="173">
        <f t="shared" ca="1" si="9"/>
        <v>19</v>
      </c>
      <c r="BI19" s="173" t="str">
        <f t="shared" ca="1" si="9"/>
        <v>DTE</v>
      </c>
    </row>
    <row r="20" spans="1:61" ht="13.8" x14ac:dyDescent="0.25">
      <c r="A20" s="223" t="s">
        <v>263</v>
      </c>
      <c r="B20" s="224" t="s">
        <v>140</v>
      </c>
      <c r="C20" s="224">
        <v>19</v>
      </c>
      <c r="D20" s="224" t="s">
        <v>264</v>
      </c>
      <c r="E20" s="225" t="str">
        <f t="shared" ca="1" si="0"/>
        <v>MR</v>
      </c>
      <c r="F20" s="348"/>
      <c r="G20" s="349">
        <f t="shared" ca="1" si="1"/>
        <v>22</v>
      </c>
      <c r="H20" s="350"/>
      <c r="I20" s="352"/>
      <c r="K20" s="352"/>
      <c r="N20" s="352"/>
      <c r="O20" s="173"/>
      <c r="Q20" s="352"/>
      <c r="T20" s="352"/>
      <c r="W20" s="352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9"/>
        <v/>
      </c>
      <c r="AJ20" s="169">
        <f t="shared" ca="1" si="4"/>
        <v>20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5"/>
        <v/>
      </c>
      <c r="AQ20" s="207" t="s">
        <v>263</v>
      </c>
      <c r="AR20" s="207" t="s">
        <v>140</v>
      </c>
      <c r="AS20" s="207">
        <v>19</v>
      </c>
      <c r="AT20" s="207" t="s">
        <v>264</v>
      </c>
      <c r="AV20" s="168">
        <f t="shared" si="21"/>
        <v>10</v>
      </c>
      <c r="AW20" s="168">
        <f>COUNTIF( AV$7:AV20, AV20 )</f>
        <v>5</v>
      </c>
      <c r="AX20" s="208">
        <f t="shared" si="22"/>
        <v>10.5</v>
      </c>
      <c r="AY20" s="168">
        <f t="shared" si="23"/>
        <v>14</v>
      </c>
      <c r="AZ20" s="169"/>
      <c r="BA20" s="169"/>
      <c r="BC20" s="168">
        <f t="shared" ca="1" si="24"/>
        <v>14</v>
      </c>
      <c r="BD20" s="209">
        <f t="shared" ca="1" si="7"/>
        <v>14</v>
      </c>
      <c r="BF20" s="173" t="str">
        <f t="shared" ca="1" si="8"/>
        <v>Duke Energy Corporation</v>
      </c>
      <c r="BG20" s="173" t="str">
        <f t="shared" ca="1" si="9"/>
        <v>BBB+</v>
      </c>
      <c r="BH20" s="173">
        <f t="shared" ca="1" si="9"/>
        <v>19</v>
      </c>
      <c r="BI20" s="173" t="str">
        <f t="shared" ca="1" si="9"/>
        <v>DUK</v>
      </c>
    </row>
    <row r="21" spans="1:61" ht="13.8" x14ac:dyDescent="0.25">
      <c r="A21" s="223" t="s">
        <v>271</v>
      </c>
      <c r="B21" s="224" t="s">
        <v>140</v>
      </c>
      <c r="C21" s="224">
        <v>19</v>
      </c>
      <c r="D21" s="224" t="s">
        <v>272</v>
      </c>
      <c r="E21" s="225" t="str">
        <f t="shared" ca="1" si="0"/>
        <v>D</v>
      </c>
      <c r="F21" s="348"/>
      <c r="G21" s="349">
        <f t="shared" ca="1" si="1"/>
        <v>33</v>
      </c>
      <c r="H21" s="350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9"/>
        <v/>
      </c>
      <c r="AJ21" s="169">
        <f t="shared" ca="1" si="4"/>
        <v>22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5"/>
        <v/>
      </c>
      <c r="AQ21" s="207" t="s">
        <v>265</v>
      </c>
      <c r="AR21" s="207" t="s">
        <v>142</v>
      </c>
      <c r="AS21" s="207">
        <v>17</v>
      </c>
      <c r="AT21" s="207" t="s">
        <v>266</v>
      </c>
      <c r="AV21" s="168">
        <f t="shared" si="21"/>
        <v>39</v>
      </c>
      <c r="AW21" s="168">
        <f>COUNTIF( AV$7:AV21, AV21 )</f>
        <v>4</v>
      </c>
      <c r="AX21" s="208">
        <f t="shared" si="22"/>
        <v>39.4</v>
      </c>
      <c r="AY21" s="168">
        <f t="shared" si="23"/>
        <v>42</v>
      </c>
      <c r="AZ21" s="169"/>
      <c r="BA21" s="169"/>
      <c r="BC21" s="168">
        <f t="shared" ca="1" si="24"/>
        <v>15</v>
      </c>
      <c r="BD21" s="209">
        <f t="shared" ca="1" si="7"/>
        <v>28</v>
      </c>
      <c r="BF21" s="173" t="str">
        <f t="shared" ca="1" si="8"/>
        <v>MDU Resources Group, Inc.</v>
      </c>
      <c r="BG21" s="173" t="str">
        <f t="shared" ca="1" si="9"/>
        <v>BBB+</v>
      </c>
      <c r="BH21" s="173">
        <f t="shared" ca="1" si="9"/>
        <v>19</v>
      </c>
      <c r="BI21" s="173" t="str">
        <f t="shared" ca="1" si="9"/>
        <v>MDU</v>
      </c>
    </row>
    <row r="22" spans="1:61" ht="13.8" x14ac:dyDescent="0.25">
      <c r="A22" s="223" t="s">
        <v>408</v>
      </c>
      <c r="B22" s="224" t="s">
        <v>140</v>
      </c>
      <c r="C22" s="224">
        <v>19</v>
      </c>
      <c r="D22" s="224" t="s">
        <v>216</v>
      </c>
      <c r="E22" s="225" t="str">
        <f t="shared" ca="1" si="0"/>
        <v>MR</v>
      </c>
      <c r="F22" s="348"/>
      <c r="G22" s="349">
        <f t="shared" ca="1" si="1"/>
        <v>67</v>
      </c>
      <c r="H22" s="350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4"/>
        <v>23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5"/>
        <v/>
      </c>
      <c r="AQ22" s="207" t="s">
        <v>328</v>
      </c>
      <c r="AR22" s="207" t="s">
        <v>141</v>
      </c>
      <c r="AS22" s="207">
        <v>18</v>
      </c>
      <c r="AT22" s="207" t="s">
        <v>331</v>
      </c>
      <c r="AV22" s="168">
        <f t="shared" si="21"/>
        <v>23</v>
      </c>
      <c r="AW22" s="168">
        <f>COUNTIF( AV$7:AV22, AV22 )</f>
        <v>4</v>
      </c>
      <c r="AX22" s="208">
        <f t="shared" si="22"/>
        <v>23.4</v>
      </c>
      <c r="AY22" s="168">
        <f t="shared" si="23"/>
        <v>26</v>
      </c>
      <c r="AZ22" s="169"/>
      <c r="BA22" s="169"/>
      <c r="BC22" s="168">
        <f t="shared" ca="1" si="24"/>
        <v>16</v>
      </c>
      <c r="BD22" s="209">
        <f t="shared" ca="1" si="7"/>
        <v>29</v>
      </c>
      <c r="BF22" s="173" t="str">
        <f t="shared" ca="1" si="8"/>
        <v>MidAmerican Energy Holdings Company</v>
      </c>
      <c r="BG22" s="173" t="str">
        <f t="shared" ca="1" si="9"/>
        <v>BBB+</v>
      </c>
      <c r="BH22" s="173">
        <f t="shared" ca="1" si="9"/>
        <v>19</v>
      </c>
      <c r="BI22" s="173" t="str">
        <f t="shared" ca="1" si="9"/>
        <v>**BRK</v>
      </c>
    </row>
    <row r="23" spans="1:61" ht="13.8" x14ac:dyDescent="0.25">
      <c r="A23" s="223" t="s">
        <v>277</v>
      </c>
      <c r="B23" s="224" t="s">
        <v>140</v>
      </c>
      <c r="C23" s="224">
        <v>19</v>
      </c>
      <c r="D23" s="224" t="s">
        <v>278</v>
      </c>
      <c r="E23" s="225" t="str">
        <f t="shared" ca="1" si="0"/>
        <v>MR</v>
      </c>
      <c r="F23" s="348"/>
      <c r="G23" s="349">
        <f t="shared" ca="1" si="1"/>
        <v>41</v>
      </c>
      <c r="H23" s="350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4"/>
        <v>24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5"/>
        <v/>
      </c>
      <c r="AQ23" s="207" t="s">
        <v>367</v>
      </c>
      <c r="AR23" s="207" t="s">
        <v>142</v>
      </c>
      <c r="AS23" s="207">
        <v>17</v>
      </c>
      <c r="AT23" s="207" t="s">
        <v>368</v>
      </c>
      <c r="AV23" s="168">
        <f t="shared" si="21"/>
        <v>39</v>
      </c>
      <c r="AW23" s="168">
        <f>COUNTIF( AV$7:AV23, AV23 )</f>
        <v>5</v>
      </c>
      <c r="AX23" s="208">
        <f t="shared" si="22"/>
        <v>39.5</v>
      </c>
      <c r="AY23" s="168">
        <f t="shared" si="23"/>
        <v>43</v>
      </c>
      <c r="AZ23" s="169"/>
      <c r="BA23" s="169"/>
      <c r="BC23" s="168">
        <f t="shared" ca="1" si="24"/>
        <v>17</v>
      </c>
      <c r="BD23" s="209">
        <f t="shared" ca="1" si="7"/>
        <v>35</v>
      </c>
      <c r="BF23" s="173" t="str">
        <f t="shared" ca="1" si="8"/>
        <v>OGE Energy Corp.</v>
      </c>
      <c r="BG23" s="173" t="str">
        <f t="shared" ca="1" si="9"/>
        <v>BBB+</v>
      </c>
      <c r="BH23" s="173">
        <f t="shared" ca="1" si="9"/>
        <v>19</v>
      </c>
      <c r="BI23" s="173" t="str">
        <f t="shared" ca="1" si="9"/>
        <v>OGE</v>
      </c>
    </row>
    <row r="24" spans="1:61" ht="13.8" x14ac:dyDescent="0.25">
      <c r="A24" s="223" t="s">
        <v>382</v>
      </c>
      <c r="B24" s="224" t="s">
        <v>140</v>
      </c>
      <c r="C24" s="224">
        <v>19</v>
      </c>
      <c r="D24" s="224" t="s">
        <v>383</v>
      </c>
      <c r="E24" s="225" t="str">
        <f t="shared" ca="1" si="0"/>
        <v>MR</v>
      </c>
      <c r="F24" s="348"/>
      <c r="G24" s="349">
        <f t="shared" ca="1" si="1"/>
        <v>43</v>
      </c>
      <c r="H24" s="350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4"/>
        <v>25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5"/>
        <v/>
      </c>
      <c r="AQ24" s="207" t="s">
        <v>371</v>
      </c>
      <c r="AR24" s="207" t="s">
        <v>421</v>
      </c>
      <c r="AS24" s="207">
        <v>2</v>
      </c>
      <c r="AT24" s="207" t="s">
        <v>359</v>
      </c>
      <c r="AV24" s="168">
        <f t="shared" si="21"/>
        <v>53</v>
      </c>
      <c r="AW24" s="168">
        <f>COUNTIF( AV$7:AV24, AV24 )</f>
        <v>1</v>
      </c>
      <c r="AX24" s="208">
        <f t="shared" si="22"/>
        <v>53.1</v>
      </c>
      <c r="AY24" s="168">
        <f t="shared" si="23"/>
        <v>53</v>
      </c>
      <c r="AZ24" s="169"/>
      <c r="BA24" s="169"/>
      <c r="BC24" s="168">
        <f t="shared" ca="1" si="24"/>
        <v>18</v>
      </c>
      <c r="BD24" s="209">
        <f t="shared" ca="1" si="7"/>
        <v>37</v>
      </c>
      <c r="BF24" s="173" t="str">
        <f t="shared" ca="1" si="8"/>
        <v>Pepco Holdings, Inc.</v>
      </c>
      <c r="BG24" s="173" t="str">
        <f t="shared" ca="1" si="9"/>
        <v>BBB+</v>
      </c>
      <c r="BH24" s="173">
        <f t="shared" ca="1" si="9"/>
        <v>19</v>
      </c>
      <c r="BI24" s="173" t="str">
        <f t="shared" ca="1" si="9"/>
        <v>POM</v>
      </c>
    </row>
    <row r="25" spans="1:61" ht="13.8" x14ac:dyDescent="0.25">
      <c r="A25" s="223" t="s">
        <v>281</v>
      </c>
      <c r="B25" s="224" t="s">
        <v>140</v>
      </c>
      <c r="C25" s="224">
        <v>19</v>
      </c>
      <c r="D25" s="224" t="s">
        <v>282</v>
      </c>
      <c r="E25" s="225" t="str">
        <f t="shared" ca="1" si="0"/>
        <v>R</v>
      </c>
      <c r="F25" s="348"/>
      <c r="G25" s="349">
        <f t="shared" ca="1" si="1"/>
        <v>45</v>
      </c>
      <c r="H25" s="350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>
        <f t="shared" ca="1" si="3"/>
        <v>1</v>
      </c>
      <c r="AH25" s="169" t="str">
        <f t="shared" ca="1" si="19"/>
        <v/>
      </c>
      <c r="AJ25" s="169">
        <f t="shared" ca="1" si="4"/>
        <v>39</v>
      </c>
      <c r="AK25" s="169" t="str">
        <f t="shared" ca="1" si="20"/>
        <v>BBB</v>
      </c>
      <c r="AL25" s="169">
        <f t="shared" ca="1" si="20"/>
        <v>18</v>
      </c>
      <c r="AM25" s="169" t="str">
        <f t="shared" ca="1" si="5"/>
        <v>Change</v>
      </c>
      <c r="AQ25" s="207" t="s">
        <v>267</v>
      </c>
      <c r="AR25" s="207" t="s">
        <v>141</v>
      </c>
      <c r="AS25" s="207">
        <v>18</v>
      </c>
      <c r="AT25" s="207" t="s">
        <v>268</v>
      </c>
      <c r="AV25" s="168">
        <f t="shared" si="21"/>
        <v>23</v>
      </c>
      <c r="AW25" s="168">
        <f>COUNTIF( AV$7:AV25, AV25 )</f>
        <v>5</v>
      </c>
      <c r="AX25" s="208">
        <f t="shared" si="22"/>
        <v>23.5</v>
      </c>
      <c r="AY25" s="168">
        <f t="shared" si="23"/>
        <v>27</v>
      </c>
      <c r="AZ25" s="169"/>
      <c r="BA25" s="169"/>
      <c r="BC25" s="168">
        <f t="shared" ca="1" si="24"/>
        <v>19</v>
      </c>
      <c r="BD25" s="209">
        <f t="shared" ca="1" si="7"/>
        <v>39</v>
      </c>
      <c r="BF25" s="173" t="str">
        <f t="shared" ca="1" si="8"/>
        <v>Pinnacle West Capital Corporation</v>
      </c>
      <c r="BG25" s="173" t="str">
        <f t="shared" ca="1" si="9"/>
        <v>BBB+</v>
      </c>
      <c r="BH25" s="173">
        <f t="shared" ca="1" si="9"/>
        <v>19</v>
      </c>
      <c r="BI25" s="173" t="str">
        <f t="shared" ca="1" si="9"/>
        <v>PNW</v>
      </c>
    </row>
    <row r="26" spans="1:61" ht="13.8" x14ac:dyDescent="0.25">
      <c r="A26" s="223" t="s">
        <v>347</v>
      </c>
      <c r="B26" s="224" t="s">
        <v>140</v>
      </c>
      <c r="C26" s="224">
        <v>19</v>
      </c>
      <c r="D26" s="224" t="s">
        <v>348</v>
      </c>
      <c r="E26" s="225" t="str">
        <f t="shared" ca="1" si="0"/>
        <v>MR</v>
      </c>
      <c r="F26" s="348"/>
      <c r="G26" s="349">
        <f t="shared" ca="1" si="1"/>
        <v>51</v>
      </c>
      <c r="H26" s="350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9"/>
        <v/>
      </c>
      <c r="AJ26" s="169">
        <f t="shared" ca="1" si="4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5"/>
        <v/>
      </c>
      <c r="AQ26" s="207" t="s">
        <v>269</v>
      </c>
      <c r="AR26" s="207" t="s">
        <v>141</v>
      </c>
      <c r="AS26" s="207">
        <v>18</v>
      </c>
      <c r="AT26" s="207" t="s">
        <v>270</v>
      </c>
      <c r="AV26" s="168">
        <f t="shared" si="21"/>
        <v>23</v>
      </c>
      <c r="AW26" s="168">
        <f>COUNTIF( AV$7:AV26, AV26 )</f>
        <v>6</v>
      </c>
      <c r="AX26" s="208">
        <f t="shared" si="22"/>
        <v>23.6</v>
      </c>
      <c r="AY26" s="168">
        <f t="shared" si="23"/>
        <v>28</v>
      </c>
      <c r="AZ26" s="169"/>
      <c r="BA26" s="169"/>
      <c r="BC26" s="168">
        <f t="shared" ca="1" si="24"/>
        <v>20</v>
      </c>
      <c r="BD26" s="209">
        <f t="shared" ca="1" si="7"/>
        <v>45</v>
      </c>
      <c r="BF26" s="173" t="str">
        <f t="shared" ca="1" si="8"/>
        <v>SCANA Corporation</v>
      </c>
      <c r="BG26" s="173" t="str">
        <f t="shared" ca="1" si="9"/>
        <v>BBB+</v>
      </c>
      <c r="BH26" s="173">
        <f t="shared" ca="1" si="9"/>
        <v>19</v>
      </c>
      <c r="BI26" s="173" t="str">
        <f t="shared" ca="1" si="9"/>
        <v>SCG</v>
      </c>
    </row>
    <row r="27" spans="1:61" ht="13.8" x14ac:dyDescent="0.25">
      <c r="A27" s="223" t="s">
        <v>291</v>
      </c>
      <c r="B27" s="224" t="s">
        <v>140</v>
      </c>
      <c r="C27" s="224">
        <v>19</v>
      </c>
      <c r="D27" s="224" t="s">
        <v>292</v>
      </c>
      <c r="E27" s="225" t="str">
        <f t="shared" ca="1" si="0"/>
        <v>MR</v>
      </c>
      <c r="F27" s="348"/>
      <c r="G27" s="349">
        <f t="shared" ca="1" si="1"/>
        <v>52</v>
      </c>
      <c r="H27" s="350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4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5"/>
        <v/>
      </c>
      <c r="AQ27" s="207" t="s">
        <v>275</v>
      </c>
      <c r="AR27" s="207" t="s">
        <v>142</v>
      </c>
      <c r="AS27" s="207">
        <v>17</v>
      </c>
      <c r="AT27" s="207" t="s">
        <v>276</v>
      </c>
      <c r="AV27" s="168">
        <f t="shared" si="21"/>
        <v>39</v>
      </c>
      <c r="AW27" s="168">
        <f>COUNTIF( AV$7:AV27, AV27 )</f>
        <v>6</v>
      </c>
      <c r="AX27" s="208">
        <f t="shared" si="22"/>
        <v>39.6</v>
      </c>
      <c r="AY27" s="168">
        <f t="shared" si="23"/>
        <v>44</v>
      </c>
      <c r="AZ27" s="169"/>
      <c r="BA27" s="169"/>
      <c r="BC27" s="168">
        <f t="shared" ca="1" si="24"/>
        <v>21</v>
      </c>
      <c r="BD27" s="209">
        <f t="shared" ca="1" si="7"/>
        <v>46</v>
      </c>
      <c r="BF27" s="173" t="str">
        <f t="shared" ca="1" si="8"/>
        <v>Sempra Energy</v>
      </c>
      <c r="BG27" s="173" t="str">
        <f t="shared" ca="1" si="9"/>
        <v>BBB+</v>
      </c>
      <c r="BH27" s="173">
        <f t="shared" ca="1" si="9"/>
        <v>19</v>
      </c>
      <c r="BI27" s="173" t="str">
        <f t="shared" ca="1" si="9"/>
        <v>SRE</v>
      </c>
    </row>
    <row r="28" spans="1:61" ht="13.8" x14ac:dyDescent="0.25">
      <c r="A28" s="223" t="s">
        <v>369</v>
      </c>
      <c r="B28" s="224" t="s">
        <v>140</v>
      </c>
      <c r="C28" s="224">
        <v>19</v>
      </c>
      <c r="D28" s="224" t="s">
        <v>375</v>
      </c>
      <c r="E28" s="225" t="str">
        <f t="shared" ca="1" si="0"/>
        <v>R</v>
      </c>
      <c r="F28" s="348"/>
      <c r="G28" s="349">
        <f t="shared" ca="1" si="1"/>
        <v>54</v>
      </c>
      <c r="H28" s="350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4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5"/>
        <v/>
      </c>
      <c r="AQ28" s="207" t="s">
        <v>352</v>
      </c>
      <c r="AR28" s="207" t="s">
        <v>141</v>
      </c>
      <c r="AS28" s="207">
        <v>18</v>
      </c>
      <c r="AT28" s="207" t="s">
        <v>353</v>
      </c>
      <c r="AV28" s="168">
        <f t="shared" si="21"/>
        <v>23</v>
      </c>
      <c r="AW28" s="168">
        <f>COUNTIF( AV$7:AV28, AV28 )</f>
        <v>7</v>
      </c>
      <c r="AX28" s="208">
        <f t="shared" si="22"/>
        <v>23.7</v>
      </c>
      <c r="AY28" s="168">
        <f t="shared" si="23"/>
        <v>29</v>
      </c>
      <c r="AZ28" s="169"/>
      <c r="BA28" s="169"/>
      <c r="BC28" s="168">
        <f t="shared" ca="1" si="24"/>
        <v>22</v>
      </c>
      <c r="BD28" s="209">
        <f t="shared" ca="1" si="7"/>
        <v>48</v>
      </c>
      <c r="BF28" s="173" t="str">
        <f t="shared" ca="1" si="8"/>
        <v>TECO Energy, Inc.</v>
      </c>
      <c r="BG28" s="173" t="str">
        <f t="shared" ca="1" si="9"/>
        <v>BBB+</v>
      </c>
      <c r="BH28" s="173">
        <f t="shared" ca="1" si="9"/>
        <v>19</v>
      </c>
      <c r="BI28" s="173" t="str">
        <f t="shared" ca="1" si="9"/>
        <v>TE</v>
      </c>
    </row>
    <row r="29" spans="1:61" ht="13.8" x14ac:dyDescent="0.25">
      <c r="A29" s="223" t="s">
        <v>222</v>
      </c>
      <c r="B29" s="224" t="s">
        <v>141</v>
      </c>
      <c r="C29" s="224">
        <v>18</v>
      </c>
      <c r="D29" s="224" t="s">
        <v>223</v>
      </c>
      <c r="E29" s="225" t="str">
        <f t="shared" ca="1" si="0"/>
        <v>R</v>
      </c>
      <c r="F29" s="348"/>
      <c r="G29" s="349">
        <f t="shared" ca="1" si="1"/>
        <v>10</v>
      </c>
      <c r="H29" s="350"/>
      <c r="I29" s="237"/>
      <c r="J29" s="191"/>
      <c r="K29" s="237"/>
      <c r="N29" s="237"/>
      <c r="Q29" s="237"/>
      <c r="T29" s="237"/>
      <c r="W29" s="237"/>
      <c r="AF29" s="169">
        <f t="shared" si="2"/>
        <v>0</v>
      </c>
      <c r="AG29" s="169" t="str">
        <f t="shared" ca="1" si="3"/>
        <v/>
      </c>
      <c r="AH29" s="169" t="str">
        <f t="shared" ca="1" si="19"/>
        <v/>
      </c>
      <c r="AJ29" s="169">
        <f t="shared" ca="1" si="4"/>
        <v>29</v>
      </c>
      <c r="AK29" s="169" t="str">
        <f t="shared" ca="1" si="20"/>
        <v>BBB</v>
      </c>
      <c r="AL29" s="169">
        <f t="shared" ca="1" si="20"/>
        <v>18</v>
      </c>
      <c r="AM29" s="169" t="str">
        <f t="shared" ca="1" si="5"/>
        <v/>
      </c>
      <c r="AQ29" s="207" t="s">
        <v>279</v>
      </c>
      <c r="AR29" s="207" t="s">
        <v>142</v>
      </c>
      <c r="AS29" s="207">
        <v>17</v>
      </c>
      <c r="AT29" s="207" t="s">
        <v>280</v>
      </c>
      <c r="AV29" s="168">
        <f t="shared" si="21"/>
        <v>39</v>
      </c>
      <c r="AW29" s="168">
        <f>COUNTIF( AV$7:AV29, AV29 )</f>
        <v>7</v>
      </c>
      <c r="AX29" s="208">
        <f t="shared" si="22"/>
        <v>39.700000000000003</v>
      </c>
      <c r="AY29" s="168">
        <f t="shared" si="23"/>
        <v>45</v>
      </c>
      <c r="AZ29" s="169"/>
      <c r="BA29" s="169"/>
      <c r="BC29" s="168">
        <f t="shared" ca="1" si="24"/>
        <v>23</v>
      </c>
      <c r="BD29" s="209">
        <f t="shared" ca="1" si="7"/>
        <v>4</v>
      </c>
      <c r="BF29" s="173" t="str">
        <f t="shared" ca="1" si="8"/>
        <v>American Electric Power Company, Inc.</v>
      </c>
      <c r="BG29" s="173" t="str">
        <f t="shared" ca="1" si="9"/>
        <v>BBB</v>
      </c>
      <c r="BH29" s="173">
        <f t="shared" ca="1" si="9"/>
        <v>18</v>
      </c>
      <c r="BI29" s="173" t="str">
        <f t="shared" ca="1" si="9"/>
        <v>AEP</v>
      </c>
    </row>
    <row r="30" spans="1:61" ht="13.8" x14ac:dyDescent="0.25">
      <c r="A30" s="223" t="s">
        <v>238</v>
      </c>
      <c r="B30" s="224" t="s">
        <v>141</v>
      </c>
      <c r="C30" s="224">
        <v>18</v>
      </c>
      <c r="D30" s="224" t="s">
        <v>239</v>
      </c>
      <c r="E30" s="225" t="str">
        <f t="shared" ca="1" si="0"/>
        <v>R</v>
      </c>
      <c r="F30" s="348"/>
      <c r="G30" s="349">
        <f t="shared" ca="1" si="1"/>
        <v>11</v>
      </c>
      <c r="H30" s="350"/>
      <c r="I30" s="237"/>
      <c r="J30" s="191"/>
      <c r="K30" s="237"/>
      <c r="N30" s="237"/>
      <c r="Q30" s="237"/>
      <c r="T30" s="237"/>
      <c r="W30" s="237"/>
      <c r="AF30" s="169">
        <f t="shared" si="2"/>
        <v>0</v>
      </c>
      <c r="AG30" s="169" t="str">
        <f t="shared" ca="1" si="3"/>
        <v/>
      </c>
      <c r="AH30" s="169" t="str">
        <f t="shared" ca="1" si="19"/>
        <v/>
      </c>
      <c r="AJ30" s="169">
        <f t="shared" ca="1" si="4"/>
        <v>30</v>
      </c>
      <c r="AK30" s="169" t="str">
        <f t="shared" ca="1" si="20"/>
        <v>BBB</v>
      </c>
      <c r="AL30" s="169">
        <f t="shared" ca="1" si="20"/>
        <v>18</v>
      </c>
      <c r="AM30" s="169" t="str">
        <f t="shared" ca="1" si="5"/>
        <v/>
      </c>
      <c r="AQ30" s="207" t="s">
        <v>387</v>
      </c>
      <c r="AR30" s="207" t="s">
        <v>141</v>
      </c>
      <c r="AS30" s="207">
        <v>18</v>
      </c>
      <c r="AT30" s="207" t="s">
        <v>388</v>
      </c>
      <c r="AV30" s="168">
        <f t="shared" si="21"/>
        <v>23</v>
      </c>
      <c r="AW30" s="168">
        <f>COUNTIF( AV$7:AV30, AV30 )</f>
        <v>8</v>
      </c>
      <c r="AX30" s="208">
        <f t="shared" si="22"/>
        <v>23.8</v>
      </c>
      <c r="AY30" s="168">
        <f t="shared" si="23"/>
        <v>30</v>
      </c>
      <c r="AZ30" s="169"/>
      <c r="BA30" s="169"/>
      <c r="BC30" s="168">
        <f t="shared" ca="1" si="24"/>
        <v>24</v>
      </c>
      <c r="BD30" s="209">
        <f t="shared" ca="1" si="7"/>
        <v>5</v>
      </c>
      <c r="BF30" s="173" t="str">
        <f t="shared" ca="1" si="8"/>
        <v>Avista Corporation</v>
      </c>
      <c r="BG30" s="173" t="str">
        <f t="shared" ca="1" si="9"/>
        <v>BBB</v>
      </c>
      <c r="BH30" s="173">
        <f t="shared" ca="1" si="9"/>
        <v>18</v>
      </c>
      <c r="BI30" s="173" t="str">
        <f t="shared" ca="1" si="9"/>
        <v>AVA</v>
      </c>
    </row>
    <row r="31" spans="1:61" ht="13.8" x14ac:dyDescent="0.25">
      <c r="A31" s="223" t="s">
        <v>254</v>
      </c>
      <c r="B31" s="224" t="s">
        <v>141</v>
      </c>
      <c r="C31" s="224">
        <v>18</v>
      </c>
      <c r="D31" s="224" t="s">
        <v>378</v>
      </c>
      <c r="E31" s="225" t="str">
        <f t="shared" ca="1" si="0"/>
        <v>R</v>
      </c>
      <c r="F31" s="348"/>
      <c r="G31" s="349">
        <f t="shared" ca="1" si="1"/>
        <v>16</v>
      </c>
      <c r="H31" s="350"/>
      <c r="I31" s="237"/>
      <c r="J31" s="191"/>
      <c r="K31" s="237"/>
      <c r="N31" s="237"/>
      <c r="O31" s="351"/>
      <c r="Q31" s="237"/>
      <c r="T31" s="237"/>
      <c r="W31" s="237"/>
      <c r="AF31" s="169">
        <f t="shared" si="2"/>
        <v>0</v>
      </c>
      <c r="AG31" s="169" t="str">
        <f t="shared" ca="1" si="3"/>
        <v/>
      </c>
      <c r="AH31" s="169" t="str">
        <f t="shared" ca="1" si="19"/>
        <v/>
      </c>
      <c r="AJ31" s="169">
        <f t="shared" ca="1" si="4"/>
        <v>31</v>
      </c>
      <c r="AK31" s="169" t="str">
        <f t="shared" ca="1" si="20"/>
        <v>BBB</v>
      </c>
      <c r="AL31" s="169">
        <f t="shared" ca="1" si="20"/>
        <v>18</v>
      </c>
      <c r="AM31" s="169" t="str">
        <f t="shared" ca="1" si="5"/>
        <v/>
      </c>
      <c r="AQ31" s="207" t="s">
        <v>283</v>
      </c>
      <c r="AR31" s="207" t="s">
        <v>141</v>
      </c>
      <c r="AS31" s="207">
        <v>18</v>
      </c>
      <c r="AT31" s="207" t="s">
        <v>284</v>
      </c>
      <c r="AV31" s="168">
        <f t="shared" si="21"/>
        <v>23</v>
      </c>
      <c r="AW31" s="168">
        <f>COUNTIF( AV$7:AV31, AV31 )</f>
        <v>9</v>
      </c>
      <c r="AX31" s="208">
        <f t="shared" si="22"/>
        <v>23.9</v>
      </c>
      <c r="AY31" s="168">
        <f t="shared" si="23"/>
        <v>31</v>
      </c>
      <c r="AZ31" s="169"/>
      <c r="BA31" s="169"/>
      <c r="BC31" s="168">
        <f t="shared" ca="1" si="24"/>
        <v>25</v>
      </c>
      <c r="BD31" s="209">
        <f t="shared" ca="1" si="7"/>
        <v>8</v>
      </c>
      <c r="BF31" s="173" t="str">
        <f t="shared" ca="1" si="8"/>
        <v>Cleco Corporation</v>
      </c>
      <c r="BG31" s="173" t="str">
        <f t="shared" ca="1" si="9"/>
        <v>BBB</v>
      </c>
      <c r="BH31" s="173">
        <f t="shared" ca="1" si="9"/>
        <v>18</v>
      </c>
      <c r="BI31" s="173" t="str">
        <f t="shared" ca="1" si="9"/>
        <v>CNL</v>
      </c>
    </row>
    <row r="32" spans="1:61" ht="13.8" x14ac:dyDescent="0.25">
      <c r="A32" s="223" t="s">
        <v>328</v>
      </c>
      <c r="B32" s="224" t="s">
        <v>141</v>
      </c>
      <c r="C32" s="224">
        <v>18</v>
      </c>
      <c r="D32" s="224" t="s">
        <v>331</v>
      </c>
      <c r="E32" s="225" t="str">
        <f t="shared" ca="1" si="0"/>
        <v>R</v>
      </c>
      <c r="F32" s="348"/>
      <c r="G32" s="349">
        <f t="shared" ca="1" si="1"/>
        <v>24</v>
      </c>
      <c r="H32" s="350"/>
      <c r="I32" s="237"/>
      <c r="J32" s="191"/>
      <c r="K32" s="237"/>
      <c r="N32" s="237"/>
      <c r="Q32" s="237"/>
      <c r="T32" s="237"/>
      <c r="W32" s="237"/>
      <c r="AF32" s="169">
        <f t="shared" si="2"/>
        <v>0</v>
      </c>
      <c r="AG32" s="169" t="str">
        <f t="shared" ca="1" si="3"/>
        <v/>
      </c>
      <c r="AH32" s="169" t="str">
        <f t="shared" ca="1" si="19"/>
        <v/>
      </c>
      <c r="AJ32" s="169">
        <f t="shared" ca="1" si="4"/>
        <v>32</v>
      </c>
      <c r="AK32" s="169" t="str">
        <f t="shared" ca="1" si="20"/>
        <v>BBB</v>
      </c>
      <c r="AL32" s="169">
        <f t="shared" ca="1" si="20"/>
        <v>18</v>
      </c>
      <c r="AM32" s="169" t="str">
        <f t="shared" ca="1" si="5"/>
        <v/>
      </c>
      <c r="AQ32" s="207" t="s">
        <v>395</v>
      </c>
      <c r="AR32" s="207" t="s">
        <v>139</v>
      </c>
      <c r="AS32" s="207">
        <v>20</v>
      </c>
      <c r="AT32" s="207" t="s">
        <v>396</v>
      </c>
      <c r="AV32" s="168">
        <f t="shared" si="21"/>
        <v>2</v>
      </c>
      <c r="AW32" s="168">
        <f>COUNTIF( AV$7:AV32, AV32 )</f>
        <v>3</v>
      </c>
      <c r="AX32" s="208">
        <f t="shared" si="22"/>
        <v>2.2999999999999998</v>
      </c>
      <c r="AY32" s="168">
        <f t="shared" si="23"/>
        <v>4</v>
      </c>
      <c r="AZ32" s="169"/>
      <c r="BA32" s="169"/>
      <c r="BC32" s="168">
        <f t="shared" ca="1" si="24"/>
        <v>26</v>
      </c>
      <c r="BD32" s="209">
        <f t="shared" ca="1" si="7"/>
        <v>16</v>
      </c>
      <c r="BF32" s="173" t="str">
        <f t="shared" ca="1" si="8"/>
        <v>El Paso Electric Company</v>
      </c>
      <c r="BG32" s="173" t="str">
        <f t="shared" ca="1" si="9"/>
        <v>BBB</v>
      </c>
      <c r="BH32" s="173">
        <f t="shared" ca="1" si="9"/>
        <v>18</v>
      </c>
      <c r="BI32" s="173" t="str">
        <f t="shared" ca="1" si="9"/>
        <v>EE</v>
      </c>
    </row>
    <row r="33" spans="1:61" ht="13.8" x14ac:dyDescent="0.25">
      <c r="A33" s="223" t="s">
        <v>387</v>
      </c>
      <c r="B33" s="224" t="s">
        <v>141</v>
      </c>
      <c r="C33" s="224">
        <v>18</v>
      </c>
      <c r="D33" s="224" t="s">
        <v>388</v>
      </c>
      <c r="E33" s="225" t="str">
        <f t="shared" ca="1" si="0"/>
        <v>R</v>
      </c>
      <c r="F33" s="348"/>
      <c r="G33" s="349">
        <f t="shared" ca="1" si="1"/>
        <v>63</v>
      </c>
      <c r="H33" s="350"/>
      <c r="I33" s="237"/>
      <c r="J33" s="191"/>
      <c r="K33" s="237"/>
      <c r="N33" s="237"/>
      <c r="Q33" s="237"/>
      <c r="T33" s="237"/>
      <c r="W33" s="237"/>
      <c r="AF33" s="169">
        <f t="shared" si="2"/>
        <v>0</v>
      </c>
      <c r="AG33" s="169" t="str">
        <f t="shared" ca="1" si="3"/>
        <v/>
      </c>
      <c r="AH33" s="169">
        <f t="shared" ca="1" si="19"/>
        <v>1</v>
      </c>
      <c r="AJ33" s="169">
        <f t="shared" ca="1" si="4"/>
        <v>21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5"/>
        <v>Change</v>
      </c>
      <c r="AQ33" s="207" t="s">
        <v>287</v>
      </c>
      <c r="AR33" s="207" t="s">
        <v>142</v>
      </c>
      <c r="AS33" s="207">
        <v>17</v>
      </c>
      <c r="AT33" s="207" t="s">
        <v>288</v>
      </c>
      <c r="AV33" s="168">
        <f t="shared" si="21"/>
        <v>39</v>
      </c>
      <c r="AW33" s="168">
        <f>COUNTIF( AV$7:AV33, AV33 )</f>
        <v>8</v>
      </c>
      <c r="AX33" s="208">
        <f t="shared" si="22"/>
        <v>39.799999999999997</v>
      </c>
      <c r="AY33" s="168">
        <f t="shared" si="23"/>
        <v>46</v>
      </c>
      <c r="AZ33" s="169"/>
      <c r="BA33" s="169"/>
      <c r="BC33" s="168">
        <f t="shared" ca="1" si="24"/>
        <v>27</v>
      </c>
      <c r="BD33" s="209">
        <f t="shared" ca="1" si="7"/>
        <v>19</v>
      </c>
      <c r="BF33" s="173" t="str">
        <f t="shared" ca="1" si="8"/>
        <v>Entergy Corporation</v>
      </c>
      <c r="BG33" s="173" t="str">
        <f t="shared" ca="1" si="9"/>
        <v>BBB</v>
      </c>
      <c r="BH33" s="173">
        <f t="shared" ca="1" si="9"/>
        <v>18</v>
      </c>
      <c r="BI33" s="173" t="str">
        <f t="shared" ca="1" si="9"/>
        <v>ETR</v>
      </c>
    </row>
    <row r="34" spans="1:61" ht="13.8" x14ac:dyDescent="0.25">
      <c r="A34" s="223" t="s">
        <v>267</v>
      </c>
      <c r="B34" s="224" t="s">
        <v>141</v>
      </c>
      <c r="C34" s="224">
        <v>18</v>
      </c>
      <c r="D34" s="224" t="s">
        <v>268</v>
      </c>
      <c r="E34" s="225" t="str">
        <f t="shared" ca="1" si="0"/>
        <v>R</v>
      </c>
      <c r="F34" s="348"/>
      <c r="G34" s="349">
        <f t="shared" ca="1" si="1"/>
        <v>26</v>
      </c>
      <c r="H34" s="350"/>
      <c r="I34" s="237"/>
      <c r="J34" s="191"/>
      <c r="K34" s="237"/>
      <c r="N34" s="237"/>
      <c r="Q34" s="237"/>
      <c r="T34" s="237"/>
      <c r="W34" s="237"/>
      <c r="AF34" s="169">
        <f t="shared" si="2"/>
        <v>0</v>
      </c>
      <c r="AG34" s="169" t="str">
        <f t="shared" ca="1" si="3"/>
        <v/>
      </c>
      <c r="AH34" s="169" t="str">
        <f t="shared" ca="1" si="19"/>
        <v/>
      </c>
      <c r="AJ34" s="169">
        <f t="shared" ca="1" si="4"/>
        <v>33</v>
      </c>
      <c r="AK34" s="169" t="str">
        <f t="shared" ca="1" si="20"/>
        <v>BBB</v>
      </c>
      <c r="AL34" s="169">
        <f t="shared" ca="1" si="20"/>
        <v>18</v>
      </c>
      <c r="AM34" s="169" t="str">
        <f t="shared" ca="1" si="5"/>
        <v/>
      </c>
      <c r="AQ34" s="207" t="s">
        <v>271</v>
      </c>
      <c r="AR34" s="207" t="s">
        <v>140</v>
      </c>
      <c r="AS34" s="207">
        <v>19</v>
      </c>
      <c r="AT34" s="207" t="s">
        <v>272</v>
      </c>
      <c r="AV34" s="168">
        <f t="shared" si="21"/>
        <v>10</v>
      </c>
      <c r="AW34" s="168">
        <f>COUNTIF( AV$7:AV34, AV34 )</f>
        <v>6</v>
      </c>
      <c r="AX34" s="208">
        <f t="shared" si="22"/>
        <v>10.6</v>
      </c>
      <c r="AY34" s="168">
        <f t="shared" si="23"/>
        <v>15</v>
      </c>
      <c r="AZ34" s="169"/>
      <c r="BA34" s="169"/>
      <c r="BC34" s="168">
        <f t="shared" ca="1" si="24"/>
        <v>28</v>
      </c>
      <c r="BD34" s="209">
        <f t="shared" ca="1" si="7"/>
        <v>20</v>
      </c>
      <c r="BF34" s="173" t="str">
        <f t="shared" ca="1" si="8"/>
        <v>Exelon Corporation</v>
      </c>
      <c r="BG34" s="173" t="str">
        <f t="shared" ca="1" si="9"/>
        <v>BBB</v>
      </c>
      <c r="BH34" s="173">
        <f t="shared" ca="1" si="9"/>
        <v>18</v>
      </c>
      <c r="BI34" s="173" t="str">
        <f t="shared" ca="1" si="9"/>
        <v>EXC</v>
      </c>
    </row>
    <row r="35" spans="1:61" ht="13.8" x14ac:dyDescent="0.25">
      <c r="A35" s="223" t="s">
        <v>269</v>
      </c>
      <c r="B35" s="224" t="s">
        <v>141</v>
      </c>
      <c r="C35" s="224">
        <v>18</v>
      </c>
      <c r="D35" s="224" t="s">
        <v>270</v>
      </c>
      <c r="E35" s="225" t="str">
        <f t="shared" ca="1" si="0"/>
        <v>MR</v>
      </c>
      <c r="F35" s="348"/>
      <c r="G35" s="349">
        <f t="shared" ca="1" si="1"/>
        <v>27</v>
      </c>
      <c r="H35" s="350"/>
      <c r="I35" s="237"/>
      <c r="K35" s="237"/>
      <c r="N35" s="237"/>
      <c r="Q35" s="237"/>
      <c r="T35" s="237"/>
      <c r="W35" s="237"/>
      <c r="AF35" s="169">
        <f t="shared" si="2"/>
        <v>0</v>
      </c>
      <c r="AG35" s="169" t="str">
        <f t="shared" ca="1" si="3"/>
        <v/>
      </c>
      <c r="AH35" s="169" t="str">
        <f t="shared" ca="1" si="19"/>
        <v/>
      </c>
      <c r="AJ35" s="169">
        <f t="shared" ca="1" si="4"/>
        <v>34</v>
      </c>
      <c r="AK35" s="169" t="str">
        <f t="shared" ca="1" si="20"/>
        <v>BBB</v>
      </c>
      <c r="AL35" s="169">
        <f t="shared" ca="1" si="20"/>
        <v>18</v>
      </c>
      <c r="AM35" s="169" t="str">
        <f t="shared" ca="1" si="5"/>
        <v/>
      </c>
      <c r="AQ35" s="207" t="s">
        <v>408</v>
      </c>
      <c r="AR35" s="207" t="s">
        <v>140</v>
      </c>
      <c r="AS35" s="207">
        <v>19</v>
      </c>
      <c r="AT35" s="207" t="s">
        <v>216</v>
      </c>
      <c r="AV35" s="168">
        <f t="shared" si="21"/>
        <v>10</v>
      </c>
      <c r="AW35" s="168">
        <f>COUNTIF( AV$7:AV35, AV35 )</f>
        <v>7</v>
      </c>
      <c r="AX35" s="208">
        <f t="shared" si="22"/>
        <v>10.7</v>
      </c>
      <c r="AY35" s="168">
        <f t="shared" si="23"/>
        <v>16</v>
      </c>
      <c r="AZ35" s="169"/>
      <c r="BA35" s="169"/>
      <c r="BC35" s="168">
        <f t="shared" ca="1" si="24"/>
        <v>29</v>
      </c>
      <c r="BD35" s="209">
        <f t="shared" ca="1" si="7"/>
        <v>22</v>
      </c>
      <c r="BF35" s="173" t="str">
        <f t="shared" ca="1" si="8"/>
        <v>Great Plains Energy Inc.</v>
      </c>
      <c r="BG35" s="173" t="str">
        <f t="shared" ca="1" si="9"/>
        <v>BBB</v>
      </c>
      <c r="BH35" s="173">
        <f t="shared" ca="1" si="9"/>
        <v>18</v>
      </c>
      <c r="BI35" s="173" t="str">
        <f t="shared" ca="1" si="9"/>
        <v>GXP</v>
      </c>
    </row>
    <row r="36" spans="1:61" ht="13.8" x14ac:dyDescent="0.25">
      <c r="A36" s="223" t="s">
        <v>352</v>
      </c>
      <c r="B36" s="224" t="s">
        <v>141</v>
      </c>
      <c r="C36" s="224">
        <v>18</v>
      </c>
      <c r="D36" s="224" t="s">
        <v>353</v>
      </c>
      <c r="E36" s="225" t="str">
        <f t="shared" ca="1" si="0"/>
        <v>R</v>
      </c>
      <c r="F36" s="348"/>
      <c r="G36" s="349">
        <f t="shared" ca="1" si="1"/>
        <v>29</v>
      </c>
      <c r="H36" s="350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9"/>
        <v/>
      </c>
      <c r="AJ36" s="169">
        <f t="shared" ca="1" si="4"/>
        <v>35</v>
      </c>
      <c r="AK36" s="169" t="str">
        <f t="shared" ca="1" si="20"/>
        <v>BBB</v>
      </c>
      <c r="AL36" s="169">
        <f t="shared" ca="1" si="20"/>
        <v>18</v>
      </c>
      <c r="AM36" s="169" t="str">
        <f t="shared" ca="1" si="5"/>
        <v/>
      </c>
      <c r="AQ36" s="207" t="s">
        <v>240</v>
      </c>
      <c r="AR36" s="207" t="s">
        <v>139</v>
      </c>
      <c r="AS36" s="207">
        <v>20</v>
      </c>
      <c r="AT36" s="207" t="s">
        <v>241</v>
      </c>
      <c r="AV36" s="168">
        <f t="shared" si="21"/>
        <v>2</v>
      </c>
      <c r="AW36" s="168">
        <f>COUNTIF( AV$7:AV36, AV36 )</f>
        <v>4</v>
      </c>
      <c r="AX36" s="208">
        <f t="shared" si="22"/>
        <v>2.4</v>
      </c>
      <c r="AY36" s="168">
        <f t="shared" si="23"/>
        <v>5</v>
      </c>
      <c r="AZ36" s="169"/>
      <c r="BA36" s="169"/>
      <c r="BC36" s="168">
        <f t="shared" ca="1" si="24"/>
        <v>30</v>
      </c>
      <c r="BD36" s="209">
        <f t="shared" ca="1" si="7"/>
        <v>24</v>
      </c>
      <c r="BF36" s="173" t="str">
        <f t="shared" ca="1" si="8"/>
        <v>Iberdrola USA</v>
      </c>
      <c r="BG36" s="173" t="str">
        <f t="shared" ca="1" si="9"/>
        <v>BBB</v>
      </c>
      <c r="BH36" s="173">
        <f t="shared" ca="1" si="9"/>
        <v>18</v>
      </c>
      <c r="BI36" s="173" t="str">
        <f t="shared" ca="1" si="9"/>
        <v>**EAST</v>
      </c>
    </row>
    <row r="37" spans="1:61" ht="13.8" x14ac:dyDescent="0.25">
      <c r="A37" s="223" t="s">
        <v>283</v>
      </c>
      <c r="B37" s="224" t="s">
        <v>141</v>
      </c>
      <c r="C37" s="224">
        <v>18</v>
      </c>
      <c r="D37" s="224" t="s">
        <v>284</v>
      </c>
      <c r="E37" s="225" t="str">
        <f t="shared" ca="1" si="0"/>
        <v>R</v>
      </c>
      <c r="F37" s="348"/>
      <c r="G37" s="349">
        <f t="shared" ca="1" si="1"/>
        <v>31</v>
      </c>
      <c r="H37" s="350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4"/>
        <v>36</v>
      </c>
      <c r="AK37" s="169" t="str">
        <f t="shared" ca="1" si="20"/>
        <v>BBB</v>
      </c>
      <c r="AL37" s="169">
        <f t="shared" ca="1" si="20"/>
        <v>18</v>
      </c>
      <c r="AM37" s="169" t="str">
        <f t="shared" ca="1" si="5"/>
        <v/>
      </c>
      <c r="AQ37" s="207" t="s">
        <v>273</v>
      </c>
      <c r="AR37" s="207" t="s">
        <v>142</v>
      </c>
      <c r="AS37" s="207">
        <v>17</v>
      </c>
      <c r="AT37" s="207" t="s">
        <v>274</v>
      </c>
      <c r="AV37" s="168">
        <f t="shared" si="21"/>
        <v>39</v>
      </c>
      <c r="AW37" s="168">
        <f>COUNTIF( AV$7:AV37, AV37 )</f>
        <v>9</v>
      </c>
      <c r="AX37" s="208">
        <f t="shared" si="22"/>
        <v>39.9</v>
      </c>
      <c r="AY37" s="168">
        <f t="shared" si="23"/>
        <v>47</v>
      </c>
      <c r="AZ37" s="169"/>
      <c r="BA37" s="169"/>
      <c r="BC37" s="168">
        <f t="shared" ca="1" si="24"/>
        <v>31</v>
      </c>
      <c r="BD37" s="209">
        <f t="shared" ca="1" si="7"/>
        <v>25</v>
      </c>
      <c r="BF37" s="173" t="str">
        <f t="shared" ca="1" si="8"/>
        <v>IDACORP, Inc.</v>
      </c>
      <c r="BG37" s="173" t="str">
        <f t="shared" ca="1" si="9"/>
        <v>BBB</v>
      </c>
      <c r="BH37" s="173">
        <f t="shared" ca="1" si="9"/>
        <v>18</v>
      </c>
      <c r="BI37" s="173" t="str">
        <f t="shared" ca="1" si="9"/>
        <v>IDA</v>
      </c>
    </row>
    <row r="38" spans="1:61" ht="13.8" x14ac:dyDescent="0.25">
      <c r="A38" s="223" t="s">
        <v>297</v>
      </c>
      <c r="B38" s="224" t="s">
        <v>141</v>
      </c>
      <c r="C38" s="224">
        <v>18</v>
      </c>
      <c r="D38" s="224" t="s">
        <v>298</v>
      </c>
      <c r="E38" s="225" t="str">
        <f t="shared" ca="1" si="0"/>
        <v>R</v>
      </c>
      <c r="F38" s="348"/>
      <c r="G38" s="349">
        <f t="shared" ca="1" si="1"/>
        <v>38</v>
      </c>
      <c r="H38" s="350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4"/>
        <v>37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5"/>
        <v/>
      </c>
      <c r="AQ38" s="207" t="s">
        <v>394</v>
      </c>
      <c r="AR38" s="207" t="s">
        <v>139</v>
      </c>
      <c r="AS38" s="207">
        <v>20</v>
      </c>
      <c r="AT38" s="207" t="s">
        <v>236</v>
      </c>
      <c r="AV38" s="168">
        <f t="shared" si="21"/>
        <v>2</v>
      </c>
      <c r="AW38" s="168">
        <f>COUNTIF( AV$7:AV38, AV38 )</f>
        <v>5</v>
      </c>
      <c r="AX38" s="208">
        <f t="shared" si="22"/>
        <v>2.5</v>
      </c>
      <c r="AY38" s="168">
        <f t="shared" si="23"/>
        <v>6</v>
      </c>
      <c r="AZ38" s="169"/>
      <c r="BA38" s="169"/>
      <c r="BC38" s="168">
        <f t="shared" ca="1" si="24"/>
        <v>32</v>
      </c>
      <c r="BD38" s="209">
        <f t="shared" ca="1" si="7"/>
        <v>33</v>
      </c>
      <c r="BF38" s="173" t="str">
        <f t="shared" ca="1" si="8"/>
        <v>NorthWestern Corporation</v>
      </c>
      <c r="BG38" s="173" t="str">
        <f t="shared" ca="1" si="9"/>
        <v>BBB</v>
      </c>
      <c r="BH38" s="173">
        <f t="shared" ca="1" si="9"/>
        <v>18</v>
      </c>
      <c r="BI38" s="173" t="str">
        <f t="shared" ca="1" si="9"/>
        <v>NWE</v>
      </c>
    </row>
    <row r="39" spans="1:61" ht="13.8" x14ac:dyDescent="0.25">
      <c r="A39" s="223" t="s">
        <v>301</v>
      </c>
      <c r="B39" s="224" t="s">
        <v>141</v>
      </c>
      <c r="C39" s="224">
        <v>18</v>
      </c>
      <c r="D39" s="224" t="s">
        <v>302</v>
      </c>
      <c r="E39" s="225" t="str">
        <f t="shared" ref="E39:E59" ca="1" si="25">OFFSET( INDIRECT( E$3 &amp; E$4 ), $G39 - 1, 0 )</f>
        <v>R</v>
      </c>
      <c r="F39" s="348"/>
      <c r="G39" s="349">
        <f t="shared" ref="G39:G65" ca="1" si="26">IF( LEN( $D39 ) = 0, "", MATCH( $D39, INDIRECT( G$3 &amp; G$4 ), 0 ) )</f>
        <v>44</v>
      </c>
      <c r="H39" s="350"/>
      <c r="I39" s="237"/>
      <c r="K39" s="237"/>
      <c r="L39" s="173"/>
      <c r="N39" s="237"/>
      <c r="Q39" s="237"/>
      <c r="T39" s="237"/>
      <c r="W39" s="237"/>
      <c r="AF39" s="169">
        <f t="shared" ref="AF39:AF67" si="27">IF( LEN( C39 ) = 0, 0, IF( C39 = C38, AF38, IF( AF38 = 1, 0, 1 ) ) )</f>
        <v>0</v>
      </c>
      <c r="AG39" s="169" t="str">
        <f t="shared" ca="1" si="3"/>
        <v/>
      </c>
      <c r="AH39" s="169" t="str">
        <f t="shared" ca="1" si="19"/>
        <v/>
      </c>
      <c r="AJ39" s="169">
        <f t="shared" ref="AJ39:AJ67" ca="1" si="28">MATCH( $A39, INDIRECT( AJ$2 ), 0 )</f>
        <v>38</v>
      </c>
      <c r="AK39" s="169" t="str">
        <f t="shared" ca="1" si="20"/>
        <v>BBB</v>
      </c>
      <c r="AL39" s="169">
        <f t="shared" ca="1" si="20"/>
        <v>18</v>
      </c>
      <c r="AM39" s="169" t="str">
        <f t="shared" ref="AM39:AM67" ca="1" si="29">IF( B39 = AK39, "", "Change" )</f>
        <v/>
      </c>
      <c r="AQ39" s="207" t="s">
        <v>297</v>
      </c>
      <c r="AR39" s="207" t="s">
        <v>141</v>
      </c>
      <c r="AS39" s="207">
        <v>18</v>
      </c>
      <c r="AT39" s="207" t="s">
        <v>298</v>
      </c>
      <c r="AV39" s="168">
        <f t="shared" si="21"/>
        <v>23</v>
      </c>
      <c r="AW39" s="168">
        <f>COUNTIF( AV$7:AV39, AV39 )</f>
        <v>10</v>
      </c>
      <c r="AX39" s="208">
        <f t="shared" si="22"/>
        <v>24</v>
      </c>
      <c r="AY39" s="168">
        <f t="shared" si="23"/>
        <v>32</v>
      </c>
      <c r="AZ39" s="169"/>
      <c r="BA39" s="169"/>
      <c r="BC39" s="168">
        <f t="shared" ca="1" si="24"/>
        <v>33</v>
      </c>
      <c r="BD39" s="209">
        <f t="shared" ca="1" si="7"/>
        <v>38</v>
      </c>
      <c r="BF39" s="173" t="str">
        <f t="shared" ref="BF39:BF63" ca="1" si="30">OFFSET( AQ$6, $BD39, 0 )</f>
        <v>PG&amp;E Corporation</v>
      </c>
      <c r="BG39" s="173" t="str">
        <f t="shared" ca="1" si="9"/>
        <v>BBB</v>
      </c>
      <c r="BH39" s="173">
        <f t="shared" ca="1" si="9"/>
        <v>18</v>
      </c>
      <c r="BI39" s="173" t="str">
        <f t="shared" ca="1" si="9"/>
        <v>PCG</v>
      </c>
    </row>
    <row r="40" spans="1:61" ht="13.8" x14ac:dyDescent="0.25">
      <c r="A40" s="223" t="s">
        <v>285</v>
      </c>
      <c r="B40" s="224" t="s">
        <v>141</v>
      </c>
      <c r="C40" s="224">
        <v>18</v>
      </c>
      <c r="D40" s="224" t="s">
        <v>286</v>
      </c>
      <c r="E40" s="225" t="str">
        <f t="shared" ca="1" si="25"/>
        <v>R</v>
      </c>
      <c r="F40" s="348"/>
      <c r="G40" s="349">
        <f t="shared" ca="1" si="26"/>
        <v>47</v>
      </c>
      <c r="H40" s="350"/>
      <c r="I40" s="237"/>
      <c r="J40" s="191"/>
      <c r="K40" s="237"/>
      <c r="L40" s="173"/>
      <c r="N40" s="237"/>
      <c r="Q40" s="237"/>
      <c r="T40" s="237"/>
      <c r="W40" s="237"/>
      <c r="AF40" s="169">
        <f t="shared" si="27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28"/>
        <v>40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29"/>
        <v/>
      </c>
      <c r="AQ40" s="207" t="s">
        <v>411</v>
      </c>
      <c r="AR40" s="207" t="s">
        <v>173</v>
      </c>
      <c r="AS40" s="207">
        <v>16</v>
      </c>
      <c r="AT40" s="207" t="s">
        <v>412</v>
      </c>
      <c r="AV40" s="168">
        <f t="shared" si="21"/>
        <v>50</v>
      </c>
      <c r="AW40" s="168">
        <f>COUNTIF( AV$7:AV40, AV40 )</f>
        <v>1</v>
      </c>
      <c r="AX40" s="208">
        <f t="shared" si="22"/>
        <v>50.1</v>
      </c>
      <c r="AY40" s="168">
        <f t="shared" si="23"/>
        <v>50</v>
      </c>
      <c r="AZ40" s="169"/>
      <c r="BA40" s="169"/>
      <c r="BC40" s="168">
        <f t="shared" ca="1" si="24"/>
        <v>34</v>
      </c>
      <c r="BD40" s="209">
        <f t="shared" ca="1" si="7"/>
        <v>41</v>
      </c>
      <c r="BF40" s="173" t="str">
        <f t="shared" ca="1" si="30"/>
        <v>Portland General Electric Company</v>
      </c>
      <c r="BG40" s="173" t="str">
        <f t="shared" ca="1" si="9"/>
        <v>BBB</v>
      </c>
      <c r="BH40" s="173">
        <f t="shared" ca="1" si="9"/>
        <v>18</v>
      </c>
      <c r="BI40" s="173" t="str">
        <f t="shared" ca="1" si="9"/>
        <v>POR</v>
      </c>
    </row>
    <row r="41" spans="1:61" ht="13.8" x14ac:dyDescent="0.25">
      <c r="A41" s="223" t="s">
        <v>243</v>
      </c>
      <c r="B41" s="224" t="s">
        <v>141</v>
      </c>
      <c r="C41" s="224">
        <v>18</v>
      </c>
      <c r="D41" s="224" t="s">
        <v>244</v>
      </c>
      <c r="E41" s="225" t="str">
        <f t="shared" ca="1" si="25"/>
        <v>MR</v>
      </c>
      <c r="F41" s="348"/>
      <c r="G41" s="349">
        <f t="shared" ca="1" si="26"/>
        <v>48</v>
      </c>
      <c r="H41" s="350"/>
      <c r="I41" s="237"/>
      <c r="J41" s="191"/>
      <c r="K41" s="237"/>
      <c r="L41" s="173"/>
      <c r="N41" s="237"/>
      <c r="Q41" s="237"/>
      <c r="T41" s="237"/>
      <c r="W41" s="237"/>
      <c r="AF41" s="169">
        <f t="shared" si="27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28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29"/>
        <v/>
      </c>
      <c r="AQ41" s="207" t="s">
        <v>277</v>
      </c>
      <c r="AR41" s="207" t="s">
        <v>140</v>
      </c>
      <c r="AS41" s="207">
        <v>19</v>
      </c>
      <c r="AT41" s="207" t="s">
        <v>278</v>
      </c>
      <c r="AV41" s="168">
        <f t="shared" si="21"/>
        <v>10</v>
      </c>
      <c r="AW41" s="168">
        <f>COUNTIF( AV$7:AV41, AV41 )</f>
        <v>8</v>
      </c>
      <c r="AX41" s="208">
        <f t="shared" si="22"/>
        <v>10.8</v>
      </c>
      <c r="AY41" s="168">
        <f t="shared" si="23"/>
        <v>17</v>
      </c>
      <c r="AZ41" s="169"/>
      <c r="BA41" s="169"/>
      <c r="BC41" s="168">
        <f t="shared" ca="1" si="24"/>
        <v>35</v>
      </c>
      <c r="BD41" s="209">
        <f t="shared" ca="1" si="7"/>
        <v>42</v>
      </c>
      <c r="BF41" s="173" t="str">
        <f t="shared" ca="1" si="30"/>
        <v>PPL Corporation</v>
      </c>
      <c r="BG41" s="173" t="str">
        <f t="shared" ca="1" si="9"/>
        <v>BBB</v>
      </c>
      <c r="BH41" s="173">
        <f t="shared" ca="1" si="9"/>
        <v>18</v>
      </c>
      <c r="BI41" s="173" t="str">
        <f t="shared" ca="1" si="9"/>
        <v>PPL</v>
      </c>
    </row>
    <row r="42" spans="1:61" ht="13.8" x14ac:dyDescent="0.25">
      <c r="A42" s="223" t="s">
        <v>289</v>
      </c>
      <c r="B42" s="224" t="s">
        <v>141</v>
      </c>
      <c r="C42" s="224">
        <v>18</v>
      </c>
      <c r="D42" s="224" t="s">
        <v>290</v>
      </c>
      <c r="E42" s="225" t="str">
        <f t="shared" ca="1" si="25"/>
        <v>MR</v>
      </c>
      <c r="F42" s="348"/>
      <c r="G42" s="349">
        <f t="shared" ca="1" si="26"/>
        <v>50</v>
      </c>
      <c r="H42" s="350"/>
      <c r="I42" s="237"/>
      <c r="J42" s="191"/>
      <c r="K42" s="237"/>
      <c r="L42" s="173"/>
      <c r="N42" s="237"/>
      <c r="Q42" s="237"/>
      <c r="T42" s="237"/>
      <c r="W42" s="237"/>
      <c r="AF42" s="169">
        <f t="shared" si="27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28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29"/>
        <v/>
      </c>
      <c r="AQ42" s="207" t="s">
        <v>299</v>
      </c>
      <c r="AR42" s="207" t="s">
        <v>142</v>
      </c>
      <c r="AS42" s="207">
        <v>17</v>
      </c>
      <c r="AT42" s="207" t="s">
        <v>300</v>
      </c>
      <c r="AV42" s="168">
        <f t="shared" si="21"/>
        <v>39</v>
      </c>
      <c r="AW42" s="168">
        <f>COUNTIF( AV$7:AV42, AV42 )</f>
        <v>10</v>
      </c>
      <c r="AX42" s="208">
        <f t="shared" si="22"/>
        <v>40</v>
      </c>
      <c r="AY42" s="168">
        <f t="shared" si="23"/>
        <v>48</v>
      </c>
      <c r="AZ42" s="169"/>
      <c r="BA42" s="169"/>
      <c r="BC42" s="168">
        <f t="shared" ca="1" si="24"/>
        <v>36</v>
      </c>
      <c r="BD42" s="209">
        <f t="shared" ca="1" si="7"/>
        <v>43</v>
      </c>
      <c r="BF42" s="173" t="str">
        <f t="shared" ca="1" si="30"/>
        <v>Public Service Enterprise Group Incorporated</v>
      </c>
      <c r="BG42" s="173" t="str">
        <f t="shared" ca="1" si="9"/>
        <v>BBB</v>
      </c>
      <c r="BH42" s="173">
        <f t="shared" ca="1" si="9"/>
        <v>18</v>
      </c>
      <c r="BI42" s="173" t="str">
        <f t="shared" ca="1" si="9"/>
        <v>PEG</v>
      </c>
    </row>
    <row r="43" spans="1:61" ht="13.8" x14ac:dyDescent="0.25">
      <c r="A43" s="223" t="s">
        <v>389</v>
      </c>
      <c r="B43" s="224" t="s">
        <v>141</v>
      </c>
      <c r="C43" s="224">
        <v>18</v>
      </c>
      <c r="D43" s="224" t="s">
        <v>390</v>
      </c>
      <c r="E43" s="225" t="str">
        <f t="shared" ca="1" si="25"/>
        <v>R</v>
      </c>
      <c r="F43" s="348"/>
      <c r="G43" s="349">
        <f t="shared" ca="1" si="26"/>
        <v>55</v>
      </c>
      <c r="H43" s="350"/>
      <c r="I43" s="237"/>
      <c r="J43" s="191"/>
      <c r="K43" s="237"/>
      <c r="N43" s="237"/>
      <c r="Q43" s="237"/>
      <c r="T43" s="237"/>
      <c r="W43" s="237"/>
      <c r="AF43" s="169">
        <f t="shared" si="27"/>
        <v>0</v>
      </c>
      <c r="AG43" s="169" t="str">
        <f t="shared" ca="1" si="3"/>
        <v/>
      </c>
      <c r="AH43" s="169" t="str">
        <f t="shared" ca="1" si="19"/>
        <v/>
      </c>
      <c r="AJ43" s="169">
        <f t="shared" ca="1" si="28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29"/>
        <v/>
      </c>
      <c r="AQ43" s="207" t="s">
        <v>382</v>
      </c>
      <c r="AR43" s="207" t="s">
        <v>140</v>
      </c>
      <c r="AS43" s="207">
        <v>19</v>
      </c>
      <c r="AT43" s="207" t="s">
        <v>383</v>
      </c>
      <c r="AV43" s="168">
        <f t="shared" si="21"/>
        <v>10</v>
      </c>
      <c r="AW43" s="168">
        <f>COUNTIF( AV$7:AV43, AV43 )</f>
        <v>9</v>
      </c>
      <c r="AX43" s="208">
        <f t="shared" si="22"/>
        <v>10.9</v>
      </c>
      <c r="AY43" s="168">
        <f t="shared" si="23"/>
        <v>18</v>
      </c>
      <c r="AZ43" s="169"/>
      <c r="BA43" s="169"/>
      <c r="BC43" s="168">
        <f t="shared" ca="1" si="24"/>
        <v>37</v>
      </c>
      <c r="BD43" s="209">
        <f t="shared" ca="1" si="7"/>
        <v>49</v>
      </c>
      <c r="BF43" s="173" t="str">
        <f t="shared" ca="1" si="30"/>
        <v>UIL Holdings Corporation</v>
      </c>
      <c r="BG43" s="173" t="str">
        <f t="shared" ca="1" si="9"/>
        <v>BBB</v>
      </c>
      <c r="BH43" s="173">
        <f t="shared" ca="1" si="9"/>
        <v>18</v>
      </c>
      <c r="BI43" s="173" t="str">
        <f t="shared" ca="1" si="9"/>
        <v>UIL</v>
      </c>
    </row>
    <row r="44" spans="1:61" ht="13.8" x14ac:dyDescent="0.25">
      <c r="A44" s="223" t="s">
        <v>354</v>
      </c>
      <c r="B44" s="224" t="s">
        <v>141</v>
      </c>
      <c r="C44" s="224">
        <v>18</v>
      </c>
      <c r="D44" s="224" t="s">
        <v>355</v>
      </c>
      <c r="E44" s="225" t="str">
        <f t="shared" ca="1" si="25"/>
        <v>R</v>
      </c>
      <c r="F44" s="348"/>
      <c r="G44" s="349">
        <f t="shared" ca="1" si="26"/>
        <v>59</v>
      </c>
      <c r="H44" s="350"/>
      <c r="I44" s="237"/>
      <c r="J44" s="191"/>
      <c r="K44" s="237"/>
      <c r="N44" s="237"/>
      <c r="Q44" s="237"/>
      <c r="T44" s="237"/>
      <c r="W44" s="237"/>
      <c r="AF44" s="169">
        <f t="shared" si="27"/>
        <v>0</v>
      </c>
      <c r="AG44" s="169" t="str">
        <f t="shared" ca="1" si="3"/>
        <v/>
      </c>
      <c r="AH44" s="169" t="str">
        <f t="shared" ca="1" si="19"/>
        <v/>
      </c>
      <c r="AJ44" s="169">
        <f t="shared" ca="1" si="28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29"/>
        <v/>
      </c>
      <c r="AQ44" s="207" t="s">
        <v>301</v>
      </c>
      <c r="AR44" s="207" t="s">
        <v>141</v>
      </c>
      <c r="AS44" s="207">
        <v>18</v>
      </c>
      <c r="AT44" s="207" t="s">
        <v>302</v>
      </c>
      <c r="AV44" s="168">
        <f t="shared" si="21"/>
        <v>23</v>
      </c>
      <c r="AW44" s="168">
        <f>COUNTIF( AV$7:AV44, AV44 )</f>
        <v>11</v>
      </c>
      <c r="AX44" s="208">
        <f t="shared" si="22"/>
        <v>24.1</v>
      </c>
      <c r="AY44" s="168">
        <f t="shared" si="23"/>
        <v>33</v>
      </c>
      <c r="AZ44" s="169"/>
      <c r="BA44" s="169"/>
      <c r="BC44" s="168">
        <f t="shared" ca="1" si="24"/>
        <v>38</v>
      </c>
      <c r="BD44" s="209">
        <f t="shared" ca="1" si="7"/>
        <v>51</v>
      </c>
      <c r="BF44" s="173" t="str">
        <f t="shared" ca="1" si="30"/>
        <v>Westar Energy, Inc.</v>
      </c>
      <c r="BG44" s="173" t="str">
        <f t="shared" ca="1" si="9"/>
        <v>BBB</v>
      </c>
      <c r="BH44" s="173">
        <f t="shared" ca="1" si="9"/>
        <v>18</v>
      </c>
      <c r="BI44" s="173" t="str">
        <f t="shared" ca="1" si="9"/>
        <v>WR</v>
      </c>
    </row>
    <row r="45" spans="1:61" ht="13.8" x14ac:dyDescent="0.25">
      <c r="A45" s="223" t="s">
        <v>225</v>
      </c>
      <c r="B45" s="224" t="s">
        <v>142</v>
      </c>
      <c r="C45" s="224">
        <v>17</v>
      </c>
      <c r="D45" s="224" t="s">
        <v>226</v>
      </c>
      <c r="E45" s="225" t="str">
        <f t="shared" ca="1" si="25"/>
        <v>R</v>
      </c>
      <c r="F45" s="348"/>
      <c r="G45" s="349">
        <f t="shared" ca="1" si="26"/>
        <v>9</v>
      </c>
      <c r="H45" s="350"/>
      <c r="I45" s="237"/>
      <c r="J45" s="191"/>
      <c r="K45" s="237"/>
      <c r="N45" s="237"/>
      <c r="Q45" s="237"/>
      <c r="T45" s="237"/>
      <c r="W45" s="237"/>
      <c r="AF45" s="169">
        <f t="shared" si="27"/>
        <v>1</v>
      </c>
      <c r="AG45" s="169" t="str">
        <f t="shared" ca="1" si="3"/>
        <v/>
      </c>
      <c r="AH45" s="169" t="str">
        <f t="shared" ca="1" si="19"/>
        <v/>
      </c>
      <c r="AJ45" s="169">
        <f t="shared" ca="1" si="28"/>
        <v>45</v>
      </c>
      <c r="AK45" s="169" t="str">
        <f t="shared" ca="1" si="20"/>
        <v>BBB-</v>
      </c>
      <c r="AL45" s="169">
        <f t="shared" ca="1" si="20"/>
        <v>17</v>
      </c>
      <c r="AM45" s="169" t="str">
        <f t="shared" ca="1" si="29"/>
        <v/>
      </c>
      <c r="AQ45" s="207" t="s">
        <v>281</v>
      </c>
      <c r="AR45" s="207" t="s">
        <v>140</v>
      </c>
      <c r="AS45" s="207">
        <v>19</v>
      </c>
      <c r="AT45" s="207" t="s">
        <v>282</v>
      </c>
      <c r="AV45" s="168">
        <f t="shared" si="21"/>
        <v>10</v>
      </c>
      <c r="AW45" s="168">
        <f>COUNTIF( AV$7:AV45, AV45 )</f>
        <v>10</v>
      </c>
      <c r="AX45" s="208">
        <f t="shared" si="22"/>
        <v>11</v>
      </c>
      <c r="AY45" s="168">
        <f t="shared" si="23"/>
        <v>19</v>
      </c>
      <c r="AZ45" s="169"/>
      <c r="BA45" s="169"/>
      <c r="BC45" s="168">
        <f t="shared" ca="1" si="24"/>
        <v>39</v>
      </c>
      <c r="BD45" s="209">
        <f t="shared" ca="1" si="7"/>
        <v>3</v>
      </c>
      <c r="BF45" s="173" t="str">
        <f t="shared" ca="1" si="30"/>
        <v>Ameren Corporation</v>
      </c>
      <c r="BG45" s="173" t="str">
        <f t="shared" ca="1" si="9"/>
        <v>BBB-</v>
      </c>
      <c r="BH45" s="173">
        <f t="shared" ca="1" si="9"/>
        <v>17</v>
      </c>
      <c r="BI45" s="173" t="str">
        <f t="shared" ca="1" si="9"/>
        <v>AEE</v>
      </c>
    </row>
    <row r="46" spans="1:61" ht="13.8" x14ac:dyDescent="0.25">
      <c r="A46" s="223" t="s">
        <v>245</v>
      </c>
      <c r="B46" s="224" t="s">
        <v>142</v>
      </c>
      <c r="C46" s="224">
        <v>17</v>
      </c>
      <c r="D46" s="224" t="s">
        <v>246</v>
      </c>
      <c r="E46" s="225" t="str">
        <f t="shared" ca="1" si="25"/>
        <v>MR</v>
      </c>
      <c r="F46" s="348"/>
      <c r="G46" s="349">
        <f t="shared" ca="1" si="26"/>
        <v>12</v>
      </c>
      <c r="H46" s="350"/>
      <c r="I46" s="191"/>
      <c r="K46" s="191"/>
      <c r="N46" s="351"/>
      <c r="W46" s="191"/>
      <c r="AF46" s="169">
        <f t="shared" si="27"/>
        <v>1</v>
      </c>
      <c r="AG46" s="169" t="str">
        <f t="shared" ca="1" si="3"/>
        <v/>
      </c>
      <c r="AH46" s="169" t="str">
        <f t="shared" ca="1" si="19"/>
        <v/>
      </c>
      <c r="AJ46" s="169">
        <f t="shared" ca="1" si="28"/>
        <v>46</v>
      </c>
      <c r="AK46" s="169" t="str">
        <f t="shared" ca="1" si="20"/>
        <v>BBB-</v>
      </c>
      <c r="AL46" s="169">
        <f t="shared" ca="1" si="20"/>
        <v>17</v>
      </c>
      <c r="AM46" s="169" t="str">
        <f t="shared" ca="1" si="29"/>
        <v/>
      </c>
      <c r="AQ46" s="207" t="s">
        <v>303</v>
      </c>
      <c r="AR46" s="207" t="s">
        <v>142</v>
      </c>
      <c r="AS46" s="207">
        <v>17</v>
      </c>
      <c r="AT46" s="207" t="s">
        <v>304</v>
      </c>
      <c r="AV46" s="168">
        <f t="shared" si="21"/>
        <v>39</v>
      </c>
      <c r="AW46" s="168">
        <f>COUNTIF( AV$7:AV46, AV46 )</f>
        <v>11</v>
      </c>
      <c r="AX46" s="208">
        <f t="shared" si="22"/>
        <v>40.1</v>
      </c>
      <c r="AY46" s="168">
        <f t="shared" si="23"/>
        <v>49</v>
      </c>
      <c r="AZ46" s="169"/>
      <c r="BA46" s="169"/>
      <c r="BC46" s="168">
        <f t="shared" ca="1" si="24"/>
        <v>40</v>
      </c>
      <c r="BD46" s="209">
        <f t="shared" ca="1" si="7"/>
        <v>6</v>
      </c>
      <c r="BF46" s="173" t="str">
        <f t="shared" ca="1" si="30"/>
        <v>Black Hills Corporation</v>
      </c>
      <c r="BG46" s="173" t="str">
        <f t="shared" ca="1" si="9"/>
        <v>BBB-</v>
      </c>
      <c r="BH46" s="173">
        <f t="shared" ca="1" si="9"/>
        <v>17</v>
      </c>
      <c r="BI46" s="173" t="str">
        <f t="shared" ca="1" si="9"/>
        <v>BKH</v>
      </c>
    </row>
    <row r="47" spans="1:61" ht="13.8" x14ac:dyDescent="0.25">
      <c r="A47" s="223" t="s">
        <v>256</v>
      </c>
      <c r="B47" s="224" t="s">
        <v>142</v>
      </c>
      <c r="C47" s="224">
        <v>17</v>
      </c>
      <c r="D47" s="224" t="s">
        <v>257</v>
      </c>
      <c r="E47" s="225" t="str">
        <f t="shared" ca="1" si="25"/>
        <v>R</v>
      </c>
      <c r="F47" s="348"/>
      <c r="G47" s="349">
        <f t="shared" ca="1" si="26"/>
        <v>17</v>
      </c>
      <c r="H47" s="350"/>
      <c r="I47" s="350"/>
      <c r="J47" s="187" t="s">
        <v>373</v>
      </c>
      <c r="K47" s="191"/>
      <c r="M47" s="351"/>
      <c r="N47" s="351"/>
      <c r="AF47" s="169">
        <f t="shared" si="27"/>
        <v>1</v>
      </c>
      <c r="AG47" s="169" t="str">
        <f t="shared" ca="1" si="3"/>
        <v/>
      </c>
      <c r="AH47" s="169" t="str">
        <f t="shared" ca="1" si="19"/>
        <v/>
      </c>
      <c r="AJ47" s="169">
        <f t="shared" ca="1" si="28"/>
        <v>47</v>
      </c>
      <c r="AK47" s="169" t="str">
        <f t="shared" ca="1" si="20"/>
        <v>BBB-</v>
      </c>
      <c r="AL47" s="169">
        <f t="shared" ca="1" si="20"/>
        <v>17</v>
      </c>
      <c r="AM47" s="169" t="str">
        <f t="shared" ca="1" si="29"/>
        <v/>
      </c>
      <c r="AQ47" s="207" t="s">
        <v>285</v>
      </c>
      <c r="AR47" s="207" t="s">
        <v>141</v>
      </c>
      <c r="AS47" s="207">
        <v>18</v>
      </c>
      <c r="AT47" s="207" t="s">
        <v>286</v>
      </c>
      <c r="AV47" s="168">
        <f t="shared" si="21"/>
        <v>23</v>
      </c>
      <c r="AW47" s="168">
        <f>COUNTIF( AV$7:AV47, AV47 )</f>
        <v>12</v>
      </c>
      <c r="AX47" s="208">
        <f t="shared" si="22"/>
        <v>24.2</v>
      </c>
      <c r="AY47" s="168">
        <f t="shared" si="23"/>
        <v>34</v>
      </c>
      <c r="AZ47" s="169"/>
      <c r="BA47" s="169"/>
      <c r="BC47" s="168">
        <f t="shared" ca="1" si="24"/>
        <v>41</v>
      </c>
      <c r="BD47" s="209">
        <f t="shared" ca="1" si="7"/>
        <v>9</v>
      </c>
      <c r="BF47" s="173" t="str">
        <f t="shared" ca="1" si="30"/>
        <v>CMS Energy Corporation</v>
      </c>
      <c r="BG47" s="173" t="str">
        <f t="shared" ca="1" si="9"/>
        <v>BBB-</v>
      </c>
      <c r="BH47" s="173">
        <f t="shared" ca="1" si="9"/>
        <v>17</v>
      </c>
      <c r="BI47" s="173" t="str">
        <f t="shared" ca="1" si="9"/>
        <v>CMS</v>
      </c>
    </row>
    <row r="48" spans="1:61" ht="13.8" x14ac:dyDescent="0.25">
      <c r="A48" s="223" t="s">
        <v>265</v>
      </c>
      <c r="B48" s="224" t="s">
        <v>142</v>
      </c>
      <c r="C48" s="224">
        <v>17</v>
      </c>
      <c r="D48" s="224" t="s">
        <v>266</v>
      </c>
      <c r="E48" s="225" t="str">
        <f t="shared" ca="1" si="25"/>
        <v>R</v>
      </c>
      <c r="F48" s="348"/>
      <c r="G48" s="349">
        <f t="shared" ca="1" si="26"/>
        <v>23</v>
      </c>
      <c r="H48" s="350"/>
      <c r="I48" s="350"/>
      <c r="K48" s="191"/>
      <c r="M48" s="351"/>
      <c r="N48" s="351"/>
      <c r="AF48" s="169">
        <f t="shared" si="27"/>
        <v>1</v>
      </c>
      <c r="AG48" s="169" t="str">
        <f t="shared" ca="1" si="3"/>
        <v/>
      </c>
      <c r="AH48" s="169" t="str">
        <f t="shared" ca="1" si="19"/>
        <v/>
      </c>
      <c r="AJ48" s="169">
        <f t="shared" ca="1" si="28"/>
        <v>49</v>
      </c>
      <c r="AK48" s="169" t="str">
        <f t="shared" ca="1" si="20"/>
        <v>BBB-</v>
      </c>
      <c r="AL48" s="169">
        <f t="shared" ca="1" si="20"/>
        <v>17</v>
      </c>
      <c r="AM48" s="169" t="str">
        <f t="shared" ca="1" si="29"/>
        <v/>
      </c>
      <c r="AQ48" s="207" t="s">
        <v>243</v>
      </c>
      <c r="AR48" s="207" t="s">
        <v>141</v>
      </c>
      <c r="AS48" s="207">
        <v>18</v>
      </c>
      <c r="AT48" s="207" t="s">
        <v>244</v>
      </c>
      <c r="AV48" s="168">
        <f t="shared" si="21"/>
        <v>23</v>
      </c>
      <c r="AW48" s="168">
        <f>COUNTIF( AV$7:AV48, AV48 )</f>
        <v>13</v>
      </c>
      <c r="AX48" s="208">
        <f t="shared" si="22"/>
        <v>24.3</v>
      </c>
      <c r="AY48" s="168">
        <f t="shared" si="23"/>
        <v>35</v>
      </c>
      <c r="AZ48" s="169"/>
      <c r="BA48" s="169"/>
      <c r="BC48" s="168">
        <f t="shared" ca="1" si="24"/>
        <v>42</v>
      </c>
      <c r="BD48" s="209">
        <f t="shared" ca="1" si="7"/>
        <v>15</v>
      </c>
      <c r="BF48" s="173" t="str">
        <f t="shared" ca="1" si="30"/>
        <v>Edison International</v>
      </c>
      <c r="BG48" s="173" t="str">
        <f t="shared" ca="1" si="9"/>
        <v>BBB-</v>
      </c>
      <c r="BH48" s="173">
        <f t="shared" ca="1" si="9"/>
        <v>17</v>
      </c>
      <c r="BI48" s="173" t="str">
        <f t="shared" ca="1" si="9"/>
        <v>EIX</v>
      </c>
    </row>
    <row r="49" spans="1:61" ht="13.8" x14ac:dyDescent="0.25">
      <c r="A49" s="223" t="s">
        <v>367</v>
      </c>
      <c r="B49" s="224" t="s">
        <v>142</v>
      </c>
      <c r="C49" s="224">
        <v>17</v>
      </c>
      <c r="D49" s="224" t="s">
        <v>368</v>
      </c>
      <c r="E49" s="225" t="str">
        <f t="shared" ca="1" si="25"/>
        <v>R</v>
      </c>
      <c r="F49" s="348"/>
      <c r="G49" s="349">
        <f t="shared" ca="1" si="26"/>
        <v>25</v>
      </c>
      <c r="H49" s="350"/>
      <c r="I49" s="350"/>
      <c r="J49" s="191"/>
      <c r="K49" s="191"/>
      <c r="M49" s="351"/>
      <c r="N49" s="351"/>
      <c r="AF49" s="169">
        <f t="shared" si="27"/>
        <v>1</v>
      </c>
      <c r="AG49" s="169" t="str">
        <f t="shared" ca="1" si="3"/>
        <v/>
      </c>
      <c r="AH49" s="169" t="str">
        <f t="shared" ca="1" si="19"/>
        <v/>
      </c>
      <c r="AJ49" s="169">
        <f t="shared" ca="1" si="28"/>
        <v>50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29"/>
        <v/>
      </c>
      <c r="AQ49" s="207" t="s">
        <v>289</v>
      </c>
      <c r="AR49" s="207" t="s">
        <v>141</v>
      </c>
      <c r="AS49" s="207">
        <v>18</v>
      </c>
      <c r="AT49" s="207" t="s">
        <v>290</v>
      </c>
      <c r="AV49" s="168">
        <f t="shared" si="21"/>
        <v>23</v>
      </c>
      <c r="AW49" s="168">
        <f>COUNTIF( AV$7:AV49, AV49 )</f>
        <v>14</v>
      </c>
      <c r="AX49" s="208">
        <f t="shared" si="22"/>
        <v>24.4</v>
      </c>
      <c r="AY49" s="168">
        <f t="shared" si="23"/>
        <v>36</v>
      </c>
      <c r="AZ49" s="169"/>
      <c r="BA49" s="169"/>
      <c r="BC49" s="168">
        <f t="shared" ca="1" si="24"/>
        <v>43</v>
      </c>
      <c r="BD49" s="209">
        <f t="shared" ca="1" si="7"/>
        <v>17</v>
      </c>
      <c r="BF49" s="173" t="str">
        <f t="shared" ca="1" si="30"/>
        <v>Empire District Electric Company</v>
      </c>
      <c r="BG49" s="173" t="str">
        <f t="shared" ca="1" si="9"/>
        <v>BBB-</v>
      </c>
      <c r="BH49" s="173">
        <f t="shared" ca="1" si="9"/>
        <v>17</v>
      </c>
      <c r="BI49" s="173" t="str">
        <f t="shared" ca="1" si="9"/>
        <v>EDE</v>
      </c>
    </row>
    <row r="50" spans="1:61" ht="13.8" x14ac:dyDescent="0.25">
      <c r="A50" s="223" t="s">
        <v>275</v>
      </c>
      <c r="B50" s="224" t="s">
        <v>142</v>
      </c>
      <c r="C50" s="224">
        <v>17</v>
      </c>
      <c r="D50" s="224" t="s">
        <v>276</v>
      </c>
      <c r="E50" s="225" t="str">
        <f t="shared" ca="1" si="25"/>
        <v>MR</v>
      </c>
      <c r="F50" s="348"/>
      <c r="G50" s="349">
        <f t="shared" ca="1" si="26"/>
        <v>28</v>
      </c>
      <c r="H50" s="350"/>
      <c r="I50" s="350"/>
      <c r="J50" s="191"/>
      <c r="K50" s="191"/>
      <c r="M50" s="351"/>
      <c r="N50" s="351"/>
      <c r="AF50" s="169">
        <f t="shared" si="27"/>
        <v>1</v>
      </c>
      <c r="AG50" s="169" t="str">
        <f t="shared" ca="1" si="3"/>
        <v/>
      </c>
      <c r="AH50" s="169" t="str">
        <f t="shared" ca="1" si="19"/>
        <v/>
      </c>
      <c r="AJ50" s="169">
        <f t="shared" ca="1" si="28"/>
        <v>51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29"/>
        <v/>
      </c>
      <c r="AQ50" s="207" t="s">
        <v>305</v>
      </c>
      <c r="AR50" s="207" t="s">
        <v>173</v>
      </c>
      <c r="AS50" s="207">
        <v>16</v>
      </c>
      <c r="AT50" s="207" t="s">
        <v>306</v>
      </c>
      <c r="AV50" s="168">
        <f t="shared" si="21"/>
        <v>50</v>
      </c>
      <c r="AW50" s="168">
        <f>COUNTIF( AV$7:AV50, AV50 )</f>
        <v>2</v>
      </c>
      <c r="AX50" s="208">
        <f t="shared" si="22"/>
        <v>50.2</v>
      </c>
      <c r="AY50" s="168">
        <f t="shared" si="23"/>
        <v>51</v>
      </c>
      <c r="AZ50" s="169"/>
      <c r="BA50" s="169"/>
      <c r="BC50" s="168">
        <f t="shared" ca="1" si="24"/>
        <v>44</v>
      </c>
      <c r="BD50" s="209">
        <f t="shared" ca="1" si="7"/>
        <v>21</v>
      </c>
      <c r="BF50" s="173" t="str">
        <f t="shared" ca="1" si="30"/>
        <v>FirstEnergy Corp.</v>
      </c>
      <c r="BG50" s="173" t="str">
        <f t="shared" ca="1" si="9"/>
        <v>BBB-</v>
      </c>
      <c r="BH50" s="173">
        <f t="shared" ca="1" si="9"/>
        <v>17</v>
      </c>
      <c r="BI50" s="173" t="str">
        <f t="shared" ca="1" si="9"/>
        <v>FE</v>
      </c>
    </row>
    <row r="51" spans="1:61" ht="13.8" x14ac:dyDescent="0.25">
      <c r="A51" s="223" t="s">
        <v>279</v>
      </c>
      <c r="B51" s="224" t="s">
        <v>142</v>
      </c>
      <c r="C51" s="224">
        <v>17</v>
      </c>
      <c r="D51" s="224" t="s">
        <v>280</v>
      </c>
      <c r="E51" s="225" t="str">
        <f t="shared" ca="1" si="25"/>
        <v>D</v>
      </c>
      <c r="F51" s="348"/>
      <c r="G51" s="349">
        <f t="shared" ca="1" si="26"/>
        <v>30</v>
      </c>
      <c r="H51" s="350"/>
      <c r="I51" s="350"/>
      <c r="J51" s="191"/>
      <c r="K51" s="191"/>
      <c r="M51" s="351"/>
      <c r="N51" s="351"/>
      <c r="AF51" s="169">
        <f t="shared" si="27"/>
        <v>1</v>
      </c>
      <c r="AG51" s="169" t="str">
        <f t="shared" ca="1" si="3"/>
        <v/>
      </c>
      <c r="AH51" s="169" t="str">
        <f t="shared" ca="1" si="19"/>
        <v/>
      </c>
      <c r="AJ51" s="169">
        <f t="shared" ca="1" si="28"/>
        <v>52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29"/>
        <v/>
      </c>
      <c r="AQ51" s="207" t="s">
        <v>347</v>
      </c>
      <c r="AR51" s="207" t="s">
        <v>140</v>
      </c>
      <c r="AS51" s="207">
        <v>19</v>
      </c>
      <c r="AT51" s="207" t="s">
        <v>348</v>
      </c>
      <c r="AV51" s="168">
        <f t="shared" si="21"/>
        <v>10</v>
      </c>
      <c r="AW51" s="168">
        <f>COUNTIF( AV$7:AV51, AV51 )</f>
        <v>11</v>
      </c>
      <c r="AX51" s="208">
        <f t="shared" si="22"/>
        <v>11.1</v>
      </c>
      <c r="AY51" s="168">
        <f t="shared" si="23"/>
        <v>20</v>
      </c>
      <c r="AZ51" s="169"/>
      <c r="BA51" s="169"/>
      <c r="BC51" s="168">
        <f t="shared" ca="1" si="24"/>
        <v>45</v>
      </c>
      <c r="BD51" s="209">
        <f t="shared" ca="1" si="7"/>
        <v>23</v>
      </c>
      <c r="BF51" s="173" t="str">
        <f t="shared" ca="1" si="30"/>
        <v>Hawaiian Electric Industries, Inc.</v>
      </c>
      <c r="BG51" s="173" t="str">
        <f t="shared" ca="1" si="9"/>
        <v>BBB-</v>
      </c>
      <c r="BH51" s="173">
        <f t="shared" ca="1" si="9"/>
        <v>17</v>
      </c>
      <c r="BI51" s="173" t="str">
        <f t="shared" ca="1" si="9"/>
        <v>HE</v>
      </c>
    </row>
    <row r="52" spans="1:61" ht="13.8" x14ac:dyDescent="0.25">
      <c r="A52" s="223" t="s">
        <v>287</v>
      </c>
      <c r="B52" s="224" t="s">
        <v>142</v>
      </c>
      <c r="C52" s="224">
        <v>17</v>
      </c>
      <c r="D52" s="224" t="s">
        <v>288</v>
      </c>
      <c r="E52" s="225" t="str">
        <f t="shared" ca="1" si="25"/>
        <v>R</v>
      </c>
      <c r="F52" s="348"/>
      <c r="G52" s="349">
        <f t="shared" ca="1" si="26"/>
        <v>66</v>
      </c>
      <c r="H52" s="350"/>
      <c r="I52" s="350"/>
      <c r="J52" s="191"/>
      <c r="K52" s="191"/>
      <c r="AF52" s="169">
        <f t="shared" si="27"/>
        <v>1</v>
      </c>
      <c r="AG52" s="169" t="str">
        <f t="shared" ca="1" si="3"/>
        <v/>
      </c>
      <c r="AH52" s="169" t="str">
        <f t="shared" ca="1" si="19"/>
        <v/>
      </c>
      <c r="AJ52" s="169">
        <f t="shared" ca="1" si="28"/>
        <v>53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29"/>
        <v/>
      </c>
      <c r="AQ52" s="207" t="s">
        <v>291</v>
      </c>
      <c r="AR52" s="207" t="s">
        <v>140</v>
      </c>
      <c r="AS52" s="207">
        <v>19</v>
      </c>
      <c r="AT52" s="207" t="s">
        <v>292</v>
      </c>
      <c r="AV52" s="168">
        <f t="shared" si="21"/>
        <v>10</v>
      </c>
      <c r="AW52" s="168">
        <f>COUNTIF( AV$7:AV52, AV52 )</f>
        <v>12</v>
      </c>
      <c r="AX52" s="208">
        <f t="shared" si="22"/>
        <v>11.2</v>
      </c>
      <c r="AY52" s="168">
        <f t="shared" si="23"/>
        <v>21</v>
      </c>
      <c r="AZ52" s="169"/>
      <c r="BA52" s="169"/>
      <c r="BC52" s="168">
        <f t="shared" ca="1" si="24"/>
        <v>46</v>
      </c>
      <c r="BD52" s="209">
        <f t="shared" ca="1" si="7"/>
        <v>27</v>
      </c>
      <c r="BF52" s="173" t="str">
        <f t="shared" ca="1" si="30"/>
        <v>IPALCO Enterprises, Inc.</v>
      </c>
      <c r="BG52" s="173" t="str">
        <f t="shared" ca="1" si="9"/>
        <v>BBB-</v>
      </c>
      <c r="BH52" s="173">
        <f t="shared" ca="1" si="9"/>
        <v>17</v>
      </c>
      <c r="BI52" s="173" t="str">
        <f t="shared" ca="1" si="9"/>
        <v>**IPALCO</v>
      </c>
    </row>
    <row r="53" spans="1:61" ht="13.8" x14ac:dyDescent="0.25">
      <c r="A53" s="223" t="s">
        <v>273</v>
      </c>
      <c r="B53" s="224" t="s">
        <v>142</v>
      </c>
      <c r="C53" s="224">
        <v>17</v>
      </c>
      <c r="D53" s="224" t="s">
        <v>274</v>
      </c>
      <c r="E53" s="225" t="str">
        <f t="shared" ca="1" si="25"/>
        <v>MR</v>
      </c>
      <c r="F53" s="348"/>
      <c r="G53" s="349">
        <f t="shared" ca="1" si="26"/>
        <v>36</v>
      </c>
      <c r="H53" s="350"/>
      <c r="I53" s="350"/>
      <c r="J53" s="191"/>
      <c r="K53" s="191"/>
      <c r="AF53" s="169">
        <f t="shared" si="27"/>
        <v>1</v>
      </c>
      <c r="AG53" s="169" t="str">
        <f t="shared" ca="1" si="3"/>
        <v/>
      </c>
      <c r="AH53" s="169" t="str">
        <f t="shared" ca="1" si="19"/>
        <v/>
      </c>
      <c r="AJ53" s="169">
        <f t="shared" ca="1" si="28"/>
        <v>54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29"/>
        <v/>
      </c>
      <c r="AQ53" s="207" t="s">
        <v>293</v>
      </c>
      <c r="AR53" s="207" t="s">
        <v>166</v>
      </c>
      <c r="AS53" s="207">
        <v>21</v>
      </c>
      <c r="AT53" s="207" t="s">
        <v>294</v>
      </c>
      <c r="AV53" s="168">
        <f t="shared" si="21"/>
        <v>1</v>
      </c>
      <c r="AW53" s="168">
        <f>COUNTIF( AV$7:AV53, AV53 )</f>
        <v>1</v>
      </c>
      <c r="AX53" s="208">
        <f t="shared" si="22"/>
        <v>1.1000000000000001</v>
      </c>
      <c r="AY53" s="168">
        <f t="shared" si="23"/>
        <v>1</v>
      </c>
      <c r="AZ53" s="169"/>
      <c r="BA53" s="169"/>
      <c r="BC53" s="168">
        <f t="shared" ca="1" si="24"/>
        <v>47</v>
      </c>
      <c r="BD53" s="209">
        <f t="shared" ca="1" si="7"/>
        <v>31</v>
      </c>
      <c r="BF53" s="173" t="str">
        <f t="shared" ca="1" si="30"/>
        <v>NiSource Inc.</v>
      </c>
      <c r="BG53" s="173" t="str">
        <f t="shared" ca="1" si="9"/>
        <v>BBB-</v>
      </c>
      <c r="BH53" s="173">
        <f t="shared" ca="1" si="9"/>
        <v>17</v>
      </c>
      <c r="BI53" s="173" t="str">
        <f t="shared" ca="1" si="9"/>
        <v>NI</v>
      </c>
    </row>
    <row r="54" spans="1:61" ht="13.8" x14ac:dyDescent="0.25">
      <c r="A54" s="223" t="s">
        <v>299</v>
      </c>
      <c r="B54" s="224" t="s">
        <v>142</v>
      </c>
      <c r="C54" s="224">
        <v>17</v>
      </c>
      <c r="D54" s="224" t="s">
        <v>300</v>
      </c>
      <c r="E54" s="225" t="str">
        <f t="shared" ca="1" si="25"/>
        <v>MR</v>
      </c>
      <c r="F54" s="348"/>
      <c r="G54" s="349">
        <f t="shared" ca="1" si="26"/>
        <v>42</v>
      </c>
      <c r="H54" s="350"/>
      <c r="I54" s="350"/>
      <c r="J54" s="191"/>
      <c r="K54" s="191"/>
      <c r="AF54" s="169">
        <f t="shared" si="27"/>
        <v>1</v>
      </c>
      <c r="AG54" s="169" t="str">
        <f t="shared" ca="1" si="3"/>
        <v/>
      </c>
      <c r="AH54" s="169" t="str">
        <f t="shared" ca="1" si="19"/>
        <v/>
      </c>
      <c r="AJ54" s="169">
        <f t="shared" ca="1" si="28"/>
        <v>55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29"/>
        <v/>
      </c>
      <c r="AQ54" s="207" t="s">
        <v>369</v>
      </c>
      <c r="AR54" s="207" t="s">
        <v>140</v>
      </c>
      <c r="AS54" s="207">
        <v>19</v>
      </c>
      <c r="AT54" s="207" t="s">
        <v>375</v>
      </c>
      <c r="AV54" s="168">
        <f t="shared" si="21"/>
        <v>10</v>
      </c>
      <c r="AW54" s="168">
        <f>COUNTIF( AV$7:AV54, AV54 )</f>
        <v>13</v>
      </c>
      <c r="AX54" s="208">
        <f t="shared" si="22"/>
        <v>11.3</v>
      </c>
      <c r="AY54" s="168">
        <f t="shared" si="23"/>
        <v>22</v>
      </c>
      <c r="AZ54" s="169"/>
      <c r="BA54" s="169"/>
      <c r="BC54" s="168">
        <f t="shared" ca="1" si="24"/>
        <v>48</v>
      </c>
      <c r="BD54" s="209">
        <f t="shared" ca="1" si="7"/>
        <v>36</v>
      </c>
      <c r="BF54" s="173" t="str">
        <f t="shared" ca="1" si="30"/>
        <v>Otter Tail Corporation</v>
      </c>
      <c r="BG54" s="173" t="str">
        <f t="shared" ca="1" si="9"/>
        <v>BBB-</v>
      </c>
      <c r="BH54" s="173">
        <f t="shared" ca="1" si="9"/>
        <v>17</v>
      </c>
      <c r="BI54" s="173" t="str">
        <f t="shared" ca="1" si="9"/>
        <v>OTTR</v>
      </c>
    </row>
    <row r="55" spans="1:61" ht="13.8" x14ac:dyDescent="0.25">
      <c r="A55" s="223" t="s">
        <v>303</v>
      </c>
      <c r="B55" s="224" t="s">
        <v>142</v>
      </c>
      <c r="C55" s="224">
        <v>17</v>
      </c>
      <c r="D55" s="224" t="s">
        <v>304</v>
      </c>
      <c r="E55" s="225" t="str">
        <f t="shared" ca="1" si="25"/>
        <v>R</v>
      </c>
      <c r="F55" s="348"/>
      <c r="G55" s="349">
        <f t="shared" ca="1" si="26"/>
        <v>46</v>
      </c>
      <c r="H55" s="350"/>
      <c r="I55" s="350"/>
      <c r="J55" s="191"/>
      <c r="K55" s="191"/>
      <c r="AF55" s="169">
        <f t="shared" si="27"/>
        <v>1</v>
      </c>
      <c r="AG55" s="169" t="str">
        <f t="shared" ca="1" si="3"/>
        <v/>
      </c>
      <c r="AH55" s="169" t="str">
        <f t="shared" ca="1" si="19"/>
        <v/>
      </c>
      <c r="AJ55" s="169">
        <f t="shared" ca="1" si="28"/>
        <v>56</v>
      </c>
      <c r="AK55" s="169" t="str">
        <f t="shared" ca="1" si="20"/>
        <v>BBB-</v>
      </c>
      <c r="AL55" s="169">
        <f t="shared" ca="1" si="20"/>
        <v>17</v>
      </c>
      <c r="AM55" s="169" t="str">
        <f t="shared" ca="1" si="29"/>
        <v/>
      </c>
      <c r="AQ55" s="207" t="s">
        <v>389</v>
      </c>
      <c r="AR55" s="207" t="s">
        <v>141</v>
      </c>
      <c r="AS55" s="207">
        <v>18</v>
      </c>
      <c r="AT55" s="207" t="s">
        <v>390</v>
      </c>
      <c r="AV55" s="168">
        <f t="shared" si="21"/>
        <v>23</v>
      </c>
      <c r="AW55" s="168">
        <f>COUNTIF( AV$7:AV55, AV55 )</f>
        <v>15</v>
      </c>
      <c r="AX55" s="208">
        <f t="shared" si="22"/>
        <v>24.5</v>
      </c>
      <c r="AY55" s="168">
        <f t="shared" si="23"/>
        <v>37</v>
      </c>
      <c r="AZ55" s="169"/>
      <c r="BA55" s="169"/>
      <c r="BC55" s="168">
        <f t="shared" ca="1" si="24"/>
        <v>49</v>
      </c>
      <c r="BD55" s="209">
        <f t="shared" ca="1" si="7"/>
        <v>40</v>
      </c>
      <c r="BF55" s="173" t="str">
        <f t="shared" ca="1" si="30"/>
        <v>PNM Resources, Inc.</v>
      </c>
      <c r="BG55" s="173" t="str">
        <f t="shared" ca="1" si="9"/>
        <v>BBB-</v>
      </c>
      <c r="BH55" s="173">
        <f t="shared" ca="1" si="9"/>
        <v>17</v>
      </c>
      <c r="BI55" s="173" t="str">
        <f t="shared" ca="1" si="9"/>
        <v>PNM</v>
      </c>
    </row>
    <row r="56" spans="1:61" ht="13.8" x14ac:dyDescent="0.25">
      <c r="A56" s="223" t="s">
        <v>411</v>
      </c>
      <c r="B56" s="224" t="s">
        <v>173</v>
      </c>
      <c r="C56" s="224">
        <v>16</v>
      </c>
      <c r="D56" s="224" t="s">
        <v>412</v>
      </c>
      <c r="E56" s="225" t="str">
        <f t="shared" ca="1" si="25"/>
        <v>R</v>
      </c>
      <c r="F56" s="348"/>
      <c r="G56" s="349">
        <f t="shared" ca="1" si="26"/>
        <v>40</v>
      </c>
      <c r="H56" s="350"/>
      <c r="I56" s="350"/>
      <c r="J56" s="191"/>
      <c r="K56" s="191"/>
      <c r="AF56" s="169">
        <f t="shared" si="27"/>
        <v>0</v>
      </c>
      <c r="AG56" s="169" t="str">
        <f t="shared" ca="1" si="3"/>
        <v/>
      </c>
      <c r="AH56" s="169" t="str">
        <f t="shared" ca="1" si="19"/>
        <v/>
      </c>
      <c r="AJ56" s="169">
        <f t="shared" ca="1" si="28"/>
        <v>57</v>
      </c>
      <c r="AK56" s="169" t="str">
        <f t="shared" ca="1" si="20"/>
        <v>BB+</v>
      </c>
      <c r="AL56" s="169">
        <f t="shared" ca="1" si="20"/>
        <v>16</v>
      </c>
      <c r="AM56" s="169" t="str">
        <f t="shared" ca="1" si="29"/>
        <v/>
      </c>
      <c r="AQ56" s="207" t="s">
        <v>345</v>
      </c>
      <c r="AR56" s="207" t="s">
        <v>139</v>
      </c>
      <c r="AS56" s="207">
        <v>20</v>
      </c>
      <c r="AT56" s="207" t="s">
        <v>346</v>
      </c>
      <c r="AV56" s="168">
        <f t="shared" si="21"/>
        <v>2</v>
      </c>
      <c r="AW56" s="168">
        <f>COUNTIF( AV$7:AV56, AV56 )</f>
        <v>6</v>
      </c>
      <c r="AX56" s="208">
        <f t="shared" si="22"/>
        <v>2.6</v>
      </c>
      <c r="AY56" s="168">
        <f t="shared" si="23"/>
        <v>7</v>
      </c>
      <c r="AZ56" s="169"/>
      <c r="BA56" s="169"/>
      <c r="BC56" s="168">
        <f t="shared" ca="1" si="24"/>
        <v>50</v>
      </c>
      <c r="BD56" s="209">
        <f t="shared" ca="1" si="7"/>
        <v>34</v>
      </c>
      <c r="BF56" s="173" t="str">
        <f t="shared" ca="1" si="30"/>
        <v>NV Energy, Inc.</v>
      </c>
      <c r="BG56" s="173" t="str">
        <f t="shared" ca="1" si="9"/>
        <v>BB+</v>
      </c>
      <c r="BH56" s="173">
        <f t="shared" ca="1" si="9"/>
        <v>16</v>
      </c>
      <c r="BI56" s="173" t="str">
        <f t="shared" ca="1" si="9"/>
        <v>NVE</v>
      </c>
    </row>
    <row r="57" spans="1:61" ht="13.8" x14ac:dyDescent="0.25">
      <c r="A57" s="223" t="s">
        <v>305</v>
      </c>
      <c r="B57" s="224" t="s">
        <v>173</v>
      </c>
      <c r="C57" s="224">
        <v>16</v>
      </c>
      <c r="D57" s="224" t="s">
        <v>306</v>
      </c>
      <c r="E57" s="225" t="str">
        <f t="shared" ca="1" si="25"/>
        <v>R</v>
      </c>
      <c r="F57" s="348"/>
      <c r="G57" s="349">
        <f t="shared" ca="1" si="26"/>
        <v>68</v>
      </c>
      <c r="H57" s="350"/>
      <c r="I57" s="350"/>
      <c r="J57" s="191"/>
      <c r="K57" s="191"/>
      <c r="AF57" s="169">
        <f t="shared" si="27"/>
        <v>0</v>
      </c>
      <c r="AG57" s="169" t="str">
        <f t="shared" ca="1" si="3"/>
        <v/>
      </c>
      <c r="AH57" s="169" t="str">
        <f t="shared" ca="1" si="19"/>
        <v/>
      </c>
      <c r="AJ57" s="169">
        <f t="shared" ca="1" si="28"/>
        <v>58</v>
      </c>
      <c r="AK57" s="169" t="str">
        <f t="shared" ca="1" si="20"/>
        <v>BB+</v>
      </c>
      <c r="AL57" s="169">
        <f t="shared" ca="1" si="20"/>
        <v>16</v>
      </c>
      <c r="AM57" s="169" t="str">
        <f t="shared" ca="1" si="29"/>
        <v/>
      </c>
      <c r="AQ57" s="207" t="s">
        <v>354</v>
      </c>
      <c r="AR57" s="207" t="s">
        <v>141</v>
      </c>
      <c r="AS57" s="207">
        <v>18</v>
      </c>
      <c r="AT57" s="207" t="s">
        <v>355</v>
      </c>
      <c r="AV57" s="168">
        <f t="shared" si="21"/>
        <v>23</v>
      </c>
      <c r="AW57" s="168">
        <f>COUNTIF( AV$7:AV57, AV57 )</f>
        <v>16</v>
      </c>
      <c r="AX57" s="208">
        <f t="shared" si="22"/>
        <v>24.6</v>
      </c>
      <c r="AY57" s="168">
        <f t="shared" si="23"/>
        <v>38</v>
      </c>
      <c r="AZ57" s="169"/>
      <c r="BA57" s="169"/>
      <c r="BC57" s="168">
        <f t="shared" ca="1" si="24"/>
        <v>51</v>
      </c>
      <c r="BD57" s="209">
        <f t="shared" ca="1" si="7"/>
        <v>44</v>
      </c>
      <c r="BF57" s="173" t="str">
        <f t="shared" ca="1" si="30"/>
        <v>Puget Energy, Inc.</v>
      </c>
      <c r="BG57" s="173" t="str">
        <f t="shared" ca="1" si="9"/>
        <v>BB+</v>
      </c>
      <c r="BH57" s="173">
        <f t="shared" ca="1" si="9"/>
        <v>16</v>
      </c>
      <c r="BI57" s="173" t="str">
        <f t="shared" ca="1" si="9"/>
        <v>**PSD</v>
      </c>
    </row>
    <row r="58" spans="1:61" ht="13.8" x14ac:dyDescent="0.25">
      <c r="A58" s="223" t="s">
        <v>259</v>
      </c>
      <c r="B58" s="224" t="s">
        <v>175</v>
      </c>
      <c r="C58" s="224">
        <v>15</v>
      </c>
      <c r="D58" s="224" t="s">
        <v>260</v>
      </c>
      <c r="E58" s="225" t="str">
        <f t="shared" ca="1" si="25"/>
        <v>R</v>
      </c>
      <c r="F58" s="348"/>
      <c r="G58" s="349">
        <f t="shared" ca="1" si="26"/>
        <v>64</v>
      </c>
      <c r="H58" s="350"/>
      <c r="I58" s="350"/>
      <c r="J58" s="191"/>
      <c r="K58" s="191"/>
      <c r="AF58" s="169">
        <f t="shared" si="27"/>
        <v>1</v>
      </c>
      <c r="AG58" s="169" t="str">
        <f t="shared" ca="1" si="3"/>
        <v/>
      </c>
      <c r="AH58" s="169">
        <f t="shared" ca="1" si="19"/>
        <v>1</v>
      </c>
      <c r="AJ58" s="169">
        <f t="shared" ca="1" si="28"/>
        <v>48</v>
      </c>
      <c r="AK58" s="169" t="str">
        <f t="shared" ca="1" si="20"/>
        <v>BBB-</v>
      </c>
      <c r="AL58" s="169">
        <f t="shared" ca="1" si="20"/>
        <v>17</v>
      </c>
      <c r="AM58" s="169" t="str">
        <f t="shared" ca="1" si="29"/>
        <v>Change</v>
      </c>
      <c r="AQ58" s="207" t="s">
        <v>247</v>
      </c>
      <c r="AR58" s="207" t="s">
        <v>139</v>
      </c>
      <c r="AS58" s="207">
        <v>20</v>
      </c>
      <c r="AT58" s="207" t="s">
        <v>248</v>
      </c>
      <c r="AV58" s="168">
        <f t="shared" si="21"/>
        <v>2</v>
      </c>
      <c r="AW58" s="168">
        <f>COUNTIF( AV$7:AV58, AV58 )</f>
        <v>7</v>
      </c>
      <c r="AX58" s="208">
        <f t="shared" si="22"/>
        <v>2.7</v>
      </c>
      <c r="AY58" s="168">
        <f t="shared" si="23"/>
        <v>8</v>
      </c>
      <c r="AZ58" s="169"/>
      <c r="BA58" s="169"/>
      <c r="BC58" s="168">
        <f t="shared" ca="1" si="24"/>
        <v>52</v>
      </c>
      <c r="BD58" s="209">
        <f t="shared" ca="1" si="7"/>
        <v>12</v>
      </c>
      <c r="BF58" s="173" t="str">
        <f t="shared" ca="1" si="30"/>
        <v>DPL Inc.</v>
      </c>
      <c r="BG58" s="173" t="str">
        <f t="shared" ca="1" si="9"/>
        <v>BB</v>
      </c>
      <c r="BH58" s="173">
        <f t="shared" ca="1" si="9"/>
        <v>15</v>
      </c>
      <c r="BI58" s="173" t="str">
        <f t="shared" ca="1" si="9"/>
        <v>**DPL</v>
      </c>
    </row>
    <row r="59" spans="1:61" ht="13.8" x14ac:dyDescent="0.25">
      <c r="A59" s="223" t="s">
        <v>371</v>
      </c>
      <c r="B59" s="224" t="s">
        <v>421</v>
      </c>
      <c r="C59" s="224">
        <v>2</v>
      </c>
      <c r="D59" s="224" t="s">
        <v>359</v>
      </c>
      <c r="E59" s="225" t="str">
        <f t="shared" ca="1" si="25"/>
        <v>D</v>
      </c>
      <c r="F59" s="348"/>
      <c r="G59" s="349">
        <f t="shared" ca="1" si="26"/>
        <v>65</v>
      </c>
      <c r="H59" s="350"/>
      <c r="I59" s="350"/>
      <c r="J59" s="191"/>
      <c r="K59" s="191"/>
      <c r="AF59" s="169">
        <f t="shared" si="27"/>
        <v>0</v>
      </c>
      <c r="AG59" s="169" t="str">
        <f t="shared" ca="1" si="3"/>
        <v/>
      </c>
      <c r="AH59" s="169">
        <f t="shared" ca="1" si="19"/>
        <v>1</v>
      </c>
      <c r="AJ59" s="169">
        <f t="shared" ca="1" si="28"/>
        <v>59</v>
      </c>
      <c r="AK59" s="169" t="str">
        <f t="shared" ca="1" si="20"/>
        <v>CCC</v>
      </c>
      <c r="AL59" s="169">
        <f t="shared" ca="1" si="20"/>
        <v>9</v>
      </c>
      <c r="AM59" s="169" t="str">
        <f t="shared" ca="1" si="29"/>
        <v>Change</v>
      </c>
      <c r="AQ59" s="207" t="s">
        <v>251</v>
      </c>
      <c r="AR59" s="207" t="s">
        <v>139</v>
      </c>
      <c r="AS59" s="207">
        <v>20</v>
      </c>
      <c r="AT59" s="207" t="s">
        <v>252</v>
      </c>
      <c r="AV59" s="168">
        <f t="shared" si="21"/>
        <v>2</v>
      </c>
      <c r="AW59" s="168">
        <f>COUNTIF( AV$7:AV59, AV59 )</f>
        <v>8</v>
      </c>
      <c r="AX59" s="208">
        <f t="shared" si="22"/>
        <v>2.8</v>
      </c>
      <c r="AY59" s="168">
        <f t="shared" si="23"/>
        <v>9</v>
      </c>
      <c r="AZ59" s="169"/>
      <c r="BA59" s="169"/>
      <c r="BC59" s="168">
        <f t="shared" ca="1" si="24"/>
        <v>53</v>
      </c>
      <c r="BD59" s="209">
        <f t="shared" ca="1" si="7"/>
        <v>18</v>
      </c>
      <c r="BF59" s="173" t="str">
        <f t="shared" ca="1" si="30"/>
        <v>Energy Future Holdings Corp.</v>
      </c>
      <c r="BG59" s="173" t="str">
        <f t="shared" ca="1" si="9"/>
        <v>SD</v>
      </c>
      <c r="BH59" s="173">
        <f t="shared" ca="1" si="9"/>
        <v>2</v>
      </c>
      <c r="BI59" s="173" t="str">
        <f t="shared" ca="1" si="9"/>
        <v>**EFH</v>
      </c>
    </row>
    <row r="60" spans="1:61" ht="13.8" x14ac:dyDescent="0.25">
      <c r="A60" s="180"/>
      <c r="B60" s="181"/>
      <c r="C60" s="181"/>
      <c r="D60" s="181"/>
      <c r="E60" s="182"/>
      <c r="F60" s="350"/>
      <c r="G60" s="353" t="str">
        <f t="shared" ca="1" si="26"/>
        <v/>
      </c>
      <c r="H60" s="350"/>
      <c r="I60" s="350"/>
      <c r="AF60" s="169">
        <f t="shared" si="27"/>
        <v>0</v>
      </c>
      <c r="AG60" s="169" t="str">
        <f t="shared" si="3"/>
        <v/>
      </c>
      <c r="AH60" s="169" t="str">
        <f t="shared" si="19"/>
        <v/>
      </c>
      <c r="AJ60" s="169" t="e">
        <f t="shared" ca="1" si="28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29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1</v>
      </c>
      <c r="AX60" s="208">
        <f t="shared" si="22"/>
        <v>99.1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7"/>
        <v>54</v>
      </c>
      <c r="BF60" s="173">
        <f t="shared" ca="1" si="30"/>
        <v>0</v>
      </c>
      <c r="BG60" s="173">
        <f t="shared" ca="1" si="9"/>
        <v>0</v>
      </c>
      <c r="BH60" s="173">
        <f t="shared" ca="1" si="9"/>
        <v>0</v>
      </c>
      <c r="BI60" s="173">
        <f t="shared" ca="1" si="9"/>
        <v>0</v>
      </c>
    </row>
    <row r="61" spans="1:61" ht="14.4" thickBot="1" x14ac:dyDescent="0.3">
      <c r="A61" s="192"/>
      <c r="B61" s="193"/>
      <c r="C61" s="193"/>
      <c r="D61" s="193"/>
      <c r="E61" s="194"/>
      <c r="F61" s="350"/>
      <c r="G61" s="353" t="str">
        <f t="shared" ca="1" si="26"/>
        <v/>
      </c>
      <c r="H61" s="350"/>
      <c r="I61" s="350"/>
      <c r="AF61" s="169">
        <f t="shared" si="27"/>
        <v>0</v>
      </c>
      <c r="AG61" s="169" t="str">
        <f t="shared" si="3"/>
        <v/>
      </c>
      <c r="AH61" s="169" t="str">
        <f t="shared" si="19"/>
        <v/>
      </c>
      <c r="AJ61" s="169" t="e">
        <f t="shared" ca="1" si="28"/>
        <v>#N/A</v>
      </c>
      <c r="AK61" s="169" t="str">
        <f t="shared" ca="1" si="20"/>
        <v/>
      </c>
      <c r="AL61" s="169" t="str">
        <f t="shared" ca="1" si="20"/>
        <v/>
      </c>
      <c r="AM61" s="169" t="str">
        <f t="shared" ca="1" si="29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2</v>
      </c>
      <c r="AX61" s="208">
        <f t="shared" si="22"/>
        <v>99.2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7"/>
        <v>55</v>
      </c>
      <c r="BF61" s="173">
        <f t="shared" ca="1" si="30"/>
        <v>0</v>
      </c>
      <c r="BG61" s="173">
        <f t="shared" ca="1" si="9"/>
        <v>0</v>
      </c>
      <c r="BH61" s="173">
        <f t="shared" ca="1" si="9"/>
        <v>0</v>
      </c>
      <c r="BI61" s="173">
        <f t="shared" ca="1" si="9"/>
        <v>0</v>
      </c>
    </row>
    <row r="62" spans="1:61" ht="13.8" x14ac:dyDescent="0.25">
      <c r="A62" s="226" t="s">
        <v>384</v>
      </c>
      <c r="B62" s="227" t="s">
        <v>162</v>
      </c>
      <c r="C62" s="227">
        <v>23</v>
      </c>
      <c r="D62" s="227" t="s">
        <v>309</v>
      </c>
      <c r="E62" s="228" t="str">
        <f ca="1">OFFSET( INDIRECT( E$3 &amp; E$4 ), $G62 - 1, 0 )</f>
        <v>MR</v>
      </c>
      <c r="F62" s="354"/>
      <c r="G62" s="355">
        <f t="shared" ca="1" si="26"/>
        <v>34</v>
      </c>
      <c r="H62" s="350"/>
      <c r="I62" s="350"/>
      <c r="AF62" s="169">
        <f t="shared" si="27"/>
        <v>1</v>
      </c>
      <c r="AG62" s="169" t="str">
        <f t="shared" ca="1" si="3"/>
        <v/>
      </c>
      <c r="AH62" s="169" t="str">
        <f t="shared" ca="1" si="19"/>
        <v/>
      </c>
      <c r="AJ62" s="169">
        <f t="shared" ca="1" si="28"/>
        <v>62</v>
      </c>
      <c r="AK62" s="169" t="str">
        <f t="shared" ca="1" si="20"/>
        <v>AA-</v>
      </c>
      <c r="AL62" s="169">
        <f t="shared" ca="1" si="20"/>
        <v>23</v>
      </c>
      <c r="AM62" s="169" t="str">
        <f t="shared" ca="1" si="29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3</v>
      </c>
      <c r="AX62" s="208">
        <f t="shared" si="22"/>
        <v>99.3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7"/>
        <v>56</v>
      </c>
      <c r="BF62" s="173">
        <f t="shared" ca="1" si="30"/>
        <v>0</v>
      </c>
      <c r="BG62" s="173">
        <f t="shared" ca="1" si="9"/>
        <v>0</v>
      </c>
      <c r="BH62" s="173">
        <f t="shared" ca="1" si="9"/>
        <v>0</v>
      </c>
      <c r="BI62" s="173">
        <f t="shared" ca="1" si="9"/>
        <v>0</v>
      </c>
    </row>
    <row r="63" spans="1:61" ht="13.8" x14ac:dyDescent="0.25">
      <c r="A63" s="223" t="s">
        <v>416</v>
      </c>
      <c r="B63" s="224" t="s">
        <v>166</v>
      </c>
      <c r="C63" s="224">
        <v>21</v>
      </c>
      <c r="D63" s="224" t="s">
        <v>417</v>
      </c>
      <c r="E63" s="225" t="str">
        <f ca="1">OFFSET( INDIRECT( E$3 &amp; E$4 ), $G63 - 1, 0 )</f>
        <v>R</v>
      </c>
      <c r="F63" s="348"/>
      <c r="G63" s="349">
        <f t="shared" ca="1" si="26"/>
        <v>15</v>
      </c>
      <c r="H63" s="350"/>
      <c r="I63" s="350"/>
      <c r="AF63" s="169">
        <f t="shared" si="27"/>
        <v>0</v>
      </c>
      <c r="AG63" s="169" t="str">
        <f t="shared" ca="1" si="3"/>
        <v/>
      </c>
      <c r="AH63" s="169" t="str">
        <f t="shared" ca="1" si="19"/>
        <v/>
      </c>
      <c r="AJ63" s="169">
        <f t="shared" ca="1" si="28"/>
        <v>63</v>
      </c>
      <c r="AK63" s="169" t="str">
        <f t="shared" ca="1" si="20"/>
        <v>A</v>
      </c>
      <c r="AL63" s="169">
        <f t="shared" ca="1" si="20"/>
        <v>21</v>
      </c>
      <c r="AM63" s="169" t="str">
        <f t="shared" ca="1" si="29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4</v>
      </c>
      <c r="AX63" s="208">
        <f t="shared" si="22"/>
        <v>99.4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30"/>
        <v>0</v>
      </c>
      <c r="BG63" s="173">
        <f t="shared" ref="BG63:BI63" ca="1" si="31">OFFSET( AR$6, $BD63, 0 )</f>
        <v>0</v>
      </c>
      <c r="BH63" s="173">
        <f t="shared" ca="1" si="31"/>
        <v>0</v>
      </c>
      <c r="BI63" s="173">
        <f t="shared" ca="1" si="31"/>
        <v>0</v>
      </c>
    </row>
    <row r="64" spans="1:61" ht="13.8" x14ac:dyDescent="0.25">
      <c r="A64" s="223" t="s">
        <v>399</v>
      </c>
      <c r="B64" s="224" t="s">
        <v>173</v>
      </c>
      <c r="C64" s="224">
        <v>16</v>
      </c>
      <c r="D64" s="224" t="s">
        <v>400</v>
      </c>
      <c r="E64" s="225" t="str">
        <f ca="1">OFFSET( INDIRECT( E$3 &amp; E$4 ), $G64 - 1, 0 )</f>
        <v>R</v>
      </c>
      <c r="F64" s="348"/>
      <c r="G64" s="349">
        <f t="shared" ca="1" si="26"/>
        <v>57</v>
      </c>
      <c r="H64" s="350"/>
      <c r="I64" s="350"/>
      <c r="AF64" s="169">
        <f t="shared" si="27"/>
        <v>1</v>
      </c>
      <c r="AG64" s="169" t="str">
        <f t="shared" ca="1" si="3"/>
        <v/>
      </c>
      <c r="AH64" s="169" t="str">
        <f t="shared" ca="1" si="19"/>
        <v/>
      </c>
      <c r="AJ64" s="169">
        <f t="shared" ca="1" si="28"/>
        <v>64</v>
      </c>
      <c r="AK64" s="169" t="str">
        <f t="shared" ca="1" si="20"/>
        <v>BB+</v>
      </c>
      <c r="AL64" s="169">
        <f t="shared" ca="1" si="20"/>
        <v>16</v>
      </c>
      <c r="AM64" s="169" t="str">
        <f t="shared" ca="1" si="29"/>
        <v/>
      </c>
      <c r="AQ64" s="207" t="s">
        <v>416</v>
      </c>
      <c r="AR64" s="207" t="s">
        <v>166</v>
      </c>
      <c r="AS64" s="207">
        <v>21</v>
      </c>
      <c r="AT64" s="207" t="s">
        <v>417</v>
      </c>
      <c r="AU64" s="207"/>
      <c r="AZ64" s="169"/>
      <c r="BA64" s="169"/>
      <c r="BF64" s="169"/>
    </row>
    <row r="65" spans="1:58" ht="13.8" x14ac:dyDescent="0.25">
      <c r="A65" s="223" t="s">
        <v>401</v>
      </c>
      <c r="B65" s="229"/>
      <c r="C65" s="224"/>
      <c r="D65" s="224" t="s">
        <v>376</v>
      </c>
      <c r="E65" s="225" t="str">
        <f ca="1">OFFSET( INDIRECT( E$3 &amp; E$4 ), $G65 - 1, 0 )</f>
        <v>R</v>
      </c>
      <c r="F65" s="348"/>
      <c r="G65" s="349">
        <f t="shared" ca="1" si="26"/>
        <v>56</v>
      </c>
      <c r="H65" s="350"/>
      <c r="I65" s="350"/>
      <c r="N65" s="168" t="s">
        <v>310</v>
      </c>
      <c r="AF65" s="169">
        <f t="shared" si="27"/>
        <v>0</v>
      </c>
      <c r="AG65" s="169" t="str">
        <f>IF( LEN( $C65 ) = 0, "", IF( $C65 &gt; $AL65, 1, "" ) )</f>
        <v/>
      </c>
      <c r="AH65" s="169" t="str">
        <f t="shared" si="19"/>
        <v/>
      </c>
      <c r="AJ65" s="169">
        <f t="shared" ca="1" si="28"/>
        <v>65</v>
      </c>
      <c r="AK65" s="169">
        <f t="shared" ca="1" si="20"/>
        <v>0</v>
      </c>
      <c r="AL65" s="169">
        <f t="shared" ca="1" si="20"/>
        <v>0</v>
      </c>
      <c r="AM65" s="169" t="str">
        <f t="shared" ca="1" si="29"/>
        <v/>
      </c>
      <c r="AQ65" s="207" t="s">
        <v>384</v>
      </c>
      <c r="AR65" s="207" t="s">
        <v>162</v>
      </c>
      <c r="AS65" s="207">
        <v>23</v>
      </c>
      <c r="AT65" s="207" t="s">
        <v>309</v>
      </c>
      <c r="AU65" s="207"/>
      <c r="AZ65" s="169"/>
      <c r="BA65" s="169"/>
      <c r="BF65" s="169"/>
    </row>
    <row r="66" spans="1:58" ht="13.8" x14ac:dyDescent="0.25">
      <c r="A66" s="195"/>
      <c r="B66" s="196"/>
      <c r="C66" s="185"/>
      <c r="D66" s="185"/>
      <c r="E66" s="182"/>
      <c r="F66" s="350"/>
      <c r="H66" s="350"/>
      <c r="I66" s="350"/>
      <c r="AF66" s="169">
        <f t="shared" si="27"/>
        <v>0</v>
      </c>
      <c r="AG66" s="169" t="str">
        <f t="shared" ref="AG66:AG67" si="32">IF( LEN( $C66 ) = 0, "", IF( $C66 &gt; $AL66, 1, "" ) )</f>
        <v/>
      </c>
      <c r="AH66" s="169" t="str">
        <f t="shared" si="19"/>
        <v/>
      </c>
      <c r="AJ66" s="169" t="e">
        <f t="shared" ca="1" si="28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29"/>
        <v/>
      </c>
      <c r="AQ66" s="207" t="s">
        <v>401</v>
      </c>
      <c r="AR66" s="207"/>
      <c r="AS66" s="207"/>
      <c r="AT66" s="207" t="s">
        <v>376</v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50"/>
      <c r="H67" s="350"/>
      <c r="I67" s="350"/>
      <c r="AF67" s="169">
        <f t="shared" si="27"/>
        <v>0</v>
      </c>
      <c r="AG67" s="169" t="str">
        <f t="shared" si="32"/>
        <v/>
      </c>
      <c r="AH67" s="169" t="str">
        <f t="shared" si="19"/>
        <v/>
      </c>
      <c r="AJ67" s="169" t="e">
        <f t="shared" ca="1" si="28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29"/>
        <v/>
      </c>
      <c r="AQ67" s="207" t="s">
        <v>399</v>
      </c>
      <c r="AR67" s="207" t="s">
        <v>173</v>
      </c>
      <c r="AS67" s="207">
        <v>16</v>
      </c>
      <c r="AT67" s="207" t="s">
        <v>400</v>
      </c>
      <c r="AX67" s="208"/>
      <c r="AZ67" s="169"/>
      <c r="BA67" s="169"/>
      <c r="BD67" s="209"/>
      <c r="BF67" s="169"/>
    </row>
    <row r="68" spans="1:58" ht="13.8" x14ac:dyDescent="0.25">
      <c r="A68" s="200" t="s">
        <v>311</v>
      </c>
      <c r="B68" s="189" t="s">
        <v>141</v>
      </c>
      <c r="C68" s="201">
        <f>AVERAGE(C7:C65)</f>
        <v>18.071428571428573</v>
      </c>
      <c r="D68" s="201"/>
      <c r="E68" s="201"/>
      <c r="F68" s="350"/>
      <c r="H68" s="350"/>
      <c r="I68" s="350"/>
      <c r="J68" s="351"/>
      <c r="K68" s="351"/>
      <c r="AQ68" s="207"/>
      <c r="AR68" s="207"/>
      <c r="AS68" s="207"/>
      <c r="AT68" s="207"/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50"/>
      <c r="H69" s="350"/>
      <c r="I69" s="350"/>
      <c r="AQ69" s="207"/>
      <c r="AR69" s="207"/>
      <c r="AS69" s="207"/>
      <c r="AT69" s="207"/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1"/>
      <c r="K70" s="351"/>
      <c r="AQ70" s="207"/>
      <c r="AR70" s="207"/>
      <c r="AS70" s="207"/>
      <c r="AT70" s="207"/>
    </row>
    <row r="71" spans="1:58" x14ac:dyDescent="0.25">
      <c r="A71" s="203" t="s">
        <v>312</v>
      </c>
      <c r="F71" s="173"/>
      <c r="H71" s="173"/>
      <c r="I71" s="173"/>
    </row>
    <row r="72" spans="1:58" x14ac:dyDescent="0.25">
      <c r="A72" s="203" t="s">
        <v>313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419</v>
      </c>
      <c r="B73" s="173"/>
      <c r="D73" s="173"/>
      <c r="E73" s="173"/>
      <c r="F73" s="204"/>
      <c r="H73" s="204"/>
      <c r="I73" s="204"/>
    </row>
    <row r="74" spans="1:58" x14ac:dyDescent="0.25">
      <c r="A74" s="205" t="s">
        <v>314</v>
      </c>
      <c r="B74" s="173"/>
      <c r="D74" s="173"/>
      <c r="E74" s="173"/>
      <c r="F74" s="204"/>
      <c r="H74" s="204"/>
      <c r="I74" s="204"/>
    </row>
    <row r="75" spans="1:58" x14ac:dyDescent="0.25">
      <c r="A75" s="205" t="s">
        <v>403</v>
      </c>
      <c r="D75" s="204"/>
      <c r="F75" s="206"/>
      <c r="H75" s="206"/>
      <c r="I75" s="206"/>
    </row>
    <row r="76" spans="1:58" x14ac:dyDescent="0.25">
      <c r="A76" s="203" t="s">
        <v>315</v>
      </c>
      <c r="D76" s="204"/>
      <c r="F76" s="206"/>
      <c r="H76" s="206"/>
      <c r="I76" s="206"/>
      <c r="AQ76" s="207"/>
      <c r="AR76" s="207"/>
      <c r="AS76" s="207"/>
    </row>
    <row r="77" spans="1:58" x14ac:dyDescent="0.25">
      <c r="A77" s="203"/>
      <c r="D77" s="204"/>
      <c r="F77" s="206"/>
      <c r="H77" s="206"/>
      <c r="I77" s="206"/>
      <c r="AQ77" s="207"/>
      <c r="AR77" s="207"/>
      <c r="AS77" s="207"/>
    </row>
    <row r="78" spans="1:58" x14ac:dyDescent="0.25">
      <c r="A78" s="203"/>
      <c r="AQ78" s="207"/>
      <c r="AR78" s="207"/>
      <c r="AS78" s="207"/>
    </row>
    <row r="79" spans="1:58" x14ac:dyDescent="0.25">
      <c r="C79" s="190">
        <f>SUMPRODUCT( L8:L13, Y8:Y13 ) / L14</f>
        <v>18.303571428571427</v>
      </c>
      <c r="E79" s="191"/>
      <c r="G79" s="353"/>
      <c r="J79" s="173"/>
      <c r="K79" s="173"/>
      <c r="AQ79" s="207"/>
      <c r="AR79" s="207"/>
      <c r="AS79" s="207"/>
    </row>
    <row r="80" spans="1:58" s="173" customFormat="1" ht="13.8" x14ac:dyDescent="0.25">
      <c r="A80" s="195"/>
      <c r="B80" s="185"/>
      <c r="C80" s="185"/>
      <c r="D80" s="185"/>
      <c r="E80" s="182"/>
      <c r="F80" s="168"/>
      <c r="G80" s="169"/>
      <c r="H80" s="168"/>
      <c r="I80" s="168"/>
      <c r="Q80" s="168"/>
      <c r="T80" s="169"/>
      <c r="U80" s="169"/>
      <c r="V80" s="169"/>
      <c r="AF80" s="169"/>
      <c r="AG80" s="169"/>
      <c r="AH80" s="169"/>
      <c r="AJ80" s="169"/>
      <c r="AK80" s="169"/>
      <c r="AL80" s="169"/>
      <c r="AM80" s="169"/>
      <c r="AN80" s="169"/>
      <c r="AQ80" s="207"/>
      <c r="AR80" s="207"/>
      <c r="AS80" s="207"/>
    </row>
    <row r="81" spans="43:45" x14ac:dyDescent="0.25">
      <c r="AQ81" s="207"/>
      <c r="AR81" s="207"/>
      <c r="AS81" s="207"/>
    </row>
    <row r="82" spans="43:45" x14ac:dyDescent="0.25">
      <c r="AQ82" s="207"/>
      <c r="AR82" s="207"/>
      <c r="AS82" s="207"/>
    </row>
  </sheetData>
  <sortState ref="AQ7:AT65">
    <sortCondition ref="AQ7"/>
  </sortState>
  <mergeCells count="9">
    <mergeCell ref="J5:J6"/>
    <mergeCell ref="R5:S6"/>
    <mergeCell ref="U5:V6"/>
    <mergeCell ref="L16:M16"/>
    <mergeCell ref="O16:P16"/>
    <mergeCell ref="R16:S16"/>
    <mergeCell ref="U16:V16"/>
    <mergeCell ref="L5:M6"/>
    <mergeCell ref="O5:P6"/>
  </mergeCells>
  <conditionalFormatting sqref="A60:B61">
    <cfRule type="expression" dxfId="263" priority="68" stopIfTrue="1">
      <formula>IF( $AH60 = 1, TRUE, FALSE )</formula>
    </cfRule>
    <cfRule type="expression" dxfId="262" priority="69" stopIfTrue="1">
      <formula>IF( $AG60 = 1, TRUE, FALSE )</formula>
    </cfRule>
    <cfRule type="expression" dxfId="261" priority="70" stopIfTrue="1">
      <formula>IF( $AF60 = 1, TRUE, FALSE )</formula>
    </cfRule>
  </conditionalFormatting>
  <conditionalFormatting sqref="A67:B67">
    <cfRule type="expression" dxfId="260" priority="71" stopIfTrue="1">
      <formula>IF( $AH67 = 1, TRUE, FALSE )</formula>
    </cfRule>
    <cfRule type="expression" dxfId="259" priority="72" stopIfTrue="1">
      <formula>IF( $AG67 = 1, TRUE, FALSE )</formula>
    </cfRule>
    <cfRule type="expression" dxfId="258" priority="73" stopIfTrue="1">
      <formula>IF( $AF67 = 1, TRUE, FALSE )</formula>
    </cfRule>
  </conditionalFormatting>
  <conditionalFormatting sqref="A66:B66">
    <cfRule type="expression" dxfId="257" priority="65" stopIfTrue="1">
      <formula>IF( $AH66 = 1, TRUE, FALSE )</formula>
    </cfRule>
    <cfRule type="expression" dxfId="256" priority="66" stopIfTrue="1">
      <formula>IF( $AG66 = 1, TRUE, FALSE )</formula>
    </cfRule>
    <cfRule type="expression" dxfId="255" priority="67" stopIfTrue="1">
      <formula>IF( $AF66 = 1, TRUE, FALSE )</formula>
    </cfRule>
  </conditionalFormatting>
  <conditionalFormatting sqref="A7:B58">
    <cfRule type="expression" dxfId="254" priority="62" stopIfTrue="1">
      <formula>IF( $AH7 = 1, TRUE, FALSE )</formula>
    </cfRule>
    <cfRule type="expression" dxfId="253" priority="63" stopIfTrue="1">
      <formula>IF( $AG7 = 1, TRUE, FALSE )</formula>
    </cfRule>
    <cfRule type="expression" dxfId="252" priority="64" stopIfTrue="1">
      <formula>IF( $AF7 = 1, TRUE, FALSE )</formula>
    </cfRule>
  </conditionalFormatting>
  <conditionalFormatting sqref="A59:B59">
    <cfRule type="expression" dxfId="251" priority="59" stopIfTrue="1">
      <formula>IF( $AH59 = 1, TRUE, FALSE )</formula>
    </cfRule>
    <cfRule type="expression" dxfId="250" priority="60" stopIfTrue="1">
      <formula>IF( $AG59 = 1, TRUE, FALSE )</formula>
    </cfRule>
    <cfRule type="expression" dxfId="249" priority="61" stopIfTrue="1">
      <formula>IF( $AF59 = 1, TRUE, FALSE )</formula>
    </cfRule>
  </conditionalFormatting>
  <conditionalFormatting sqref="A62:B65">
    <cfRule type="expression" dxfId="248" priority="56" stopIfTrue="1">
      <formula>IF( $AH62 = 1, TRUE, FALSE )</formula>
    </cfRule>
    <cfRule type="expression" dxfId="247" priority="57" stopIfTrue="1">
      <formula>IF( $AG62 = 1, TRUE, FALSE )</formula>
    </cfRule>
    <cfRule type="expression" dxfId="246" priority="58" stopIfTrue="1">
      <formula>IF( $AF62 = 1, TRUE, FALSE )</formula>
    </cfRule>
  </conditionalFormatting>
  <conditionalFormatting sqref="U8:U12">
    <cfRule type="cellIs" dxfId="245" priority="55" operator="equal">
      <formula>0</formula>
    </cfRule>
  </conditionalFormatting>
  <conditionalFormatting sqref="O8:O12 Q8:Q12">
    <cfRule type="cellIs" dxfId="244" priority="52" operator="equal">
      <formula>0</formula>
    </cfRule>
  </conditionalFormatting>
  <conditionalFormatting sqref="V8:V12">
    <cfRule type="cellIs" dxfId="243" priority="49" operator="equal">
      <formula>0</formula>
    </cfRule>
  </conditionalFormatting>
  <conditionalFormatting sqref="S8:S12">
    <cfRule type="cellIs" dxfId="242" priority="45" operator="equal">
      <formula>0</formula>
    </cfRule>
  </conditionalFormatting>
  <conditionalFormatting sqref="R8:R12">
    <cfRule type="cellIs" dxfId="241" priority="46" operator="equal">
      <formula>0</formula>
    </cfRule>
  </conditionalFormatting>
  <conditionalFormatting sqref="P8:P12">
    <cfRule type="cellIs" dxfId="240" priority="44" operator="equal">
      <formula>0</formula>
    </cfRule>
  </conditionalFormatting>
  <conditionalFormatting sqref="M8:M12">
    <cfRule type="cellIs" dxfId="239" priority="43" operator="equal">
      <formula>0</formula>
    </cfRule>
  </conditionalFormatting>
  <conditionalFormatting sqref="T8:T12">
    <cfRule type="cellIs" dxfId="238" priority="42" operator="equal">
      <formula>0</formula>
    </cfRule>
  </conditionalFormatting>
  <conditionalFormatting sqref="N8:N12">
    <cfRule type="cellIs" dxfId="237" priority="41" operator="equal">
      <formula>0</formula>
    </cfRule>
  </conditionalFormatting>
  <conditionalFormatting sqref="K8:K12">
    <cfRule type="cellIs" dxfId="236" priority="40" operator="equal">
      <formula>0</formula>
    </cfRule>
  </conditionalFormatting>
  <conditionalFormatting sqref="W8:W12">
    <cfRule type="cellIs" dxfId="235" priority="38" operator="equal">
      <formula>0</formula>
    </cfRule>
  </conditionalFormatting>
  <conditionalFormatting sqref="C60:C61">
    <cfRule type="expression" dxfId="234" priority="32" stopIfTrue="1">
      <formula>IF( $AH60 = 1, TRUE, FALSE )</formula>
    </cfRule>
    <cfRule type="expression" dxfId="233" priority="33" stopIfTrue="1">
      <formula>IF( $AG60 = 1, TRUE, FALSE )</formula>
    </cfRule>
    <cfRule type="expression" dxfId="232" priority="34" stopIfTrue="1">
      <formula>IF( $AF60 = 1, TRUE, FALSE )</formula>
    </cfRule>
  </conditionalFormatting>
  <conditionalFormatting sqref="C67">
    <cfRule type="expression" dxfId="231" priority="35" stopIfTrue="1">
      <formula>IF( $AH67 = 1, TRUE, FALSE )</formula>
    </cfRule>
    <cfRule type="expression" dxfId="230" priority="36" stopIfTrue="1">
      <formula>IF( $AG67 = 1, TRUE, FALSE )</formula>
    </cfRule>
    <cfRule type="expression" dxfId="229" priority="37" stopIfTrue="1">
      <formula>IF( $AF67 = 1, TRUE, FALSE )</formula>
    </cfRule>
  </conditionalFormatting>
  <conditionalFormatting sqref="C66">
    <cfRule type="expression" dxfId="228" priority="29" stopIfTrue="1">
      <formula>IF( $AH66 = 1, TRUE, FALSE )</formula>
    </cfRule>
    <cfRule type="expression" dxfId="227" priority="30" stopIfTrue="1">
      <formula>IF( $AG66 = 1, TRUE, FALSE )</formula>
    </cfRule>
    <cfRule type="expression" dxfId="226" priority="31" stopIfTrue="1">
      <formula>IF( $AF66 = 1, TRUE, FALSE )</formula>
    </cfRule>
  </conditionalFormatting>
  <conditionalFormatting sqref="C7:C58">
    <cfRule type="expression" dxfId="225" priority="26" stopIfTrue="1">
      <formula>IF( $AH7 = 1, TRUE, FALSE )</formula>
    </cfRule>
    <cfRule type="expression" dxfId="224" priority="27" stopIfTrue="1">
      <formula>IF( $AG7 = 1, TRUE, FALSE )</formula>
    </cfRule>
    <cfRule type="expression" dxfId="223" priority="28" stopIfTrue="1">
      <formula>IF( $AF7 = 1, TRUE, FALSE )</formula>
    </cfRule>
  </conditionalFormatting>
  <conditionalFormatting sqref="C59">
    <cfRule type="expression" dxfId="222" priority="23" stopIfTrue="1">
      <formula>IF( $AH59 = 1, TRUE, FALSE )</formula>
    </cfRule>
    <cfRule type="expression" dxfId="221" priority="24" stopIfTrue="1">
      <formula>IF( $AG59 = 1, TRUE, FALSE )</formula>
    </cfRule>
    <cfRule type="expression" dxfId="220" priority="25" stopIfTrue="1">
      <formula>IF( $AF59 = 1, TRUE, FALSE )</formula>
    </cfRule>
  </conditionalFormatting>
  <conditionalFormatting sqref="C62:C65">
    <cfRule type="expression" dxfId="219" priority="20" stopIfTrue="1">
      <formula>IF( $AH62 = 1, TRUE, FALSE )</formula>
    </cfRule>
    <cfRule type="expression" dxfId="218" priority="21" stopIfTrue="1">
      <formula>IF( $AG62 = 1, TRUE, FALSE )</formula>
    </cfRule>
    <cfRule type="expression" dxfId="217" priority="22" stopIfTrue="1">
      <formula>IF( $AF62 = 1, TRUE, FALSE )</formula>
    </cfRule>
  </conditionalFormatting>
  <conditionalFormatting sqref="D60:E61 E7:E59 E62:E65">
    <cfRule type="expression" dxfId="216" priority="14" stopIfTrue="1">
      <formula>IF( $AH7 = 1, TRUE, FALSE )</formula>
    </cfRule>
    <cfRule type="expression" dxfId="215" priority="15" stopIfTrue="1">
      <formula>IF( $AG7 = 1, TRUE, FALSE )</formula>
    </cfRule>
    <cfRule type="expression" dxfId="214" priority="16" stopIfTrue="1">
      <formula>IF( $AF7 = 1, TRUE, FALSE )</formula>
    </cfRule>
  </conditionalFormatting>
  <conditionalFormatting sqref="D67:E67">
    <cfRule type="expression" dxfId="213" priority="17" stopIfTrue="1">
      <formula>IF( $AH67 = 1, TRUE, FALSE )</formula>
    </cfRule>
    <cfRule type="expression" dxfId="212" priority="18" stopIfTrue="1">
      <formula>IF( $AG67 = 1, TRUE, FALSE )</formula>
    </cfRule>
    <cfRule type="expression" dxfId="211" priority="19" stopIfTrue="1">
      <formula>IF( $AF67 = 1, TRUE, FALSE )</formula>
    </cfRule>
  </conditionalFormatting>
  <conditionalFormatting sqref="D66:E66">
    <cfRule type="expression" dxfId="210" priority="11" stopIfTrue="1">
      <formula>IF( $AH66 = 1, TRUE, FALSE )</formula>
    </cfRule>
    <cfRule type="expression" dxfId="209" priority="12" stopIfTrue="1">
      <formula>IF( $AG66 = 1, TRUE, FALSE )</formula>
    </cfRule>
    <cfRule type="expression" dxfId="208" priority="13" stopIfTrue="1">
      <formula>IF( $AF66 = 1, TRUE, FALSE )</formula>
    </cfRule>
  </conditionalFormatting>
  <conditionalFormatting sqref="D7:D58">
    <cfRule type="expression" dxfId="207" priority="8" stopIfTrue="1">
      <formula>IF( $AH7 = 1, TRUE, FALSE )</formula>
    </cfRule>
    <cfRule type="expression" dxfId="206" priority="9" stopIfTrue="1">
      <formula>IF( $AG7 = 1, TRUE, FALSE )</formula>
    </cfRule>
    <cfRule type="expression" dxfId="205" priority="10" stopIfTrue="1">
      <formula>IF( $AF7 = 1, TRUE, FALSE )</formula>
    </cfRule>
  </conditionalFormatting>
  <conditionalFormatting sqref="D59">
    <cfRule type="expression" dxfId="204" priority="5" stopIfTrue="1">
      <formula>IF( $AH59 = 1, TRUE, FALSE )</formula>
    </cfRule>
    <cfRule type="expression" dxfId="203" priority="6" stopIfTrue="1">
      <formula>IF( $AG59 = 1, TRUE, FALSE )</formula>
    </cfRule>
    <cfRule type="expression" dxfId="202" priority="7" stopIfTrue="1">
      <formula>IF( $AF59 = 1, TRUE, FALSE )</formula>
    </cfRule>
  </conditionalFormatting>
  <conditionalFormatting sqref="D62:D65">
    <cfRule type="expression" dxfId="201" priority="2" stopIfTrue="1">
      <formula>IF( $AH62 = 1, TRUE, FALSE )</formula>
    </cfRule>
    <cfRule type="expression" dxfId="200" priority="3" stopIfTrue="1">
      <formula>IF( $AG62 = 1, TRUE, FALSE )</formula>
    </cfRule>
    <cfRule type="expression" dxfId="199" priority="4" stopIfTrue="1">
      <formula>IF( $AF62 = 1, TRUE, FALSE )</formula>
    </cfRule>
  </conditionalFormatting>
  <conditionalFormatting sqref="I8:I12">
    <cfRule type="cellIs" dxfId="198" priority="1" operator="equal">
      <formula>0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BJ82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customWidth="1"/>
    <col min="23" max="23" width="2" style="168" customWidth="1"/>
    <col min="24" max="24" width="4.109375" style="168" bestFit="1" customWidth="1"/>
    <col min="25" max="25" width="5.5546875" style="168" bestFit="1" customWidth="1"/>
    <col min="26" max="26" width="2.44140625" style="168" bestFit="1" customWidth="1"/>
    <col min="27" max="27" width="4.33203125" style="168" bestFit="1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7.88671875" style="169" hidden="1" customWidth="1" outlineLevel="1" collapsed="1"/>
    <col min="37" max="38" width="9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3.441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style="168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-- 2012 Q3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</row>
    <row r="2" spans="1:61" ht="18" hidden="1" outlineLevel="1" x14ac:dyDescent="0.25">
      <c r="A2" s="167"/>
      <c r="E2" s="171" t="str">
        <f>G2</f>
        <v>Reg_Percent_2011</v>
      </c>
      <c r="G2" s="172" t="s">
        <v>414</v>
      </c>
      <c r="AJ2" s="173" t="str">
        <f>AJ4 &amp; AJ3</f>
        <v>'Credit_2012Q2'!a:a</v>
      </c>
      <c r="AK2" s="173" t="str">
        <f>AK4 &amp; AK3</f>
        <v>'Credit_2012Q2'!b1</v>
      </c>
      <c r="AL2" s="173" t="str">
        <f>AL4 &amp; AL3</f>
        <v>'Credit_2012Q2'!c1</v>
      </c>
    </row>
    <row r="3" spans="1:61" ht="18" hidden="1" outlineLevel="1" x14ac:dyDescent="0.25">
      <c r="A3" s="167"/>
      <c r="E3" s="174" t="str">
        <f>"'" &amp; E2 &amp; "'!"</f>
        <v>'Reg_Percent_2011'!</v>
      </c>
      <c r="G3" s="168" t="str">
        <f>"'" &amp; G2 &amp; "'!"</f>
        <v>'Reg_Percent_2011'!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406</v>
      </c>
      <c r="AK3" s="149" t="s">
        <v>206</v>
      </c>
      <c r="AL3" s="149" t="s">
        <v>207</v>
      </c>
    </row>
    <row r="4" spans="1:61" ht="18" hidden="1" outlineLevel="1" x14ac:dyDescent="0.25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6" t="s">
        <v>422</v>
      </c>
      <c r="AK4" s="169" t="str">
        <f>AJ4</f>
        <v>'Credit_2012Q2'!</v>
      </c>
      <c r="AL4" s="169" t="str">
        <f>AK4</f>
        <v>'Credit_2012Q2'!</v>
      </c>
    </row>
    <row r="5" spans="1:61" ht="13.8" collapsed="1" x14ac:dyDescent="0.25">
      <c r="E5" s="176" t="s">
        <v>209</v>
      </c>
      <c r="G5" s="170" t="s">
        <v>199</v>
      </c>
      <c r="I5" s="230"/>
      <c r="J5" s="389" t="s">
        <v>210</v>
      </c>
      <c r="K5" s="230"/>
      <c r="L5" s="391" t="str">
        <f>"All Companies" &amp; CHAR( 10 ) &amp; "("&amp; L14 &amp; ")"</f>
        <v>All Companies
(56)</v>
      </c>
      <c r="M5" s="391"/>
      <c r="N5" s="230"/>
      <c r="O5" s="389" t="str">
        <f ca="1">"Regulated" &amp; CHAR( 10 ) &amp; "(" &amp; O14 &amp; ")"</f>
        <v>Regulated
(36)</v>
      </c>
      <c r="P5" s="393"/>
      <c r="Q5" s="230"/>
      <c r="R5" s="389" t="str">
        <f ca="1">"Mostly Regulated" &amp; CHAR( 10 ) &amp; "(" &amp; R14 &amp; ")"</f>
        <v>Mostly Regulated
(17)</v>
      </c>
      <c r="S5" s="393"/>
      <c r="T5" s="230"/>
      <c r="U5" s="389" t="str">
        <f ca="1">"Diversified" &amp; CHAR( 10 ) &amp; "(" &amp; U14 &amp; ")"</f>
        <v>Diversified
(3)</v>
      </c>
      <c r="V5" s="393"/>
      <c r="W5" s="230"/>
      <c r="AE5" s="177"/>
      <c r="AF5" s="168"/>
      <c r="AG5" s="168"/>
      <c r="AH5" s="168"/>
      <c r="AJ5" s="168"/>
      <c r="AK5" s="168"/>
      <c r="AL5" s="168"/>
      <c r="AM5" s="168"/>
      <c r="AN5" s="168"/>
    </row>
    <row r="6" spans="1:61" ht="28.5" customHeight="1" x14ac:dyDescent="0.25">
      <c r="A6" s="219" t="s">
        <v>212</v>
      </c>
      <c r="B6" s="220" t="s">
        <v>50</v>
      </c>
      <c r="C6" s="249" t="s">
        <v>214</v>
      </c>
      <c r="D6" s="221"/>
      <c r="E6" s="222">
        <v>40908</v>
      </c>
      <c r="I6" s="231"/>
      <c r="J6" s="390"/>
      <c r="K6" s="231"/>
      <c r="L6" s="392"/>
      <c r="M6" s="392"/>
      <c r="N6" s="231"/>
      <c r="O6" s="390"/>
      <c r="P6" s="390"/>
      <c r="Q6" s="231"/>
      <c r="R6" s="390" t="s">
        <v>136</v>
      </c>
      <c r="S6" s="390"/>
      <c r="T6" s="231"/>
      <c r="U6" s="390"/>
      <c r="V6" s="390"/>
      <c r="W6" s="231"/>
      <c r="AE6" s="178"/>
      <c r="AJ6" s="179"/>
    </row>
    <row r="7" spans="1:61" ht="13.8" x14ac:dyDescent="0.25">
      <c r="A7" s="223" t="s">
        <v>293</v>
      </c>
      <c r="B7" s="224" t="s">
        <v>166</v>
      </c>
      <c r="C7" s="224">
        <v>21</v>
      </c>
      <c r="D7" s="224" t="s">
        <v>294</v>
      </c>
      <c r="E7" s="225" t="str">
        <f t="shared" ref="E7:E59" ca="1" si="0">OFFSET( INDIRECT( E$3 &amp; E$4 ), $G7 - 1, 0 )</f>
        <v>R</v>
      </c>
      <c r="F7" s="348"/>
      <c r="G7" s="349">
        <f t="shared" ref="G7:G65" ca="1" si="1">IF( LEN( $D7 ) = 0, "", MATCH( $D7, INDIRECT( G$3 &amp; G$4 ), 0 ) )</f>
        <v>53</v>
      </c>
      <c r="H7" s="350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t="shared" ref="AJ7:AJ67" ca="1" si="4">MATCH( $A7,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5">IF( B7 = AK7, "", "Change" )</f>
        <v/>
      </c>
      <c r="AQ7" s="207" t="s">
        <v>217</v>
      </c>
      <c r="AR7" s="207" t="s">
        <v>140</v>
      </c>
      <c r="AS7" s="207">
        <v>19</v>
      </c>
      <c r="AT7" s="207" t="s">
        <v>218</v>
      </c>
      <c r="AV7" s="168">
        <f>IF( LEN( AS7 ) = 0, 99, RANK( AS7, $AS$7:$AS$63 ) )</f>
        <v>10</v>
      </c>
      <c r="AW7" s="168">
        <f>COUNTIF( AV7:AV$7, AV7 )</f>
        <v>1</v>
      </c>
      <c r="AX7" s="208">
        <f>AV7 + AW7 / 10</f>
        <v>10.1</v>
      </c>
      <c r="AY7" s="168">
        <f>RANK( AX7, $AX$7:$AX$63, 1 )</f>
        <v>10</v>
      </c>
      <c r="AZ7" s="169"/>
      <c r="BA7" s="169"/>
      <c r="BC7" s="168">
        <f t="shared" ref="BC7" ca="1" si="6">OFFSET( BC7, -1, 0 ) + 1</f>
        <v>1</v>
      </c>
      <c r="BD7" s="209">
        <f t="shared" ref="BD7:BD62" ca="1" si="7">MATCH( BC7, $AY$7:$AY$63, 0 )</f>
        <v>47</v>
      </c>
      <c r="BF7" s="173" t="str">
        <f t="shared" ref="BF7:BF38" ca="1" si="8">OFFSET( AQ$6, $BD7, 0 )</f>
        <v>Southern Company</v>
      </c>
      <c r="BG7" s="173" t="str">
        <f t="shared" ref="BG7:BI62" ca="1" si="9">OFFSET( AR$6, $BD7, 0 )</f>
        <v>A</v>
      </c>
      <c r="BH7" s="173">
        <f t="shared" ca="1" si="9"/>
        <v>21</v>
      </c>
      <c r="BI7" s="173" t="str">
        <f t="shared" ca="1" si="9"/>
        <v>SO</v>
      </c>
    </row>
    <row r="8" spans="1:61" ht="13.8" x14ac:dyDescent="0.25">
      <c r="A8" s="223" t="s">
        <v>227</v>
      </c>
      <c r="B8" s="224" t="s">
        <v>139</v>
      </c>
      <c r="C8" s="224">
        <v>20</v>
      </c>
      <c r="D8" s="224" t="s">
        <v>228</v>
      </c>
      <c r="E8" s="225" t="str">
        <f t="shared" ca="1" si="0"/>
        <v>R</v>
      </c>
      <c r="F8" s="348"/>
      <c r="G8" s="349">
        <f t="shared" ca="1" si="1"/>
        <v>18</v>
      </c>
      <c r="H8" s="350"/>
      <c r="I8" s="233"/>
      <c r="J8" s="213" t="s">
        <v>137</v>
      </c>
      <c r="K8" s="233"/>
      <c r="L8" s="213">
        <f t="shared" ref="L8:L13" si="10">COUNTIF($C$7:$C$67,$X8)</f>
        <v>3</v>
      </c>
      <c r="M8" s="214">
        <f t="shared" ref="M8:M13" si="11">IF( L8 = 0, "", L8/L$14 )</f>
        <v>5.3571428571428568E-2</v>
      </c>
      <c r="N8" s="233"/>
      <c r="O8" s="213">
        <f t="shared" ref="O8:O13" ca="1" si="12">COUNTIFS( $E$7:$E$66, O$3, $C$7:$C$66, $X8 )</f>
        <v>2</v>
      </c>
      <c r="P8" s="214">
        <f t="shared" ref="P8:P13" ca="1" si="13">IF( O8 = 0, "", O8/O$14 )</f>
        <v>5.5555555555555552E-2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5.8823529411764705E-2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8">SUM(O8, R8, U8)</f>
        <v>3</v>
      </c>
      <c r="AC8" s="351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ca="1" si="4"/>
        <v>8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5"/>
        <v/>
      </c>
      <c r="AQ8" s="207" t="s">
        <v>219</v>
      </c>
      <c r="AR8" s="207" t="s">
        <v>140</v>
      </c>
      <c r="AS8" s="207">
        <v>19</v>
      </c>
      <c r="AT8" s="207" t="s">
        <v>220</v>
      </c>
      <c r="AV8" s="168">
        <f t="shared" ref="AV8:AV63" si="21">IF( LEN( AS8 ) = 0, 99, RANK( AS8, $AS$7:$AS$63 ) )</f>
        <v>10</v>
      </c>
      <c r="AW8" s="168">
        <f>COUNTIF( AV$7:AV8, AV8 )</f>
        <v>2</v>
      </c>
      <c r="AX8" s="208">
        <f t="shared" ref="AX8:AX63" si="22">AV8 + AW8 / 10</f>
        <v>10.199999999999999</v>
      </c>
      <c r="AY8" s="168">
        <f t="shared" ref="AY8:AY63" si="23">RANK( AX8, $AX$7:$AX$63, 1 )</f>
        <v>11</v>
      </c>
      <c r="AZ8" s="169"/>
      <c r="BA8" s="169"/>
      <c r="BC8" s="168">
        <f ca="1">OFFSET( BC8, -1, 0 ) + 1</f>
        <v>2</v>
      </c>
      <c r="BD8" s="209">
        <f t="shared" ca="1" si="7"/>
        <v>10</v>
      </c>
      <c r="BF8" s="173" t="str">
        <f t="shared" ca="1" si="8"/>
        <v>Consolidated Edison, Inc.</v>
      </c>
      <c r="BG8" s="173" t="str">
        <f t="shared" ca="1" si="9"/>
        <v>A-</v>
      </c>
      <c r="BH8" s="173">
        <f t="shared" ca="1" si="9"/>
        <v>20</v>
      </c>
      <c r="BI8" s="173" t="str">
        <f t="shared" ca="1" si="9"/>
        <v>ED</v>
      </c>
    </row>
    <row r="9" spans="1:61" ht="13.8" x14ac:dyDescent="0.25">
      <c r="A9" s="223" t="s">
        <v>361</v>
      </c>
      <c r="B9" s="224" t="s">
        <v>139</v>
      </c>
      <c r="C9" s="224">
        <v>20</v>
      </c>
      <c r="D9" s="224" t="s">
        <v>194</v>
      </c>
      <c r="E9" s="225" t="str">
        <f t="shared" ca="1" si="0"/>
        <v>MR</v>
      </c>
      <c r="F9" s="348"/>
      <c r="G9" s="349">
        <f t="shared" ca="1" si="1"/>
        <v>20</v>
      </c>
      <c r="H9" s="350"/>
      <c r="I9" s="234"/>
      <c r="J9" s="215" t="s">
        <v>139</v>
      </c>
      <c r="K9" s="234"/>
      <c r="L9" s="215">
        <f t="shared" si="10"/>
        <v>8</v>
      </c>
      <c r="M9" s="216">
        <f t="shared" si="11"/>
        <v>0.14285714285714285</v>
      </c>
      <c r="N9" s="234"/>
      <c r="O9" s="215">
        <f t="shared" ca="1" si="12"/>
        <v>6</v>
      </c>
      <c r="P9" s="216">
        <f t="shared" ca="1" si="13"/>
        <v>0.16666666666666666</v>
      </c>
      <c r="Q9" s="234"/>
      <c r="R9" s="215">
        <f t="shared" ca="1" si="14"/>
        <v>2</v>
      </c>
      <c r="S9" s="216">
        <f t="shared" ca="1" si="15"/>
        <v>0.11764705882352941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8"/>
        <v>8</v>
      </c>
      <c r="AC9" s="351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9"/>
        <v/>
      </c>
      <c r="AJ9" s="169">
        <f t="shared" ca="1" si="4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5"/>
        <v/>
      </c>
      <c r="AQ9" s="207" t="s">
        <v>225</v>
      </c>
      <c r="AR9" s="207" t="s">
        <v>142</v>
      </c>
      <c r="AS9" s="207">
        <v>17</v>
      </c>
      <c r="AT9" s="207" t="s">
        <v>226</v>
      </c>
      <c r="AV9" s="168">
        <f t="shared" si="21"/>
        <v>39</v>
      </c>
      <c r="AW9" s="168">
        <f>COUNTIF( AV$7:AV9, AV9 )</f>
        <v>1</v>
      </c>
      <c r="AX9" s="208">
        <f t="shared" si="22"/>
        <v>39.1</v>
      </c>
      <c r="AY9" s="168">
        <f t="shared" si="23"/>
        <v>39</v>
      </c>
      <c r="AZ9" s="169"/>
      <c r="BA9" s="169"/>
      <c r="BC9" s="168">
        <f t="shared" ref="BC9:BC63" ca="1" si="24">OFFSET( BC9, -1, 0 ) + 1</f>
        <v>3</v>
      </c>
      <c r="BD9" s="209">
        <f t="shared" ca="1" si="7"/>
        <v>11</v>
      </c>
      <c r="BF9" s="173" t="str">
        <f t="shared" ca="1" si="8"/>
        <v>Dominion Resources, Inc.</v>
      </c>
      <c r="BG9" s="173" t="str">
        <f t="shared" ca="1" si="9"/>
        <v>A-</v>
      </c>
      <c r="BH9" s="173">
        <f t="shared" ca="1" si="9"/>
        <v>20</v>
      </c>
      <c r="BI9" s="173" t="str">
        <f t="shared" ca="1" si="9"/>
        <v>D</v>
      </c>
    </row>
    <row r="10" spans="1:61" ht="13.8" x14ac:dyDescent="0.25">
      <c r="A10" s="223" t="s">
        <v>395</v>
      </c>
      <c r="B10" s="224" t="s">
        <v>139</v>
      </c>
      <c r="C10" s="224">
        <v>20</v>
      </c>
      <c r="D10" s="224" t="s">
        <v>396</v>
      </c>
      <c r="E10" s="225" t="str">
        <f t="shared" ca="1" si="0"/>
        <v>R</v>
      </c>
      <c r="F10" s="348"/>
      <c r="G10" s="349">
        <f t="shared" ca="1" si="1"/>
        <v>32</v>
      </c>
      <c r="H10" s="350"/>
      <c r="I10" s="234"/>
      <c r="J10" s="215" t="s">
        <v>140</v>
      </c>
      <c r="K10" s="234"/>
      <c r="L10" s="215">
        <f t="shared" si="10"/>
        <v>13</v>
      </c>
      <c r="M10" s="216">
        <f t="shared" si="11"/>
        <v>0.23214285714285715</v>
      </c>
      <c r="N10" s="234"/>
      <c r="O10" s="215">
        <f t="shared" ca="1" si="12"/>
        <v>5</v>
      </c>
      <c r="P10" s="216">
        <f t="shared" ca="1" si="13"/>
        <v>0.1388888888888889</v>
      </c>
      <c r="Q10" s="234"/>
      <c r="R10" s="215">
        <f t="shared" ca="1" si="14"/>
        <v>7</v>
      </c>
      <c r="S10" s="216">
        <f t="shared" ca="1" si="15"/>
        <v>0.41176470588235292</v>
      </c>
      <c r="T10" s="234"/>
      <c r="U10" s="215">
        <f t="shared" ca="1" si="16"/>
        <v>1</v>
      </c>
      <c r="V10" s="216">
        <f t="shared" ca="1" si="17"/>
        <v>0.33333333333333331</v>
      </c>
      <c r="W10" s="234"/>
      <c r="X10" s="186" t="s">
        <v>229</v>
      </c>
      <c r="Y10" s="186">
        <v>19</v>
      </c>
      <c r="Z10" s="186">
        <v>1</v>
      </c>
      <c r="AA10" s="185">
        <f t="shared" ca="1" si="18"/>
        <v>13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4"/>
        <v>11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5"/>
        <v/>
      </c>
      <c r="AQ10" s="207" t="s">
        <v>222</v>
      </c>
      <c r="AR10" s="207" t="s">
        <v>141</v>
      </c>
      <c r="AS10" s="207">
        <v>18</v>
      </c>
      <c r="AT10" s="207" t="s">
        <v>223</v>
      </c>
      <c r="AV10" s="168">
        <f t="shared" si="21"/>
        <v>23</v>
      </c>
      <c r="AW10" s="168">
        <f>COUNTIF( AV$7:AV10, AV10 )</f>
        <v>1</v>
      </c>
      <c r="AX10" s="208">
        <f t="shared" si="22"/>
        <v>23.1</v>
      </c>
      <c r="AY10" s="168">
        <f t="shared" si="23"/>
        <v>23</v>
      </c>
      <c r="AZ10" s="169"/>
      <c r="BA10" s="169"/>
      <c r="BC10" s="168">
        <f t="shared" ca="1" si="24"/>
        <v>4</v>
      </c>
      <c r="BD10" s="209">
        <f t="shared" ca="1" si="7"/>
        <v>26</v>
      </c>
      <c r="BF10" s="173" t="str">
        <f t="shared" ca="1" si="8"/>
        <v>Integrys Energy Group, Inc.</v>
      </c>
      <c r="BG10" s="173" t="str">
        <f t="shared" ca="1" si="9"/>
        <v>A-</v>
      </c>
      <c r="BH10" s="173">
        <f t="shared" ca="1" si="9"/>
        <v>20</v>
      </c>
      <c r="BI10" s="173" t="str">
        <f t="shared" ca="1" si="9"/>
        <v>TEG</v>
      </c>
    </row>
    <row r="11" spans="1:61" ht="13.8" x14ac:dyDescent="0.25">
      <c r="A11" s="223" t="s">
        <v>240</v>
      </c>
      <c r="B11" s="224" t="s">
        <v>139</v>
      </c>
      <c r="C11" s="224">
        <v>20</v>
      </c>
      <c r="D11" s="224" t="s">
        <v>241</v>
      </c>
      <c r="E11" s="225" t="str">
        <f t="shared" ca="1" si="0"/>
        <v>MR</v>
      </c>
      <c r="F11" s="348"/>
      <c r="G11" s="349">
        <f t="shared" ca="1" si="1"/>
        <v>35</v>
      </c>
      <c r="H11" s="350"/>
      <c r="I11" s="234"/>
      <c r="J11" s="215" t="s">
        <v>141</v>
      </c>
      <c r="K11" s="234"/>
      <c r="L11" s="215">
        <f t="shared" si="10"/>
        <v>16</v>
      </c>
      <c r="M11" s="216">
        <f t="shared" si="11"/>
        <v>0.2857142857142857</v>
      </c>
      <c r="N11" s="234"/>
      <c r="O11" s="215">
        <f t="shared" ca="1" si="12"/>
        <v>13</v>
      </c>
      <c r="P11" s="216">
        <f t="shared" ca="1" si="13"/>
        <v>0.3611111111111111</v>
      </c>
      <c r="Q11" s="234"/>
      <c r="R11" s="215">
        <f t="shared" ca="1" si="14"/>
        <v>3</v>
      </c>
      <c r="S11" s="216">
        <f t="shared" ca="1" si="15"/>
        <v>0.17647058823529413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8"/>
        <v>16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4"/>
        <v>12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5"/>
        <v/>
      </c>
      <c r="AQ11" s="207" t="s">
        <v>238</v>
      </c>
      <c r="AR11" s="207" t="s">
        <v>141</v>
      </c>
      <c r="AS11" s="207">
        <v>18</v>
      </c>
      <c r="AT11" s="207" t="s">
        <v>239</v>
      </c>
      <c r="AV11" s="168">
        <f t="shared" si="21"/>
        <v>23</v>
      </c>
      <c r="AW11" s="168">
        <f>COUNTIF( AV$7:AV11, AV11 )</f>
        <v>2</v>
      </c>
      <c r="AX11" s="208">
        <f t="shared" si="22"/>
        <v>23.2</v>
      </c>
      <c r="AY11" s="168">
        <f t="shared" si="23"/>
        <v>24</v>
      </c>
      <c r="AZ11" s="169"/>
      <c r="BA11" s="169"/>
      <c r="BC11" s="168">
        <f t="shared" ca="1" si="24"/>
        <v>5</v>
      </c>
      <c r="BD11" s="209">
        <f t="shared" ca="1" si="7"/>
        <v>30</v>
      </c>
      <c r="BF11" s="173" t="str">
        <f t="shared" ca="1" si="8"/>
        <v>NextEra Energy, Inc.</v>
      </c>
      <c r="BG11" s="173" t="str">
        <f t="shared" ca="1" si="9"/>
        <v>A-</v>
      </c>
      <c r="BH11" s="173">
        <f t="shared" ca="1" si="9"/>
        <v>20</v>
      </c>
      <c r="BI11" s="173" t="str">
        <f t="shared" ca="1" si="9"/>
        <v>NEE</v>
      </c>
    </row>
    <row r="12" spans="1:61" ht="13.8" x14ac:dyDescent="0.25">
      <c r="A12" s="223" t="s">
        <v>394</v>
      </c>
      <c r="B12" s="224" t="s">
        <v>139</v>
      </c>
      <c r="C12" s="224">
        <v>20</v>
      </c>
      <c r="D12" s="224" t="s">
        <v>236</v>
      </c>
      <c r="E12" s="225" t="str">
        <f t="shared" ca="1" si="0"/>
        <v>R</v>
      </c>
      <c r="F12" s="348"/>
      <c r="G12" s="349">
        <f t="shared" ca="1" si="1"/>
        <v>37</v>
      </c>
      <c r="H12" s="350"/>
      <c r="I12" s="234"/>
      <c r="J12" s="215" t="s">
        <v>142</v>
      </c>
      <c r="K12" s="234"/>
      <c r="L12" s="215">
        <f t="shared" si="10"/>
        <v>12</v>
      </c>
      <c r="M12" s="216">
        <f t="shared" si="11"/>
        <v>0.21428571428571427</v>
      </c>
      <c r="N12" s="234"/>
      <c r="O12" s="215">
        <f t="shared" ca="1" si="12"/>
        <v>7</v>
      </c>
      <c r="P12" s="216">
        <f t="shared" ca="1" si="13"/>
        <v>0.19444444444444445</v>
      </c>
      <c r="Q12" s="234"/>
      <c r="R12" s="215">
        <f t="shared" ca="1" si="14"/>
        <v>4</v>
      </c>
      <c r="S12" s="216">
        <f t="shared" ca="1" si="15"/>
        <v>0.23529411764705882</v>
      </c>
      <c r="T12" s="234"/>
      <c r="U12" s="215">
        <f t="shared" ca="1" si="16"/>
        <v>1</v>
      </c>
      <c r="V12" s="216">
        <f t="shared" ca="1" si="17"/>
        <v>0.33333333333333331</v>
      </c>
      <c r="W12" s="234"/>
      <c r="X12" s="186" t="s">
        <v>237</v>
      </c>
      <c r="Y12" s="186">
        <v>17</v>
      </c>
      <c r="Z12" s="186">
        <v>1</v>
      </c>
      <c r="AA12" s="185">
        <f t="shared" ca="1" si="18"/>
        <v>12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4"/>
        <v>13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5"/>
        <v/>
      </c>
      <c r="AQ12" s="207" t="s">
        <v>245</v>
      </c>
      <c r="AR12" s="207" t="s">
        <v>142</v>
      </c>
      <c r="AS12" s="207">
        <v>17</v>
      </c>
      <c r="AT12" s="207" t="s">
        <v>246</v>
      </c>
      <c r="AV12" s="168">
        <f t="shared" si="21"/>
        <v>39</v>
      </c>
      <c r="AW12" s="168">
        <f>COUNTIF( AV$7:AV12, AV12 )</f>
        <v>2</v>
      </c>
      <c r="AX12" s="208">
        <f t="shared" si="22"/>
        <v>39.200000000000003</v>
      </c>
      <c r="AY12" s="168">
        <f t="shared" si="23"/>
        <v>40</v>
      </c>
      <c r="AZ12" s="169"/>
      <c r="BA12" s="169"/>
      <c r="BC12" s="168">
        <f t="shared" ca="1" si="24"/>
        <v>6</v>
      </c>
      <c r="BD12" s="209">
        <f t="shared" ca="1" si="7"/>
        <v>32</v>
      </c>
      <c r="BF12" s="173" t="str">
        <f t="shared" ca="1" si="8"/>
        <v>Eversource</v>
      </c>
      <c r="BG12" s="173" t="str">
        <f t="shared" ca="1" si="9"/>
        <v>A-</v>
      </c>
      <c r="BH12" s="173">
        <f t="shared" ca="1" si="9"/>
        <v>20</v>
      </c>
      <c r="BI12" s="173" t="str">
        <f t="shared" ca="1" si="9"/>
        <v>ES</v>
      </c>
    </row>
    <row r="13" spans="1:61" ht="13.8" x14ac:dyDescent="0.25">
      <c r="A13" s="223" t="s">
        <v>345</v>
      </c>
      <c r="B13" s="224" t="s">
        <v>139</v>
      </c>
      <c r="C13" s="224">
        <v>20</v>
      </c>
      <c r="D13" s="224" t="s">
        <v>346</v>
      </c>
      <c r="E13" s="225" t="str">
        <f t="shared" ca="1" si="0"/>
        <v>R</v>
      </c>
      <c r="F13" s="348"/>
      <c r="G13" s="349">
        <f t="shared" ca="1" si="1"/>
        <v>58</v>
      </c>
      <c r="H13" s="350"/>
      <c r="I13" s="235"/>
      <c r="J13" s="217" t="s">
        <v>143</v>
      </c>
      <c r="K13" s="235"/>
      <c r="L13" s="217">
        <f t="shared" si="10"/>
        <v>4</v>
      </c>
      <c r="M13" s="218">
        <f t="shared" si="11"/>
        <v>7.1428571428571425E-2</v>
      </c>
      <c r="N13" s="235"/>
      <c r="O13" s="217">
        <f t="shared" ca="1" si="12"/>
        <v>3</v>
      </c>
      <c r="P13" s="218">
        <f t="shared" ca="1" si="13"/>
        <v>8.3333333333333329E-2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1</v>
      </c>
      <c r="V13" s="218">
        <f t="shared" ca="1" si="17"/>
        <v>0.33333333333333331</v>
      </c>
      <c r="W13" s="235"/>
      <c r="X13" s="186" t="s">
        <v>242</v>
      </c>
      <c r="Y13" s="186">
        <v>16</v>
      </c>
      <c r="Z13" s="186">
        <v>1</v>
      </c>
      <c r="AA13" s="188">
        <f t="shared" ca="1" si="18"/>
        <v>4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9"/>
        <v/>
      </c>
      <c r="AJ13" s="169">
        <f t="shared" ca="1" si="4"/>
        <v>14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5"/>
        <v/>
      </c>
      <c r="AQ13" s="207" t="s">
        <v>249</v>
      </c>
      <c r="AR13" s="207" t="s">
        <v>140</v>
      </c>
      <c r="AS13" s="207">
        <v>19</v>
      </c>
      <c r="AT13" s="207" t="s">
        <v>250</v>
      </c>
      <c r="AV13" s="168">
        <f t="shared" si="21"/>
        <v>10</v>
      </c>
      <c r="AW13" s="168">
        <f>COUNTIF( AV$7:AV13, AV13 )</f>
        <v>3</v>
      </c>
      <c r="AX13" s="208">
        <f t="shared" si="22"/>
        <v>10.3</v>
      </c>
      <c r="AY13" s="168">
        <f t="shared" si="23"/>
        <v>12</v>
      </c>
      <c r="AZ13" s="169"/>
      <c r="BA13" s="169"/>
      <c r="BC13" s="168">
        <f t="shared" ca="1" si="24"/>
        <v>7</v>
      </c>
      <c r="BD13" s="209">
        <f t="shared" ca="1" si="7"/>
        <v>50</v>
      </c>
      <c r="BF13" s="173" t="str">
        <f t="shared" ca="1" si="8"/>
        <v>Vectren Corporation</v>
      </c>
      <c r="BG13" s="173" t="str">
        <f t="shared" ca="1" si="9"/>
        <v>A-</v>
      </c>
      <c r="BH13" s="173">
        <f t="shared" ca="1" si="9"/>
        <v>20</v>
      </c>
      <c r="BI13" s="173" t="str">
        <f t="shared" ca="1" si="9"/>
        <v>VVC</v>
      </c>
    </row>
    <row r="14" spans="1:61" ht="13.8" x14ac:dyDescent="0.25">
      <c r="A14" s="223" t="s">
        <v>247</v>
      </c>
      <c r="B14" s="224" t="s">
        <v>139</v>
      </c>
      <c r="C14" s="224">
        <v>20</v>
      </c>
      <c r="D14" s="224" t="s">
        <v>248</v>
      </c>
      <c r="E14" s="225" t="str">
        <f t="shared" ca="1" si="0"/>
        <v>R</v>
      </c>
      <c r="F14" s="348"/>
      <c r="G14" s="349">
        <f t="shared" ca="1" si="1"/>
        <v>60</v>
      </c>
      <c r="H14" s="350"/>
      <c r="I14" s="236"/>
      <c r="J14" s="211" t="s">
        <v>144</v>
      </c>
      <c r="K14" s="236"/>
      <c r="L14" s="211">
        <f>SUM(L8:L13)</f>
        <v>56</v>
      </c>
      <c r="M14" s="212">
        <f>L14/L$14</f>
        <v>1</v>
      </c>
      <c r="N14" s="236"/>
      <c r="O14" s="211">
        <f ca="1">SUM(O8:O13)</f>
        <v>36</v>
      </c>
      <c r="P14" s="212">
        <f ca="1">O14/O$14</f>
        <v>1</v>
      </c>
      <c r="Q14" s="236"/>
      <c r="R14" s="211">
        <f ca="1">SUM(R8:R13)</f>
        <v>17</v>
      </c>
      <c r="S14" s="212">
        <f ca="1">R14/R$14</f>
        <v>1</v>
      </c>
      <c r="T14" s="236"/>
      <c r="U14" s="211">
        <f ca="1">SUM(U8:U13)</f>
        <v>3</v>
      </c>
      <c r="V14" s="212">
        <f ca="1">U14/U$14</f>
        <v>1</v>
      </c>
      <c r="W14" s="236"/>
      <c r="Y14" s="190">
        <f>SUMPRODUCT( L8:L13, Y8:Y13 ) / L14</f>
        <v>18.321428571428573</v>
      </c>
      <c r="Z14" s="190"/>
      <c r="AA14" s="189">
        <f ca="1">SUM(AA8:AA13)</f>
        <v>56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4"/>
        <v>15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5"/>
        <v/>
      </c>
      <c r="AQ14" s="207" t="s">
        <v>254</v>
      </c>
      <c r="AR14" s="207" t="s">
        <v>141</v>
      </c>
      <c r="AS14" s="207">
        <v>18</v>
      </c>
      <c r="AT14" s="207" t="s">
        <v>378</v>
      </c>
      <c r="AV14" s="168">
        <f>IF( LEN( AS14 ) = 0, 99, RANK( AS14, $AS$7:$AS$63 ) )</f>
        <v>23</v>
      </c>
      <c r="AW14" s="168">
        <f>COUNTIF( AV$7:AV14, AV14 )</f>
        <v>3</v>
      </c>
      <c r="AX14" s="208">
        <f t="shared" si="22"/>
        <v>23.3</v>
      </c>
      <c r="AY14" s="168">
        <f t="shared" si="23"/>
        <v>25</v>
      </c>
      <c r="AZ14" s="169"/>
      <c r="BA14" s="169"/>
      <c r="BC14" s="168">
        <f t="shared" ca="1" si="24"/>
        <v>8</v>
      </c>
      <c r="BD14" s="209">
        <f t="shared" ca="1" si="7"/>
        <v>52</v>
      </c>
      <c r="BF14" s="173" t="str">
        <f t="shared" ca="1" si="8"/>
        <v>Wisconsin Energy Corporation</v>
      </c>
      <c r="BG14" s="173" t="str">
        <f t="shared" ca="1" si="9"/>
        <v>A-</v>
      </c>
      <c r="BH14" s="173">
        <f t="shared" ca="1" si="9"/>
        <v>20</v>
      </c>
      <c r="BI14" s="173" t="str">
        <f t="shared" ca="1" si="9"/>
        <v>WEC</v>
      </c>
    </row>
    <row r="15" spans="1:61" ht="13.8" x14ac:dyDescent="0.25">
      <c r="A15" s="223" t="s">
        <v>251</v>
      </c>
      <c r="B15" s="224" t="s">
        <v>139</v>
      </c>
      <c r="C15" s="224">
        <v>20</v>
      </c>
      <c r="D15" s="224" t="s">
        <v>252</v>
      </c>
      <c r="E15" s="225" t="str">
        <f t="shared" ca="1" si="0"/>
        <v>R</v>
      </c>
      <c r="F15" s="348"/>
      <c r="G15" s="349">
        <f t="shared" ca="1" si="1"/>
        <v>61</v>
      </c>
      <c r="H15" s="350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9"/>
        <v/>
      </c>
      <c r="AJ15" s="169">
        <f t="shared" ca="1" si="4"/>
        <v>16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5"/>
        <v/>
      </c>
      <c r="AQ15" s="207" t="s">
        <v>256</v>
      </c>
      <c r="AR15" s="207" t="s">
        <v>142</v>
      </c>
      <c r="AS15" s="207">
        <v>17</v>
      </c>
      <c r="AT15" s="207" t="s">
        <v>257</v>
      </c>
      <c r="AV15" s="168">
        <f t="shared" si="21"/>
        <v>39</v>
      </c>
      <c r="AW15" s="168">
        <f>COUNTIF( AV$7:AV15, AV15 )</f>
        <v>3</v>
      </c>
      <c r="AX15" s="208">
        <f t="shared" si="22"/>
        <v>39.299999999999997</v>
      </c>
      <c r="AY15" s="168">
        <f t="shared" si="23"/>
        <v>41</v>
      </c>
      <c r="AZ15" s="169"/>
      <c r="BA15" s="169"/>
      <c r="BC15" s="168">
        <f t="shared" ca="1" si="24"/>
        <v>9</v>
      </c>
      <c r="BD15" s="209">
        <f t="shared" ca="1" si="7"/>
        <v>53</v>
      </c>
      <c r="BF15" s="173" t="str">
        <f t="shared" ca="1" si="8"/>
        <v>Xcel Energy Inc.</v>
      </c>
      <c r="BG15" s="173" t="str">
        <f t="shared" ca="1" si="9"/>
        <v>A-</v>
      </c>
      <c r="BH15" s="173">
        <f t="shared" ca="1" si="9"/>
        <v>20</v>
      </c>
      <c r="BI15" s="173" t="str">
        <f t="shared" ca="1" si="9"/>
        <v>XEL</v>
      </c>
    </row>
    <row r="16" spans="1:61" ht="13.8" x14ac:dyDescent="0.25">
      <c r="A16" s="223" t="s">
        <v>217</v>
      </c>
      <c r="B16" s="224" t="s">
        <v>140</v>
      </c>
      <c r="C16" s="224">
        <v>19</v>
      </c>
      <c r="D16" s="224" t="s">
        <v>218</v>
      </c>
      <c r="E16" s="225" t="str">
        <f t="shared" ca="1" si="0"/>
        <v>R</v>
      </c>
      <c r="F16" s="348"/>
      <c r="G16" s="349">
        <f t="shared" ca="1" si="1"/>
        <v>7</v>
      </c>
      <c r="H16" s="350"/>
      <c r="I16" s="232"/>
      <c r="J16" s="210" t="s">
        <v>253</v>
      </c>
      <c r="K16" s="232"/>
      <c r="L16" s="386">
        <f t="array" ref="L16">SUM( IF( LEN( $C$7:$C$65 ) = 0, 0, $C$7:$C$65 ) ) / SUM( IF( LEN( $C$7:$C$65 ) = 0, 0, 1  ) )</f>
        <v>18.232142857142858</v>
      </c>
      <c r="M16" s="387"/>
      <c r="N16" s="232"/>
      <c r="O16" s="386">
        <f t="array" aca="1" ref="O16" ca="1">SUM( IF( LEN( $C$7:$C$65 ) = 0, 0, IF( $E$7:$E$65 = O3, $C$7:$C$65, 0 ) ) ) / SUM( IF( LEN( $C$7:$C$65 ) = 0, 0, IF( $E$7:$E$65 = O3, 1, 0 ) ) )</f>
        <v>18.277777777777779</v>
      </c>
      <c r="P16" s="387"/>
      <c r="Q16" s="232"/>
      <c r="R16" s="386">
        <f t="array" aca="1" ref="R16" ca="1">SUM( IF( LEN( $C$7:$C$65 ) = 0, 0, IF( $E$7:$E$65 = R3, $C$7:$C$65, 0 ) ) ) / SUM( IF( LEN( $C$7:$C$65 ) = 0, 0, IF( $E$7:$E$65 = R3, 1, 0 ) ) )</f>
        <v>18.705882352941178</v>
      </c>
      <c r="S16" s="387"/>
      <c r="T16" s="232"/>
      <c r="U16" s="386">
        <f t="array" aca="1" ref="U16" ca="1">SUM( IF( LEN( $C$7:$C$65 ) = 0, 0, IF( $E$7:$E$65 = U3, $C$7:$C$65, 0 ) ) ) / SUM( IF( LEN( $C$7:$C$65 ) = 0, 0, IF( $E$7:$E$65 = U3, 1, 0 ) ) )</f>
        <v>15</v>
      </c>
      <c r="V16" s="388"/>
      <c r="W16" s="232"/>
      <c r="AE16" s="184"/>
      <c r="AF16" s="169">
        <f t="shared" si="2"/>
        <v>1</v>
      </c>
      <c r="AG16" s="169" t="str">
        <f t="shared" ca="1" si="3"/>
        <v/>
      </c>
      <c r="AH16" s="169" t="str">
        <f t="shared" ca="1" si="19"/>
        <v/>
      </c>
      <c r="AJ16" s="169">
        <f t="shared" ca="1" si="4"/>
        <v>17</v>
      </c>
      <c r="AK16" s="169" t="str">
        <f t="shared" ca="1" si="20"/>
        <v>BBB+</v>
      </c>
      <c r="AL16" s="169">
        <f t="shared" ca="1" si="20"/>
        <v>19</v>
      </c>
      <c r="AM16" s="169" t="str">
        <f t="shared" ca="1" si="5"/>
        <v/>
      </c>
      <c r="AQ16" s="207" t="s">
        <v>227</v>
      </c>
      <c r="AR16" s="207" t="s">
        <v>139</v>
      </c>
      <c r="AS16" s="207">
        <v>20</v>
      </c>
      <c r="AT16" s="207" t="s">
        <v>228</v>
      </c>
      <c r="AV16" s="168">
        <f t="shared" si="21"/>
        <v>2</v>
      </c>
      <c r="AW16" s="168">
        <f>COUNTIF( AV$7:AV16, AV16 )</f>
        <v>1</v>
      </c>
      <c r="AX16" s="208">
        <f t="shared" si="22"/>
        <v>2.1</v>
      </c>
      <c r="AY16" s="168">
        <f t="shared" si="23"/>
        <v>2</v>
      </c>
      <c r="AZ16" s="169"/>
      <c r="BA16" s="169"/>
      <c r="BC16" s="168">
        <f t="shared" ca="1" si="24"/>
        <v>10</v>
      </c>
      <c r="BD16" s="209">
        <f t="shared" ca="1" si="7"/>
        <v>1</v>
      </c>
      <c r="BF16" s="173" t="str">
        <f t="shared" ca="1" si="8"/>
        <v>ALLETE, Inc.</v>
      </c>
      <c r="BG16" s="173" t="str">
        <f t="shared" ca="1" si="9"/>
        <v>BBB+</v>
      </c>
      <c r="BH16" s="173">
        <f t="shared" ca="1" si="9"/>
        <v>19</v>
      </c>
      <c r="BI16" s="173" t="str">
        <f t="shared" ca="1" si="9"/>
        <v>ALE</v>
      </c>
    </row>
    <row r="17" spans="1:61" ht="13.8" x14ac:dyDescent="0.25">
      <c r="A17" s="223" t="s">
        <v>219</v>
      </c>
      <c r="B17" s="224" t="s">
        <v>140</v>
      </c>
      <c r="C17" s="224">
        <v>19</v>
      </c>
      <c r="D17" s="224" t="s">
        <v>220</v>
      </c>
      <c r="E17" s="225" t="str">
        <f t="shared" ca="1" si="0"/>
        <v>R</v>
      </c>
      <c r="F17" s="348"/>
      <c r="G17" s="349">
        <f t="shared" ca="1" si="1"/>
        <v>8</v>
      </c>
      <c r="H17" s="350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1</v>
      </c>
      <c r="AG17" s="169" t="str">
        <f t="shared" ca="1" si="3"/>
        <v/>
      </c>
      <c r="AH17" s="169" t="str">
        <f t="shared" ca="1" si="19"/>
        <v/>
      </c>
      <c r="AJ17" s="169">
        <f t="shared" ca="1" si="4"/>
        <v>18</v>
      </c>
      <c r="AK17" s="169" t="str">
        <f t="shared" ca="1" si="20"/>
        <v>BBB+</v>
      </c>
      <c r="AL17" s="169">
        <f t="shared" ca="1" si="20"/>
        <v>19</v>
      </c>
      <c r="AM17" s="169" t="str">
        <f t="shared" ca="1" si="5"/>
        <v/>
      </c>
      <c r="AQ17" s="207" t="s">
        <v>361</v>
      </c>
      <c r="AR17" s="207" t="s">
        <v>139</v>
      </c>
      <c r="AS17" s="207">
        <v>20</v>
      </c>
      <c r="AT17" s="207" t="s">
        <v>194</v>
      </c>
      <c r="AV17" s="168">
        <f t="shared" si="21"/>
        <v>2</v>
      </c>
      <c r="AW17" s="168">
        <f>COUNTIF( AV$7:AV17, AV17 )</f>
        <v>2</v>
      </c>
      <c r="AX17" s="208">
        <f t="shared" si="22"/>
        <v>2.2000000000000002</v>
      </c>
      <c r="AY17" s="168">
        <f t="shared" si="23"/>
        <v>3</v>
      </c>
      <c r="AZ17" s="169"/>
      <c r="BA17" s="169"/>
      <c r="BC17" s="168">
        <f t="shared" ca="1" si="24"/>
        <v>11</v>
      </c>
      <c r="BD17" s="209">
        <f t="shared" ca="1" si="7"/>
        <v>2</v>
      </c>
      <c r="BF17" s="173" t="str">
        <f t="shared" ca="1" si="8"/>
        <v>Alliant Energy Corporation</v>
      </c>
      <c r="BG17" s="173" t="str">
        <f t="shared" ca="1" si="9"/>
        <v>BBB+</v>
      </c>
      <c r="BH17" s="173">
        <f t="shared" ca="1" si="9"/>
        <v>19</v>
      </c>
      <c r="BI17" s="173" t="str">
        <f t="shared" ca="1" si="9"/>
        <v>LNT</v>
      </c>
    </row>
    <row r="18" spans="1:61" ht="13.8" x14ac:dyDescent="0.25">
      <c r="A18" s="223" t="s">
        <v>249</v>
      </c>
      <c r="B18" s="224" t="s">
        <v>140</v>
      </c>
      <c r="C18" s="224">
        <v>19</v>
      </c>
      <c r="D18" s="224" t="s">
        <v>250</v>
      </c>
      <c r="E18" s="225" t="str">
        <f t="shared" ca="1" si="0"/>
        <v>MR</v>
      </c>
      <c r="F18" s="348"/>
      <c r="G18" s="349">
        <f t="shared" ca="1" si="1"/>
        <v>13</v>
      </c>
      <c r="H18" s="350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1</v>
      </c>
      <c r="AG18" s="169" t="str">
        <f t="shared" ca="1" si="3"/>
        <v/>
      </c>
      <c r="AH18" s="169" t="str">
        <f t="shared" ca="1" si="19"/>
        <v/>
      </c>
      <c r="AJ18" s="169">
        <f t="shared" ca="1" si="4"/>
        <v>19</v>
      </c>
      <c r="AK18" s="169" t="str">
        <f t="shared" ca="1" si="20"/>
        <v>BBB+</v>
      </c>
      <c r="AL18" s="169">
        <f t="shared" ca="1" si="20"/>
        <v>19</v>
      </c>
      <c r="AM18" s="169" t="str">
        <f t="shared" ca="1" si="5"/>
        <v/>
      </c>
      <c r="AQ18" s="207" t="s">
        <v>259</v>
      </c>
      <c r="AR18" s="207" t="s">
        <v>142</v>
      </c>
      <c r="AS18" s="207">
        <v>17</v>
      </c>
      <c r="AT18" s="207" t="s">
        <v>260</v>
      </c>
      <c r="AV18" s="168">
        <f t="shared" si="21"/>
        <v>39</v>
      </c>
      <c r="AW18" s="168">
        <f>COUNTIF( AV$7:AV18, AV18 )</f>
        <v>4</v>
      </c>
      <c r="AX18" s="208">
        <f t="shared" si="22"/>
        <v>39.4</v>
      </c>
      <c r="AY18" s="168">
        <f t="shared" si="23"/>
        <v>42</v>
      </c>
      <c r="AZ18" s="169"/>
      <c r="BA18" s="169"/>
      <c r="BC18" s="168">
        <f t="shared" ca="1" si="24"/>
        <v>12</v>
      </c>
      <c r="BD18" s="209">
        <f t="shared" ca="1" si="7"/>
        <v>7</v>
      </c>
      <c r="BF18" s="173" t="str">
        <f t="shared" ca="1" si="8"/>
        <v>CenterPoint Energy, Inc.</v>
      </c>
      <c r="BG18" s="173" t="str">
        <f t="shared" ca="1" si="9"/>
        <v>BBB+</v>
      </c>
      <c r="BH18" s="173">
        <f t="shared" ca="1" si="9"/>
        <v>19</v>
      </c>
      <c r="BI18" s="173" t="str">
        <f t="shared" ca="1" si="9"/>
        <v>CNP</v>
      </c>
    </row>
    <row r="19" spans="1:61" ht="13.8" x14ac:dyDescent="0.25">
      <c r="A19" s="223" t="s">
        <v>261</v>
      </c>
      <c r="B19" s="224" t="s">
        <v>140</v>
      </c>
      <c r="C19" s="224">
        <v>19</v>
      </c>
      <c r="D19" s="224" t="s">
        <v>262</v>
      </c>
      <c r="E19" s="225" t="str">
        <f t="shared" ca="1" si="0"/>
        <v>R</v>
      </c>
      <c r="F19" s="348"/>
      <c r="G19" s="349">
        <f t="shared" ca="1" si="1"/>
        <v>21</v>
      </c>
      <c r="H19" s="350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9"/>
        <v/>
      </c>
      <c r="AJ19" s="169">
        <f t="shared" ca="1" si="4"/>
        <v>20</v>
      </c>
      <c r="AK19" s="169" t="str">
        <f t="shared" ca="1" si="20"/>
        <v>BBB+</v>
      </c>
      <c r="AL19" s="169">
        <f t="shared" ca="1" si="20"/>
        <v>19</v>
      </c>
      <c r="AM19" s="169" t="str">
        <f t="shared" ca="1" si="5"/>
        <v/>
      </c>
      <c r="AQ19" s="207" t="s">
        <v>261</v>
      </c>
      <c r="AR19" s="207" t="s">
        <v>140</v>
      </c>
      <c r="AS19" s="207">
        <v>19</v>
      </c>
      <c r="AT19" s="207" t="s">
        <v>262</v>
      </c>
      <c r="AV19" s="168">
        <f t="shared" si="21"/>
        <v>10</v>
      </c>
      <c r="AW19" s="168">
        <f>COUNTIF( AV$7:AV19, AV19 )</f>
        <v>4</v>
      </c>
      <c r="AX19" s="208">
        <f t="shared" si="22"/>
        <v>10.4</v>
      </c>
      <c r="AY19" s="168">
        <f t="shared" si="23"/>
        <v>13</v>
      </c>
      <c r="AZ19" s="169"/>
      <c r="BA19" s="169"/>
      <c r="BC19" s="168">
        <f t="shared" ca="1" si="24"/>
        <v>13</v>
      </c>
      <c r="BD19" s="209">
        <f t="shared" ca="1" si="7"/>
        <v>13</v>
      </c>
      <c r="BF19" s="173" t="str">
        <f t="shared" ca="1" si="8"/>
        <v>DTE Energy Company</v>
      </c>
      <c r="BG19" s="173" t="str">
        <f t="shared" ca="1" si="9"/>
        <v>BBB+</v>
      </c>
      <c r="BH19" s="173">
        <f t="shared" ca="1" si="9"/>
        <v>19</v>
      </c>
      <c r="BI19" s="173" t="str">
        <f t="shared" ca="1" si="9"/>
        <v>DTE</v>
      </c>
    </row>
    <row r="20" spans="1:61" ht="13.8" x14ac:dyDescent="0.25">
      <c r="A20" s="223" t="s">
        <v>263</v>
      </c>
      <c r="B20" s="224" t="s">
        <v>140</v>
      </c>
      <c r="C20" s="224">
        <v>19</v>
      </c>
      <c r="D20" s="224" t="s">
        <v>264</v>
      </c>
      <c r="E20" s="225" t="str">
        <f t="shared" ca="1" si="0"/>
        <v>MR</v>
      </c>
      <c r="F20" s="348"/>
      <c r="G20" s="349">
        <f t="shared" ca="1" si="1"/>
        <v>22</v>
      </c>
      <c r="H20" s="350"/>
      <c r="I20" s="352"/>
      <c r="K20" s="352"/>
      <c r="N20" s="352"/>
      <c r="O20" s="173"/>
      <c r="Q20" s="352"/>
      <c r="T20" s="352"/>
      <c r="W20" s="352"/>
      <c r="AE20" s="184"/>
      <c r="AF20" s="169">
        <f t="shared" si="2"/>
        <v>1</v>
      </c>
      <c r="AG20" s="169" t="str">
        <f t="shared" ca="1" si="3"/>
        <v/>
      </c>
      <c r="AH20" s="169">
        <f t="shared" ca="1" si="19"/>
        <v>1</v>
      </c>
      <c r="AJ20" s="169">
        <f t="shared" ca="1" si="4"/>
        <v>10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5"/>
        <v>Change</v>
      </c>
      <c r="AQ20" s="207" t="s">
        <v>263</v>
      </c>
      <c r="AR20" s="207" t="s">
        <v>140</v>
      </c>
      <c r="AS20" s="207">
        <v>19</v>
      </c>
      <c r="AT20" s="207" t="s">
        <v>264</v>
      </c>
      <c r="AV20" s="168">
        <f t="shared" si="21"/>
        <v>10</v>
      </c>
      <c r="AW20" s="168">
        <f>COUNTIF( AV$7:AV20, AV20 )</f>
        <v>5</v>
      </c>
      <c r="AX20" s="208">
        <f t="shared" si="22"/>
        <v>10.5</v>
      </c>
      <c r="AY20" s="168">
        <f t="shared" si="23"/>
        <v>14</v>
      </c>
      <c r="AZ20" s="169"/>
      <c r="BA20" s="169"/>
      <c r="BC20" s="168">
        <f t="shared" ca="1" si="24"/>
        <v>14</v>
      </c>
      <c r="BD20" s="209">
        <f t="shared" ca="1" si="7"/>
        <v>14</v>
      </c>
      <c r="BF20" s="173" t="str">
        <f t="shared" ca="1" si="8"/>
        <v>Duke Energy Corporation</v>
      </c>
      <c r="BG20" s="173" t="str">
        <f t="shared" ca="1" si="9"/>
        <v>BBB+</v>
      </c>
      <c r="BH20" s="173">
        <f t="shared" ca="1" si="9"/>
        <v>19</v>
      </c>
      <c r="BI20" s="173" t="str">
        <f t="shared" ca="1" si="9"/>
        <v>DUK</v>
      </c>
    </row>
    <row r="21" spans="1:61" ht="13.8" x14ac:dyDescent="0.25">
      <c r="A21" s="223" t="s">
        <v>387</v>
      </c>
      <c r="B21" s="224" t="s">
        <v>140</v>
      </c>
      <c r="C21" s="224">
        <v>19</v>
      </c>
      <c r="D21" s="224" t="s">
        <v>388</v>
      </c>
      <c r="E21" s="225" t="str">
        <f t="shared" ca="1" si="0"/>
        <v>R</v>
      </c>
      <c r="F21" s="348"/>
      <c r="G21" s="349">
        <f t="shared" ca="1" si="1"/>
        <v>63</v>
      </c>
      <c r="H21" s="350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9"/>
        <v/>
      </c>
      <c r="AJ21" s="169">
        <f t="shared" ca="1" si="4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5"/>
        <v/>
      </c>
      <c r="AQ21" s="207" t="s">
        <v>265</v>
      </c>
      <c r="AR21" s="207" t="s">
        <v>142</v>
      </c>
      <c r="AS21" s="207">
        <v>17</v>
      </c>
      <c r="AT21" s="207" t="s">
        <v>266</v>
      </c>
      <c r="AV21" s="168">
        <f t="shared" si="21"/>
        <v>39</v>
      </c>
      <c r="AW21" s="168">
        <f>COUNTIF( AV$7:AV21, AV21 )</f>
        <v>5</v>
      </c>
      <c r="AX21" s="208">
        <f t="shared" si="22"/>
        <v>39.5</v>
      </c>
      <c r="AY21" s="168">
        <f t="shared" si="23"/>
        <v>43</v>
      </c>
      <c r="AZ21" s="169"/>
      <c r="BA21" s="169"/>
      <c r="BC21" s="168">
        <f t="shared" ca="1" si="24"/>
        <v>15</v>
      </c>
      <c r="BD21" s="209">
        <f t="shared" ca="1" si="7"/>
        <v>24</v>
      </c>
      <c r="BF21" s="173" t="str">
        <f t="shared" ca="1" si="8"/>
        <v>Iberdrola USA</v>
      </c>
      <c r="BG21" s="173" t="str">
        <f t="shared" ca="1" si="9"/>
        <v>BBB+</v>
      </c>
      <c r="BH21" s="173">
        <f t="shared" ca="1" si="9"/>
        <v>19</v>
      </c>
      <c r="BI21" s="173" t="str">
        <f t="shared" ca="1" si="9"/>
        <v>**EAST</v>
      </c>
    </row>
    <row r="22" spans="1:61" ht="13.8" x14ac:dyDescent="0.25">
      <c r="A22" s="223" t="s">
        <v>271</v>
      </c>
      <c r="B22" s="224" t="s">
        <v>140</v>
      </c>
      <c r="C22" s="224">
        <v>19</v>
      </c>
      <c r="D22" s="224" t="s">
        <v>272</v>
      </c>
      <c r="E22" s="225" t="str">
        <f t="shared" ca="1" si="0"/>
        <v>D</v>
      </c>
      <c r="F22" s="348"/>
      <c r="G22" s="349">
        <f t="shared" ca="1" si="1"/>
        <v>33</v>
      </c>
      <c r="H22" s="350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4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5"/>
        <v/>
      </c>
      <c r="AQ22" s="207" t="s">
        <v>328</v>
      </c>
      <c r="AR22" s="207" t="s">
        <v>141</v>
      </c>
      <c r="AS22" s="207">
        <v>18</v>
      </c>
      <c r="AT22" s="207" t="s">
        <v>331</v>
      </c>
      <c r="AV22" s="168">
        <f t="shared" si="21"/>
        <v>23</v>
      </c>
      <c r="AW22" s="168">
        <f>COUNTIF( AV$7:AV22, AV22 )</f>
        <v>4</v>
      </c>
      <c r="AX22" s="208">
        <f t="shared" si="22"/>
        <v>23.4</v>
      </c>
      <c r="AY22" s="168">
        <f t="shared" si="23"/>
        <v>26</v>
      </c>
      <c r="AZ22" s="169"/>
      <c r="BA22" s="169"/>
      <c r="BC22" s="168">
        <f t="shared" ca="1" si="24"/>
        <v>16</v>
      </c>
      <c r="BD22" s="209">
        <f t="shared" ca="1" si="7"/>
        <v>28</v>
      </c>
      <c r="BF22" s="173" t="str">
        <f t="shared" ca="1" si="8"/>
        <v>MDU Resources Group, Inc.</v>
      </c>
      <c r="BG22" s="173" t="str">
        <f t="shared" ca="1" si="9"/>
        <v>BBB+</v>
      </c>
      <c r="BH22" s="173">
        <f t="shared" ca="1" si="9"/>
        <v>19</v>
      </c>
      <c r="BI22" s="173" t="str">
        <f t="shared" ca="1" si="9"/>
        <v>MDU</v>
      </c>
    </row>
    <row r="23" spans="1:61" ht="13.8" x14ac:dyDescent="0.25">
      <c r="A23" s="223" t="s">
        <v>408</v>
      </c>
      <c r="B23" s="224" t="s">
        <v>140</v>
      </c>
      <c r="C23" s="224">
        <v>19</v>
      </c>
      <c r="D23" s="224" t="s">
        <v>216</v>
      </c>
      <c r="E23" s="225" t="str">
        <f t="shared" ca="1" si="0"/>
        <v>MR</v>
      </c>
      <c r="F23" s="348"/>
      <c r="G23" s="349">
        <f t="shared" ca="1" si="1"/>
        <v>67</v>
      </c>
      <c r="H23" s="350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4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5"/>
        <v/>
      </c>
      <c r="AQ23" s="207" t="s">
        <v>367</v>
      </c>
      <c r="AR23" s="207" t="s">
        <v>142</v>
      </c>
      <c r="AS23" s="207">
        <v>17</v>
      </c>
      <c r="AT23" s="207" t="s">
        <v>368</v>
      </c>
      <c r="AV23" s="168">
        <f t="shared" si="21"/>
        <v>39</v>
      </c>
      <c r="AW23" s="168">
        <f>COUNTIF( AV$7:AV23, AV23 )</f>
        <v>6</v>
      </c>
      <c r="AX23" s="208">
        <f t="shared" si="22"/>
        <v>39.6</v>
      </c>
      <c r="AY23" s="168">
        <f t="shared" si="23"/>
        <v>44</v>
      </c>
      <c r="AZ23" s="169"/>
      <c r="BA23" s="169"/>
      <c r="BC23" s="168">
        <f t="shared" ca="1" si="24"/>
        <v>17</v>
      </c>
      <c r="BD23" s="209">
        <f t="shared" ca="1" si="7"/>
        <v>29</v>
      </c>
      <c r="BF23" s="173" t="str">
        <f t="shared" ca="1" si="8"/>
        <v>MidAmerican Energy Holdings Company</v>
      </c>
      <c r="BG23" s="173" t="str">
        <f t="shared" ca="1" si="9"/>
        <v>BBB+</v>
      </c>
      <c r="BH23" s="173">
        <f t="shared" ca="1" si="9"/>
        <v>19</v>
      </c>
      <c r="BI23" s="173" t="str">
        <f t="shared" ca="1" si="9"/>
        <v>**BRK</v>
      </c>
    </row>
    <row r="24" spans="1:61" ht="13.8" x14ac:dyDescent="0.25">
      <c r="A24" s="223" t="s">
        <v>277</v>
      </c>
      <c r="B24" s="224" t="s">
        <v>140</v>
      </c>
      <c r="C24" s="224">
        <v>19</v>
      </c>
      <c r="D24" s="224" t="s">
        <v>278</v>
      </c>
      <c r="E24" s="225" t="str">
        <f t="shared" ca="1" si="0"/>
        <v>MR</v>
      </c>
      <c r="F24" s="348"/>
      <c r="G24" s="349">
        <f t="shared" ca="1" si="1"/>
        <v>41</v>
      </c>
      <c r="H24" s="350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4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5"/>
        <v/>
      </c>
      <c r="AQ24" s="207" t="s">
        <v>371</v>
      </c>
      <c r="AR24" s="207" t="s">
        <v>187</v>
      </c>
      <c r="AS24" s="207">
        <v>9</v>
      </c>
      <c r="AT24" s="207" t="s">
        <v>359</v>
      </c>
      <c r="AV24" s="168">
        <f t="shared" si="21"/>
        <v>53</v>
      </c>
      <c r="AW24" s="168">
        <f>COUNTIF( AV$7:AV24, AV24 )</f>
        <v>1</v>
      </c>
      <c r="AX24" s="208">
        <f t="shared" si="22"/>
        <v>53.1</v>
      </c>
      <c r="AY24" s="168">
        <f t="shared" si="23"/>
        <v>53</v>
      </c>
      <c r="AZ24" s="169"/>
      <c r="BA24" s="169"/>
      <c r="BC24" s="168">
        <f t="shared" ca="1" si="24"/>
        <v>18</v>
      </c>
      <c r="BD24" s="209">
        <f t="shared" ca="1" si="7"/>
        <v>35</v>
      </c>
      <c r="BF24" s="173" t="str">
        <f t="shared" ca="1" si="8"/>
        <v>OGE Energy Corp.</v>
      </c>
      <c r="BG24" s="173" t="str">
        <f t="shared" ca="1" si="9"/>
        <v>BBB+</v>
      </c>
      <c r="BH24" s="173">
        <f t="shared" ca="1" si="9"/>
        <v>19</v>
      </c>
      <c r="BI24" s="173" t="str">
        <f t="shared" ca="1" si="9"/>
        <v>OGE</v>
      </c>
    </row>
    <row r="25" spans="1:61" ht="13.8" x14ac:dyDescent="0.25">
      <c r="A25" s="223" t="s">
        <v>382</v>
      </c>
      <c r="B25" s="224" t="s">
        <v>140</v>
      </c>
      <c r="C25" s="224">
        <v>19</v>
      </c>
      <c r="D25" s="224" t="s">
        <v>383</v>
      </c>
      <c r="E25" s="225" t="str">
        <f t="shared" ca="1" si="0"/>
        <v>MR</v>
      </c>
      <c r="F25" s="348"/>
      <c r="G25" s="349">
        <f t="shared" ca="1" si="1"/>
        <v>43</v>
      </c>
      <c r="H25" s="350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9"/>
        <v/>
      </c>
      <c r="AJ25" s="169">
        <f t="shared" ca="1" si="4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5"/>
        <v/>
      </c>
      <c r="AQ25" s="207" t="s">
        <v>267</v>
      </c>
      <c r="AR25" s="207" t="s">
        <v>141</v>
      </c>
      <c r="AS25" s="207">
        <v>18</v>
      </c>
      <c r="AT25" s="207" t="s">
        <v>268</v>
      </c>
      <c r="AV25" s="168">
        <f t="shared" si="21"/>
        <v>23</v>
      </c>
      <c r="AW25" s="168">
        <f>COUNTIF( AV$7:AV25, AV25 )</f>
        <v>5</v>
      </c>
      <c r="AX25" s="208">
        <f t="shared" si="22"/>
        <v>23.5</v>
      </c>
      <c r="AY25" s="168">
        <f t="shared" si="23"/>
        <v>27</v>
      </c>
      <c r="AZ25" s="169"/>
      <c r="BA25" s="169"/>
      <c r="BC25" s="168">
        <f t="shared" ca="1" si="24"/>
        <v>19</v>
      </c>
      <c r="BD25" s="209">
        <f t="shared" ca="1" si="7"/>
        <v>37</v>
      </c>
      <c r="BF25" s="173" t="str">
        <f t="shared" ca="1" si="8"/>
        <v>Pepco Holdings, Inc.</v>
      </c>
      <c r="BG25" s="173" t="str">
        <f t="shared" ca="1" si="9"/>
        <v>BBB+</v>
      </c>
      <c r="BH25" s="173">
        <f t="shared" ca="1" si="9"/>
        <v>19</v>
      </c>
      <c r="BI25" s="173" t="str">
        <f t="shared" ca="1" si="9"/>
        <v>POM</v>
      </c>
    </row>
    <row r="26" spans="1:61" ht="13.8" x14ac:dyDescent="0.25">
      <c r="A26" s="223" t="s">
        <v>347</v>
      </c>
      <c r="B26" s="224" t="s">
        <v>140</v>
      </c>
      <c r="C26" s="224">
        <v>19</v>
      </c>
      <c r="D26" s="224" t="s">
        <v>348</v>
      </c>
      <c r="E26" s="225" t="str">
        <f t="shared" ca="1" si="0"/>
        <v>MR</v>
      </c>
      <c r="F26" s="348"/>
      <c r="G26" s="349">
        <f t="shared" ca="1" si="1"/>
        <v>51</v>
      </c>
      <c r="H26" s="350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9"/>
        <v/>
      </c>
      <c r="AJ26" s="169">
        <f t="shared" ca="1" si="4"/>
        <v>27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5"/>
        <v/>
      </c>
      <c r="AQ26" s="207" t="s">
        <v>269</v>
      </c>
      <c r="AR26" s="207" t="s">
        <v>141</v>
      </c>
      <c r="AS26" s="207">
        <v>18</v>
      </c>
      <c r="AT26" s="207" t="s">
        <v>270</v>
      </c>
      <c r="AV26" s="168">
        <f t="shared" si="21"/>
        <v>23</v>
      </c>
      <c r="AW26" s="168">
        <f>COUNTIF( AV$7:AV26, AV26 )</f>
        <v>6</v>
      </c>
      <c r="AX26" s="208">
        <f t="shared" si="22"/>
        <v>23.6</v>
      </c>
      <c r="AY26" s="168">
        <f t="shared" si="23"/>
        <v>28</v>
      </c>
      <c r="AZ26" s="169"/>
      <c r="BA26" s="169"/>
      <c r="BC26" s="168">
        <f t="shared" ca="1" si="24"/>
        <v>20</v>
      </c>
      <c r="BD26" s="209">
        <f t="shared" ca="1" si="7"/>
        <v>45</v>
      </c>
      <c r="BF26" s="173" t="str">
        <f t="shared" ca="1" si="8"/>
        <v>SCANA Corporation</v>
      </c>
      <c r="BG26" s="173" t="str">
        <f t="shared" ca="1" si="9"/>
        <v>BBB+</v>
      </c>
      <c r="BH26" s="173">
        <f t="shared" ca="1" si="9"/>
        <v>19</v>
      </c>
      <c r="BI26" s="173" t="str">
        <f t="shared" ca="1" si="9"/>
        <v>SCG</v>
      </c>
    </row>
    <row r="27" spans="1:61" ht="13.8" x14ac:dyDescent="0.25">
      <c r="A27" s="223" t="s">
        <v>291</v>
      </c>
      <c r="B27" s="224" t="s">
        <v>140</v>
      </c>
      <c r="C27" s="224">
        <v>19</v>
      </c>
      <c r="D27" s="224" t="s">
        <v>292</v>
      </c>
      <c r="E27" s="225" t="str">
        <f t="shared" ca="1" si="0"/>
        <v>MR</v>
      </c>
      <c r="F27" s="348"/>
      <c r="G27" s="349">
        <f t="shared" ca="1" si="1"/>
        <v>52</v>
      </c>
      <c r="H27" s="350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4"/>
        <v>28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5"/>
        <v/>
      </c>
      <c r="AQ27" s="207" t="s">
        <v>275</v>
      </c>
      <c r="AR27" s="207" t="s">
        <v>142</v>
      </c>
      <c r="AS27" s="207">
        <v>17</v>
      </c>
      <c r="AT27" s="207" t="s">
        <v>276</v>
      </c>
      <c r="AV27" s="168">
        <f t="shared" si="21"/>
        <v>39</v>
      </c>
      <c r="AW27" s="168">
        <f>COUNTIF( AV$7:AV27, AV27 )</f>
        <v>7</v>
      </c>
      <c r="AX27" s="208">
        <f t="shared" si="22"/>
        <v>39.700000000000003</v>
      </c>
      <c r="AY27" s="168">
        <f t="shared" si="23"/>
        <v>45</v>
      </c>
      <c r="AZ27" s="169"/>
      <c r="BA27" s="169"/>
      <c r="BC27" s="168">
        <f t="shared" ca="1" si="24"/>
        <v>21</v>
      </c>
      <c r="BD27" s="209">
        <f t="shared" ca="1" si="7"/>
        <v>46</v>
      </c>
      <c r="BF27" s="173" t="str">
        <f t="shared" ca="1" si="8"/>
        <v>Sempra Energy</v>
      </c>
      <c r="BG27" s="173" t="str">
        <f t="shared" ca="1" si="9"/>
        <v>BBB+</v>
      </c>
      <c r="BH27" s="173">
        <f t="shared" ca="1" si="9"/>
        <v>19</v>
      </c>
      <c r="BI27" s="173" t="str">
        <f t="shared" ca="1" si="9"/>
        <v>SRE</v>
      </c>
    </row>
    <row r="28" spans="1:61" ht="13.8" x14ac:dyDescent="0.25">
      <c r="A28" s="223" t="s">
        <v>369</v>
      </c>
      <c r="B28" s="224" t="s">
        <v>140</v>
      </c>
      <c r="C28" s="224">
        <v>19</v>
      </c>
      <c r="D28" s="224" t="s">
        <v>375</v>
      </c>
      <c r="E28" s="225" t="str">
        <f t="shared" ca="1" si="0"/>
        <v>R</v>
      </c>
      <c r="F28" s="348"/>
      <c r="G28" s="349">
        <f t="shared" ca="1" si="1"/>
        <v>54</v>
      </c>
      <c r="H28" s="350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4"/>
        <v>29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5"/>
        <v/>
      </c>
      <c r="AQ28" s="207" t="s">
        <v>352</v>
      </c>
      <c r="AR28" s="207" t="s">
        <v>141</v>
      </c>
      <c r="AS28" s="207">
        <v>18</v>
      </c>
      <c r="AT28" s="207" t="s">
        <v>353</v>
      </c>
      <c r="AV28" s="168">
        <f t="shared" si="21"/>
        <v>23</v>
      </c>
      <c r="AW28" s="168">
        <f>COUNTIF( AV$7:AV28, AV28 )</f>
        <v>7</v>
      </c>
      <c r="AX28" s="208">
        <f t="shared" si="22"/>
        <v>23.7</v>
      </c>
      <c r="AY28" s="168">
        <f t="shared" si="23"/>
        <v>29</v>
      </c>
      <c r="AZ28" s="169"/>
      <c r="BA28" s="169"/>
      <c r="BC28" s="168">
        <f t="shared" ca="1" si="24"/>
        <v>22</v>
      </c>
      <c r="BD28" s="209">
        <f t="shared" ca="1" si="7"/>
        <v>48</v>
      </c>
      <c r="BF28" s="173" t="str">
        <f t="shared" ca="1" si="8"/>
        <v>TECO Energy, Inc.</v>
      </c>
      <c r="BG28" s="173" t="str">
        <f t="shared" ca="1" si="9"/>
        <v>BBB+</v>
      </c>
      <c r="BH28" s="173">
        <f t="shared" ca="1" si="9"/>
        <v>19</v>
      </c>
      <c r="BI28" s="173" t="str">
        <f t="shared" ca="1" si="9"/>
        <v>TE</v>
      </c>
    </row>
    <row r="29" spans="1:61" ht="13.8" x14ac:dyDescent="0.25">
      <c r="A29" s="223" t="s">
        <v>222</v>
      </c>
      <c r="B29" s="224" t="s">
        <v>141</v>
      </c>
      <c r="C29" s="224">
        <v>18</v>
      </c>
      <c r="D29" s="224" t="s">
        <v>223</v>
      </c>
      <c r="E29" s="225" t="str">
        <f t="shared" ca="1" si="0"/>
        <v>R</v>
      </c>
      <c r="F29" s="348"/>
      <c r="G29" s="349">
        <f t="shared" ca="1" si="1"/>
        <v>10</v>
      </c>
      <c r="H29" s="350"/>
      <c r="I29" s="237"/>
      <c r="J29" s="191"/>
      <c r="K29" s="237"/>
      <c r="N29" s="237"/>
      <c r="Q29" s="237"/>
      <c r="T29" s="237"/>
      <c r="W29" s="237"/>
      <c r="AF29" s="169">
        <f t="shared" si="2"/>
        <v>0</v>
      </c>
      <c r="AG29" s="169" t="str">
        <f t="shared" ca="1" si="3"/>
        <v/>
      </c>
      <c r="AH29" s="169" t="str">
        <f t="shared" ca="1" si="19"/>
        <v/>
      </c>
      <c r="AJ29" s="169">
        <f t="shared" ca="1" si="4"/>
        <v>30</v>
      </c>
      <c r="AK29" s="169" t="str">
        <f t="shared" ca="1" si="20"/>
        <v>BBB</v>
      </c>
      <c r="AL29" s="169">
        <f t="shared" ca="1" si="20"/>
        <v>18</v>
      </c>
      <c r="AM29" s="169" t="str">
        <f t="shared" ca="1" si="5"/>
        <v/>
      </c>
      <c r="AQ29" s="207" t="s">
        <v>279</v>
      </c>
      <c r="AR29" s="207" t="s">
        <v>142</v>
      </c>
      <c r="AS29" s="207">
        <v>17</v>
      </c>
      <c r="AT29" s="207" t="s">
        <v>280</v>
      </c>
      <c r="AV29" s="168">
        <f t="shared" si="21"/>
        <v>39</v>
      </c>
      <c r="AW29" s="168">
        <f>COUNTIF( AV$7:AV29, AV29 )</f>
        <v>8</v>
      </c>
      <c r="AX29" s="208">
        <f t="shared" si="22"/>
        <v>39.799999999999997</v>
      </c>
      <c r="AY29" s="168">
        <f t="shared" si="23"/>
        <v>46</v>
      </c>
      <c r="AZ29" s="169"/>
      <c r="BA29" s="169"/>
      <c r="BC29" s="168">
        <f t="shared" ca="1" si="24"/>
        <v>23</v>
      </c>
      <c r="BD29" s="209">
        <f t="shared" ca="1" si="7"/>
        <v>4</v>
      </c>
      <c r="BF29" s="173" t="str">
        <f t="shared" ca="1" si="8"/>
        <v>American Electric Power Company, Inc.</v>
      </c>
      <c r="BG29" s="173" t="str">
        <f t="shared" ca="1" si="9"/>
        <v>BBB</v>
      </c>
      <c r="BH29" s="173">
        <f t="shared" ca="1" si="9"/>
        <v>18</v>
      </c>
      <c r="BI29" s="173" t="str">
        <f t="shared" ca="1" si="9"/>
        <v>AEP</v>
      </c>
    </row>
    <row r="30" spans="1:61" ht="13.8" x14ac:dyDescent="0.25">
      <c r="A30" s="223" t="s">
        <v>238</v>
      </c>
      <c r="B30" s="224" t="s">
        <v>141</v>
      </c>
      <c r="C30" s="224">
        <v>18</v>
      </c>
      <c r="D30" s="224" t="s">
        <v>239</v>
      </c>
      <c r="E30" s="225" t="str">
        <f t="shared" ca="1" si="0"/>
        <v>R</v>
      </c>
      <c r="F30" s="348"/>
      <c r="G30" s="349">
        <f t="shared" ca="1" si="1"/>
        <v>11</v>
      </c>
      <c r="H30" s="350"/>
      <c r="I30" s="237"/>
      <c r="J30" s="191"/>
      <c r="K30" s="237"/>
      <c r="N30" s="237"/>
      <c r="Q30" s="237"/>
      <c r="T30" s="237"/>
      <c r="W30" s="237"/>
      <c r="AF30" s="169">
        <f t="shared" si="2"/>
        <v>0</v>
      </c>
      <c r="AG30" s="169" t="str">
        <f t="shared" ca="1" si="3"/>
        <v/>
      </c>
      <c r="AH30" s="169" t="str">
        <f t="shared" ca="1" si="19"/>
        <v/>
      </c>
      <c r="AJ30" s="169">
        <f t="shared" ca="1" si="4"/>
        <v>31</v>
      </c>
      <c r="AK30" s="169" t="str">
        <f t="shared" ca="1" si="20"/>
        <v>BBB</v>
      </c>
      <c r="AL30" s="169">
        <f t="shared" ca="1" si="20"/>
        <v>18</v>
      </c>
      <c r="AM30" s="169" t="str">
        <f t="shared" ca="1" si="5"/>
        <v/>
      </c>
      <c r="AQ30" s="207" t="s">
        <v>387</v>
      </c>
      <c r="AR30" s="207" t="s">
        <v>140</v>
      </c>
      <c r="AS30" s="207">
        <v>19</v>
      </c>
      <c r="AT30" s="207" t="s">
        <v>388</v>
      </c>
      <c r="AV30" s="168">
        <f t="shared" si="21"/>
        <v>10</v>
      </c>
      <c r="AW30" s="168">
        <f>COUNTIF( AV$7:AV30, AV30 )</f>
        <v>6</v>
      </c>
      <c r="AX30" s="208">
        <f t="shared" si="22"/>
        <v>10.6</v>
      </c>
      <c r="AY30" s="168">
        <f t="shared" si="23"/>
        <v>15</v>
      </c>
      <c r="AZ30" s="169"/>
      <c r="BA30" s="169"/>
      <c r="BC30" s="168">
        <f t="shared" ca="1" si="24"/>
        <v>24</v>
      </c>
      <c r="BD30" s="209">
        <f t="shared" ca="1" si="7"/>
        <v>5</v>
      </c>
      <c r="BF30" s="173" t="str">
        <f t="shared" ca="1" si="8"/>
        <v>Avista Corporation</v>
      </c>
      <c r="BG30" s="173" t="str">
        <f t="shared" ca="1" si="9"/>
        <v>BBB</v>
      </c>
      <c r="BH30" s="173">
        <f t="shared" ca="1" si="9"/>
        <v>18</v>
      </c>
      <c r="BI30" s="173" t="str">
        <f t="shared" ca="1" si="9"/>
        <v>AVA</v>
      </c>
    </row>
    <row r="31" spans="1:61" ht="13.8" x14ac:dyDescent="0.25">
      <c r="A31" s="223" t="s">
        <v>254</v>
      </c>
      <c r="B31" s="224" t="s">
        <v>141</v>
      </c>
      <c r="C31" s="224">
        <v>18</v>
      </c>
      <c r="D31" s="224" t="s">
        <v>378</v>
      </c>
      <c r="E31" s="225" t="str">
        <f t="shared" ca="1" si="0"/>
        <v>R</v>
      </c>
      <c r="F31" s="348"/>
      <c r="G31" s="349">
        <f t="shared" ca="1" si="1"/>
        <v>16</v>
      </c>
      <c r="H31" s="350"/>
      <c r="I31" s="237"/>
      <c r="J31" s="191"/>
      <c r="K31" s="237"/>
      <c r="N31" s="237"/>
      <c r="O31" s="351"/>
      <c r="Q31" s="237"/>
      <c r="T31" s="237"/>
      <c r="W31" s="237"/>
      <c r="AF31" s="169">
        <f t="shared" si="2"/>
        <v>0</v>
      </c>
      <c r="AG31" s="169" t="str">
        <f t="shared" ca="1" si="3"/>
        <v/>
      </c>
      <c r="AH31" s="169" t="str">
        <f t="shared" ca="1" si="19"/>
        <v/>
      </c>
      <c r="AJ31" s="169">
        <f t="shared" ca="1" si="4"/>
        <v>32</v>
      </c>
      <c r="AK31" s="169" t="str">
        <f t="shared" ca="1" si="20"/>
        <v>BBB</v>
      </c>
      <c r="AL31" s="169">
        <f t="shared" ca="1" si="20"/>
        <v>18</v>
      </c>
      <c r="AM31" s="169" t="str">
        <f t="shared" ca="1" si="5"/>
        <v/>
      </c>
      <c r="AQ31" s="207" t="s">
        <v>283</v>
      </c>
      <c r="AR31" s="207" t="s">
        <v>141</v>
      </c>
      <c r="AS31" s="207">
        <v>18</v>
      </c>
      <c r="AT31" s="207" t="s">
        <v>284</v>
      </c>
      <c r="AV31" s="168">
        <f t="shared" si="21"/>
        <v>23</v>
      </c>
      <c r="AW31" s="168">
        <f>COUNTIF( AV$7:AV31, AV31 )</f>
        <v>8</v>
      </c>
      <c r="AX31" s="208">
        <f t="shared" si="22"/>
        <v>23.8</v>
      </c>
      <c r="AY31" s="168">
        <f t="shared" si="23"/>
        <v>30</v>
      </c>
      <c r="AZ31" s="169"/>
      <c r="BA31" s="169"/>
      <c r="BC31" s="168">
        <f t="shared" ca="1" si="24"/>
        <v>25</v>
      </c>
      <c r="BD31" s="209">
        <f t="shared" ca="1" si="7"/>
        <v>8</v>
      </c>
      <c r="BF31" s="173" t="str">
        <f t="shared" ca="1" si="8"/>
        <v>Cleco Corporation</v>
      </c>
      <c r="BG31" s="173" t="str">
        <f t="shared" ca="1" si="9"/>
        <v>BBB</v>
      </c>
      <c r="BH31" s="173">
        <f t="shared" ca="1" si="9"/>
        <v>18</v>
      </c>
      <c r="BI31" s="173" t="str">
        <f t="shared" ca="1" si="9"/>
        <v>CNL</v>
      </c>
    </row>
    <row r="32" spans="1:61" ht="13.8" x14ac:dyDescent="0.25">
      <c r="A32" s="223" t="s">
        <v>328</v>
      </c>
      <c r="B32" s="224" t="s">
        <v>141</v>
      </c>
      <c r="C32" s="224">
        <v>18</v>
      </c>
      <c r="D32" s="224" t="s">
        <v>331</v>
      </c>
      <c r="E32" s="225" t="str">
        <f t="shared" ca="1" si="0"/>
        <v>R</v>
      </c>
      <c r="F32" s="348"/>
      <c r="G32" s="349">
        <f t="shared" ca="1" si="1"/>
        <v>24</v>
      </c>
      <c r="H32" s="350"/>
      <c r="I32" s="237"/>
      <c r="J32" s="191"/>
      <c r="K32" s="237"/>
      <c r="N32" s="237"/>
      <c r="Q32" s="237"/>
      <c r="T32" s="237"/>
      <c r="W32" s="237"/>
      <c r="AF32" s="169">
        <f t="shared" si="2"/>
        <v>0</v>
      </c>
      <c r="AG32" s="169" t="str">
        <f t="shared" ca="1" si="3"/>
        <v/>
      </c>
      <c r="AH32" s="169" t="str">
        <f t="shared" ca="1" si="19"/>
        <v/>
      </c>
      <c r="AJ32" s="169">
        <f t="shared" ca="1" si="4"/>
        <v>33</v>
      </c>
      <c r="AK32" s="169" t="str">
        <f t="shared" ca="1" si="20"/>
        <v>BBB</v>
      </c>
      <c r="AL32" s="169">
        <f t="shared" ca="1" si="20"/>
        <v>18</v>
      </c>
      <c r="AM32" s="169" t="str">
        <f t="shared" ca="1" si="5"/>
        <v/>
      </c>
      <c r="AQ32" s="207" t="s">
        <v>395</v>
      </c>
      <c r="AR32" s="207" t="s">
        <v>139</v>
      </c>
      <c r="AS32" s="207">
        <v>20</v>
      </c>
      <c r="AT32" s="207" t="s">
        <v>396</v>
      </c>
      <c r="AV32" s="168">
        <f t="shared" si="21"/>
        <v>2</v>
      </c>
      <c r="AW32" s="168">
        <f>COUNTIF( AV$7:AV32, AV32 )</f>
        <v>3</v>
      </c>
      <c r="AX32" s="208">
        <f t="shared" si="22"/>
        <v>2.2999999999999998</v>
      </c>
      <c r="AY32" s="168">
        <f t="shared" si="23"/>
        <v>4</v>
      </c>
      <c r="AZ32" s="169"/>
      <c r="BA32" s="169"/>
      <c r="BC32" s="168">
        <f t="shared" ca="1" si="24"/>
        <v>26</v>
      </c>
      <c r="BD32" s="209">
        <f t="shared" ca="1" si="7"/>
        <v>16</v>
      </c>
      <c r="BF32" s="173" t="str">
        <f t="shared" ca="1" si="8"/>
        <v>El Paso Electric Company</v>
      </c>
      <c r="BG32" s="173" t="str">
        <f t="shared" ca="1" si="9"/>
        <v>BBB</v>
      </c>
      <c r="BH32" s="173">
        <f t="shared" ca="1" si="9"/>
        <v>18</v>
      </c>
      <c r="BI32" s="173" t="str">
        <f t="shared" ca="1" si="9"/>
        <v>EE</v>
      </c>
    </row>
    <row r="33" spans="1:61" ht="13.8" x14ac:dyDescent="0.25">
      <c r="A33" s="223" t="s">
        <v>267</v>
      </c>
      <c r="B33" s="224" t="s">
        <v>141</v>
      </c>
      <c r="C33" s="224">
        <v>18</v>
      </c>
      <c r="D33" s="224" t="s">
        <v>268</v>
      </c>
      <c r="E33" s="225" t="str">
        <f t="shared" ca="1" si="0"/>
        <v>R</v>
      </c>
      <c r="F33" s="348"/>
      <c r="G33" s="349">
        <f t="shared" ca="1" si="1"/>
        <v>26</v>
      </c>
      <c r="H33" s="350"/>
      <c r="I33" s="237"/>
      <c r="J33" s="191"/>
      <c r="K33" s="237"/>
      <c r="N33" s="237"/>
      <c r="Q33" s="237"/>
      <c r="T33" s="237"/>
      <c r="W33" s="237"/>
      <c r="AF33" s="169">
        <f t="shared" si="2"/>
        <v>0</v>
      </c>
      <c r="AG33" s="169" t="str">
        <f t="shared" ca="1" si="3"/>
        <v/>
      </c>
      <c r="AH33" s="169" t="str">
        <f t="shared" ca="1" si="19"/>
        <v/>
      </c>
      <c r="AJ33" s="169">
        <f t="shared" ca="1" si="4"/>
        <v>34</v>
      </c>
      <c r="AK33" s="169" t="str">
        <f t="shared" ca="1" si="20"/>
        <v>BBB</v>
      </c>
      <c r="AL33" s="169">
        <f t="shared" ca="1" si="20"/>
        <v>18</v>
      </c>
      <c r="AM33" s="169" t="str">
        <f t="shared" ca="1" si="5"/>
        <v/>
      </c>
      <c r="AQ33" s="207" t="s">
        <v>287</v>
      </c>
      <c r="AR33" s="207" t="s">
        <v>142</v>
      </c>
      <c r="AS33" s="207">
        <v>17</v>
      </c>
      <c r="AT33" s="207" t="s">
        <v>288</v>
      </c>
      <c r="AV33" s="168">
        <f t="shared" si="21"/>
        <v>39</v>
      </c>
      <c r="AW33" s="168">
        <f>COUNTIF( AV$7:AV33, AV33 )</f>
        <v>9</v>
      </c>
      <c r="AX33" s="208">
        <f t="shared" si="22"/>
        <v>39.9</v>
      </c>
      <c r="AY33" s="168">
        <f t="shared" si="23"/>
        <v>47</v>
      </c>
      <c r="AZ33" s="169"/>
      <c r="BA33" s="169"/>
      <c r="BC33" s="168">
        <f t="shared" ca="1" si="24"/>
        <v>27</v>
      </c>
      <c r="BD33" s="209">
        <f t="shared" ca="1" si="7"/>
        <v>19</v>
      </c>
      <c r="BF33" s="173" t="str">
        <f t="shared" ca="1" si="8"/>
        <v>Entergy Corporation</v>
      </c>
      <c r="BG33" s="173" t="str">
        <f t="shared" ca="1" si="9"/>
        <v>BBB</v>
      </c>
      <c r="BH33" s="173">
        <f t="shared" ca="1" si="9"/>
        <v>18</v>
      </c>
      <c r="BI33" s="173" t="str">
        <f t="shared" ca="1" si="9"/>
        <v>ETR</v>
      </c>
    </row>
    <row r="34" spans="1:61" ht="13.8" x14ac:dyDescent="0.25">
      <c r="A34" s="223" t="s">
        <v>269</v>
      </c>
      <c r="B34" s="224" t="s">
        <v>141</v>
      </c>
      <c r="C34" s="224">
        <v>18</v>
      </c>
      <c r="D34" s="224" t="s">
        <v>270</v>
      </c>
      <c r="E34" s="225" t="str">
        <f t="shared" ca="1" si="0"/>
        <v>MR</v>
      </c>
      <c r="F34" s="348"/>
      <c r="G34" s="349">
        <f t="shared" ca="1" si="1"/>
        <v>27</v>
      </c>
      <c r="H34" s="350"/>
      <c r="I34" s="237"/>
      <c r="J34" s="191"/>
      <c r="K34" s="237"/>
      <c r="N34" s="237"/>
      <c r="Q34" s="237"/>
      <c r="T34" s="237"/>
      <c r="W34" s="237"/>
      <c r="AF34" s="169">
        <f t="shared" si="2"/>
        <v>0</v>
      </c>
      <c r="AG34" s="169" t="str">
        <f t="shared" ca="1" si="3"/>
        <v/>
      </c>
      <c r="AH34" s="169" t="str">
        <f t="shared" ca="1" si="19"/>
        <v/>
      </c>
      <c r="AJ34" s="169">
        <f t="shared" ca="1" si="4"/>
        <v>35</v>
      </c>
      <c r="AK34" s="169" t="str">
        <f t="shared" ca="1" si="20"/>
        <v>BBB</v>
      </c>
      <c r="AL34" s="169">
        <f t="shared" ca="1" si="20"/>
        <v>18</v>
      </c>
      <c r="AM34" s="169" t="str">
        <f t="shared" ca="1" si="5"/>
        <v/>
      </c>
      <c r="AQ34" s="207" t="s">
        <v>271</v>
      </c>
      <c r="AR34" s="207" t="s">
        <v>140</v>
      </c>
      <c r="AS34" s="207">
        <v>19</v>
      </c>
      <c r="AT34" s="207" t="s">
        <v>272</v>
      </c>
      <c r="AV34" s="168">
        <f t="shared" si="21"/>
        <v>10</v>
      </c>
      <c r="AW34" s="168">
        <f>COUNTIF( AV$7:AV34, AV34 )</f>
        <v>7</v>
      </c>
      <c r="AX34" s="208">
        <f t="shared" si="22"/>
        <v>10.7</v>
      </c>
      <c r="AY34" s="168">
        <f t="shared" si="23"/>
        <v>16</v>
      </c>
      <c r="AZ34" s="169"/>
      <c r="BA34" s="169"/>
      <c r="BC34" s="168">
        <f t="shared" ca="1" si="24"/>
        <v>28</v>
      </c>
      <c r="BD34" s="209">
        <f t="shared" ca="1" si="7"/>
        <v>20</v>
      </c>
      <c r="BF34" s="173" t="str">
        <f t="shared" ca="1" si="8"/>
        <v>Exelon Corporation</v>
      </c>
      <c r="BG34" s="173" t="str">
        <f t="shared" ca="1" si="9"/>
        <v>BBB</v>
      </c>
      <c r="BH34" s="173">
        <f t="shared" ca="1" si="9"/>
        <v>18</v>
      </c>
      <c r="BI34" s="173" t="str">
        <f t="shared" ca="1" si="9"/>
        <v>EXC</v>
      </c>
    </row>
    <row r="35" spans="1:61" ht="13.8" x14ac:dyDescent="0.25">
      <c r="A35" s="223" t="s">
        <v>352</v>
      </c>
      <c r="B35" s="224" t="s">
        <v>141</v>
      </c>
      <c r="C35" s="224">
        <v>18</v>
      </c>
      <c r="D35" s="224" t="s">
        <v>353</v>
      </c>
      <c r="E35" s="225" t="str">
        <f t="shared" ca="1" si="0"/>
        <v>R</v>
      </c>
      <c r="F35" s="348"/>
      <c r="G35" s="349">
        <f t="shared" ca="1" si="1"/>
        <v>29</v>
      </c>
      <c r="H35" s="350"/>
      <c r="I35" s="237"/>
      <c r="K35" s="237"/>
      <c r="N35" s="237"/>
      <c r="Q35" s="237"/>
      <c r="T35" s="237"/>
      <c r="W35" s="237"/>
      <c r="AF35" s="169">
        <f t="shared" si="2"/>
        <v>0</v>
      </c>
      <c r="AG35" s="169" t="str">
        <f t="shared" ca="1" si="3"/>
        <v/>
      </c>
      <c r="AH35" s="169" t="str">
        <f t="shared" ca="1" si="19"/>
        <v/>
      </c>
      <c r="AJ35" s="169">
        <f t="shared" ca="1" si="4"/>
        <v>36</v>
      </c>
      <c r="AK35" s="169" t="str">
        <f t="shared" ca="1" si="20"/>
        <v>BBB</v>
      </c>
      <c r="AL35" s="169">
        <f t="shared" ca="1" si="20"/>
        <v>18</v>
      </c>
      <c r="AM35" s="169" t="str">
        <f t="shared" ca="1" si="5"/>
        <v/>
      </c>
      <c r="AQ35" s="207" t="s">
        <v>408</v>
      </c>
      <c r="AR35" s="207" t="s">
        <v>140</v>
      </c>
      <c r="AS35" s="207">
        <v>19</v>
      </c>
      <c r="AT35" s="207" t="s">
        <v>216</v>
      </c>
      <c r="AV35" s="168">
        <f t="shared" si="21"/>
        <v>10</v>
      </c>
      <c r="AW35" s="168">
        <f>COUNTIF( AV$7:AV35, AV35 )</f>
        <v>8</v>
      </c>
      <c r="AX35" s="208">
        <f t="shared" si="22"/>
        <v>10.8</v>
      </c>
      <c r="AY35" s="168">
        <f t="shared" si="23"/>
        <v>17</v>
      </c>
      <c r="AZ35" s="169"/>
      <c r="BA35" s="169"/>
      <c r="BC35" s="168">
        <f t="shared" ca="1" si="24"/>
        <v>29</v>
      </c>
      <c r="BD35" s="209">
        <f t="shared" ca="1" si="7"/>
        <v>22</v>
      </c>
      <c r="BF35" s="173" t="str">
        <f t="shared" ca="1" si="8"/>
        <v>Great Plains Energy Inc.</v>
      </c>
      <c r="BG35" s="173" t="str">
        <f t="shared" ca="1" si="9"/>
        <v>BBB</v>
      </c>
      <c r="BH35" s="173">
        <f t="shared" ca="1" si="9"/>
        <v>18</v>
      </c>
      <c r="BI35" s="173" t="str">
        <f t="shared" ca="1" si="9"/>
        <v>GXP</v>
      </c>
    </row>
    <row r="36" spans="1:61" ht="13.8" x14ac:dyDescent="0.25">
      <c r="A36" s="223" t="s">
        <v>283</v>
      </c>
      <c r="B36" s="224" t="s">
        <v>141</v>
      </c>
      <c r="C36" s="224">
        <v>18</v>
      </c>
      <c r="D36" s="224" t="s">
        <v>284</v>
      </c>
      <c r="E36" s="225" t="str">
        <f t="shared" ca="1" si="0"/>
        <v>R</v>
      </c>
      <c r="F36" s="348"/>
      <c r="G36" s="349">
        <f t="shared" ca="1" si="1"/>
        <v>31</v>
      </c>
      <c r="H36" s="350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9"/>
        <v/>
      </c>
      <c r="AJ36" s="169">
        <f t="shared" ca="1" si="4"/>
        <v>37</v>
      </c>
      <c r="AK36" s="169" t="str">
        <f t="shared" ca="1" si="20"/>
        <v>BBB</v>
      </c>
      <c r="AL36" s="169">
        <f t="shared" ca="1" si="20"/>
        <v>18</v>
      </c>
      <c r="AM36" s="169" t="str">
        <f t="shared" ca="1" si="5"/>
        <v/>
      </c>
      <c r="AQ36" s="207" t="s">
        <v>240</v>
      </c>
      <c r="AR36" s="207" t="s">
        <v>139</v>
      </c>
      <c r="AS36" s="207">
        <v>20</v>
      </c>
      <c r="AT36" s="207" t="s">
        <v>241</v>
      </c>
      <c r="AV36" s="168">
        <f t="shared" si="21"/>
        <v>2</v>
      </c>
      <c r="AW36" s="168">
        <f>COUNTIF( AV$7:AV36, AV36 )</f>
        <v>4</v>
      </c>
      <c r="AX36" s="208">
        <f t="shared" si="22"/>
        <v>2.4</v>
      </c>
      <c r="AY36" s="168">
        <f t="shared" si="23"/>
        <v>5</v>
      </c>
      <c r="AZ36" s="169"/>
      <c r="BA36" s="169"/>
      <c r="BC36" s="168">
        <f t="shared" ca="1" si="24"/>
        <v>30</v>
      </c>
      <c r="BD36" s="209">
        <f t="shared" ca="1" si="7"/>
        <v>25</v>
      </c>
      <c r="BF36" s="173" t="str">
        <f t="shared" ca="1" si="8"/>
        <v>IDACORP, Inc.</v>
      </c>
      <c r="BG36" s="173" t="str">
        <f t="shared" ca="1" si="9"/>
        <v>BBB</v>
      </c>
      <c r="BH36" s="173">
        <f t="shared" ca="1" si="9"/>
        <v>18</v>
      </c>
      <c r="BI36" s="173" t="str">
        <f t="shared" ca="1" si="9"/>
        <v>IDA</v>
      </c>
    </row>
    <row r="37" spans="1:61" ht="13.8" x14ac:dyDescent="0.25">
      <c r="A37" s="223" t="s">
        <v>297</v>
      </c>
      <c r="B37" s="224" t="s">
        <v>141</v>
      </c>
      <c r="C37" s="224">
        <v>18</v>
      </c>
      <c r="D37" s="224" t="s">
        <v>298</v>
      </c>
      <c r="E37" s="225" t="str">
        <f t="shared" ca="1" si="0"/>
        <v>R</v>
      </c>
      <c r="F37" s="348"/>
      <c r="G37" s="349">
        <f t="shared" ca="1" si="1"/>
        <v>38</v>
      </c>
      <c r="H37" s="350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4"/>
        <v>38</v>
      </c>
      <c r="AK37" s="169" t="str">
        <f t="shared" ca="1" si="20"/>
        <v>BBB</v>
      </c>
      <c r="AL37" s="169">
        <f t="shared" ca="1" si="20"/>
        <v>18</v>
      </c>
      <c r="AM37" s="169" t="str">
        <f t="shared" ca="1" si="5"/>
        <v/>
      </c>
      <c r="AQ37" s="207" t="s">
        <v>273</v>
      </c>
      <c r="AR37" s="207" t="s">
        <v>142</v>
      </c>
      <c r="AS37" s="207">
        <v>17</v>
      </c>
      <c r="AT37" s="207" t="s">
        <v>274</v>
      </c>
      <c r="AV37" s="168">
        <f t="shared" si="21"/>
        <v>39</v>
      </c>
      <c r="AW37" s="168">
        <f>COUNTIF( AV$7:AV37, AV37 )</f>
        <v>10</v>
      </c>
      <c r="AX37" s="208">
        <f t="shared" si="22"/>
        <v>40</v>
      </c>
      <c r="AY37" s="168">
        <f t="shared" si="23"/>
        <v>48</v>
      </c>
      <c r="AZ37" s="169"/>
      <c r="BA37" s="169"/>
      <c r="BC37" s="168">
        <f t="shared" ca="1" si="24"/>
        <v>31</v>
      </c>
      <c r="BD37" s="209">
        <f t="shared" ca="1" si="7"/>
        <v>33</v>
      </c>
      <c r="BF37" s="173" t="str">
        <f t="shared" ca="1" si="8"/>
        <v>NorthWestern Corporation</v>
      </c>
      <c r="BG37" s="173" t="str">
        <f t="shared" ca="1" si="9"/>
        <v>BBB</v>
      </c>
      <c r="BH37" s="173">
        <f t="shared" ca="1" si="9"/>
        <v>18</v>
      </c>
      <c r="BI37" s="173" t="str">
        <f t="shared" ca="1" si="9"/>
        <v>NWE</v>
      </c>
    </row>
    <row r="38" spans="1:61" ht="13.8" x14ac:dyDescent="0.25">
      <c r="A38" s="223" t="s">
        <v>301</v>
      </c>
      <c r="B38" s="224" t="s">
        <v>141</v>
      </c>
      <c r="C38" s="224">
        <v>18</v>
      </c>
      <c r="D38" s="224" t="s">
        <v>302</v>
      </c>
      <c r="E38" s="225" t="str">
        <f t="shared" ca="1" si="0"/>
        <v>R</v>
      </c>
      <c r="F38" s="348"/>
      <c r="G38" s="349">
        <f t="shared" ca="1" si="1"/>
        <v>44</v>
      </c>
      <c r="H38" s="350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4"/>
        <v>39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5"/>
        <v/>
      </c>
      <c r="AQ38" s="207" t="s">
        <v>394</v>
      </c>
      <c r="AR38" s="207" t="s">
        <v>139</v>
      </c>
      <c r="AS38" s="207">
        <v>20</v>
      </c>
      <c r="AT38" s="207" t="s">
        <v>236</v>
      </c>
      <c r="AV38" s="168">
        <f t="shared" si="21"/>
        <v>2</v>
      </c>
      <c r="AW38" s="168">
        <f>COUNTIF( AV$7:AV38, AV38 )</f>
        <v>5</v>
      </c>
      <c r="AX38" s="208">
        <f t="shared" si="22"/>
        <v>2.5</v>
      </c>
      <c r="AY38" s="168">
        <f t="shared" si="23"/>
        <v>6</v>
      </c>
      <c r="AZ38" s="169"/>
      <c r="BA38" s="169"/>
      <c r="BC38" s="168">
        <f t="shared" ca="1" si="24"/>
        <v>32</v>
      </c>
      <c r="BD38" s="209">
        <f t="shared" ca="1" si="7"/>
        <v>38</v>
      </c>
      <c r="BF38" s="173" t="str">
        <f t="shared" ca="1" si="8"/>
        <v>PG&amp;E Corporation</v>
      </c>
      <c r="BG38" s="173" t="str">
        <f t="shared" ca="1" si="9"/>
        <v>BBB</v>
      </c>
      <c r="BH38" s="173">
        <f t="shared" ca="1" si="9"/>
        <v>18</v>
      </c>
      <c r="BI38" s="173" t="str">
        <f t="shared" ca="1" si="9"/>
        <v>PCG</v>
      </c>
    </row>
    <row r="39" spans="1:61" ht="13.8" x14ac:dyDescent="0.25">
      <c r="A39" s="223" t="s">
        <v>281</v>
      </c>
      <c r="B39" s="224" t="s">
        <v>141</v>
      </c>
      <c r="C39" s="224">
        <v>18</v>
      </c>
      <c r="D39" s="224" t="s">
        <v>282</v>
      </c>
      <c r="E39" s="225" t="str">
        <f t="shared" ca="1" si="0"/>
        <v>R</v>
      </c>
      <c r="F39" s="348"/>
      <c r="G39" s="349">
        <f t="shared" ca="1" si="1"/>
        <v>45</v>
      </c>
      <c r="H39" s="350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9"/>
        <v/>
      </c>
      <c r="AJ39" s="169">
        <f t="shared" ca="1" si="4"/>
        <v>40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5"/>
        <v/>
      </c>
      <c r="AQ39" s="207" t="s">
        <v>297</v>
      </c>
      <c r="AR39" s="207" t="s">
        <v>141</v>
      </c>
      <c r="AS39" s="207">
        <v>18</v>
      </c>
      <c r="AT39" s="207" t="s">
        <v>298</v>
      </c>
      <c r="AV39" s="168">
        <f t="shared" si="21"/>
        <v>23</v>
      </c>
      <c r="AW39" s="168">
        <f>COUNTIF( AV$7:AV39, AV39 )</f>
        <v>9</v>
      </c>
      <c r="AX39" s="208">
        <f t="shared" si="22"/>
        <v>23.9</v>
      </c>
      <c r="AY39" s="168">
        <f t="shared" si="23"/>
        <v>31</v>
      </c>
      <c r="AZ39" s="169"/>
      <c r="BA39" s="169"/>
      <c r="BC39" s="168">
        <f t="shared" ca="1" si="24"/>
        <v>33</v>
      </c>
      <c r="BD39" s="209">
        <f t="shared" ca="1" si="7"/>
        <v>39</v>
      </c>
      <c r="BF39" s="173" t="str">
        <f t="shared" ref="BF39:BF63" ca="1" si="25">OFFSET( AQ$6, $BD39, 0 )</f>
        <v>Pinnacle West Capital Corporation</v>
      </c>
      <c r="BG39" s="173" t="str">
        <f t="shared" ca="1" si="9"/>
        <v>BBB</v>
      </c>
      <c r="BH39" s="173">
        <f t="shared" ca="1" si="9"/>
        <v>18</v>
      </c>
      <c r="BI39" s="173" t="str">
        <f t="shared" ca="1" si="9"/>
        <v>PNW</v>
      </c>
    </row>
    <row r="40" spans="1:61" ht="13.8" x14ac:dyDescent="0.25">
      <c r="A40" s="223" t="s">
        <v>285</v>
      </c>
      <c r="B40" s="224" t="s">
        <v>141</v>
      </c>
      <c r="C40" s="224">
        <v>18</v>
      </c>
      <c r="D40" s="224" t="s">
        <v>286</v>
      </c>
      <c r="E40" s="225" t="str">
        <f t="shared" ca="1" si="0"/>
        <v>R</v>
      </c>
      <c r="F40" s="348"/>
      <c r="G40" s="349">
        <f t="shared" ca="1" si="1"/>
        <v>47</v>
      </c>
      <c r="H40" s="350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4"/>
        <v>41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5"/>
        <v/>
      </c>
      <c r="AQ40" s="207" t="s">
        <v>411</v>
      </c>
      <c r="AR40" s="207" t="s">
        <v>173</v>
      </c>
      <c r="AS40" s="207">
        <v>16</v>
      </c>
      <c r="AT40" s="207" t="s">
        <v>412</v>
      </c>
      <c r="AV40" s="168">
        <f t="shared" si="21"/>
        <v>51</v>
      </c>
      <c r="AW40" s="168">
        <f>COUNTIF( AV$7:AV40, AV40 )</f>
        <v>1</v>
      </c>
      <c r="AX40" s="208">
        <f t="shared" si="22"/>
        <v>51.1</v>
      </c>
      <c r="AY40" s="168">
        <f t="shared" si="23"/>
        <v>51</v>
      </c>
      <c r="AZ40" s="169"/>
      <c r="BA40" s="169"/>
      <c r="BC40" s="168">
        <f t="shared" ca="1" si="24"/>
        <v>34</v>
      </c>
      <c r="BD40" s="209">
        <f t="shared" ca="1" si="7"/>
        <v>41</v>
      </c>
      <c r="BF40" s="173" t="str">
        <f t="shared" ca="1" si="25"/>
        <v>Portland General Electric Company</v>
      </c>
      <c r="BG40" s="173" t="str">
        <f t="shared" ca="1" si="9"/>
        <v>BBB</v>
      </c>
      <c r="BH40" s="173">
        <f t="shared" ca="1" si="9"/>
        <v>18</v>
      </c>
      <c r="BI40" s="173" t="str">
        <f t="shared" ca="1" si="9"/>
        <v>POR</v>
      </c>
    </row>
    <row r="41" spans="1:61" ht="13.8" x14ac:dyDescent="0.25">
      <c r="A41" s="223" t="s">
        <v>243</v>
      </c>
      <c r="B41" s="224" t="s">
        <v>141</v>
      </c>
      <c r="C41" s="224">
        <v>18</v>
      </c>
      <c r="D41" s="224" t="s">
        <v>244</v>
      </c>
      <c r="E41" s="225" t="str">
        <f t="shared" ca="1" si="0"/>
        <v>MR</v>
      </c>
      <c r="F41" s="348"/>
      <c r="G41" s="349">
        <f t="shared" ca="1" si="1"/>
        <v>48</v>
      </c>
      <c r="H41" s="350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4"/>
        <v>42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5"/>
        <v/>
      </c>
      <c r="AQ41" s="207" t="s">
        <v>277</v>
      </c>
      <c r="AR41" s="207" t="s">
        <v>140</v>
      </c>
      <c r="AS41" s="207">
        <v>19</v>
      </c>
      <c r="AT41" s="207" t="s">
        <v>278</v>
      </c>
      <c r="AV41" s="168">
        <f t="shared" si="21"/>
        <v>10</v>
      </c>
      <c r="AW41" s="168">
        <f>COUNTIF( AV$7:AV41, AV41 )</f>
        <v>9</v>
      </c>
      <c r="AX41" s="208">
        <f t="shared" si="22"/>
        <v>10.9</v>
      </c>
      <c r="AY41" s="168">
        <f t="shared" si="23"/>
        <v>18</v>
      </c>
      <c r="AZ41" s="169"/>
      <c r="BA41" s="169"/>
      <c r="BC41" s="168">
        <f t="shared" ca="1" si="24"/>
        <v>35</v>
      </c>
      <c r="BD41" s="209">
        <f t="shared" ca="1" si="7"/>
        <v>42</v>
      </c>
      <c r="BF41" s="173" t="str">
        <f t="shared" ca="1" si="25"/>
        <v>PPL Corporation</v>
      </c>
      <c r="BG41" s="173" t="str">
        <f t="shared" ca="1" si="9"/>
        <v>BBB</v>
      </c>
      <c r="BH41" s="173">
        <f t="shared" ca="1" si="9"/>
        <v>18</v>
      </c>
      <c r="BI41" s="173" t="str">
        <f t="shared" ca="1" si="9"/>
        <v>PPL</v>
      </c>
    </row>
    <row r="42" spans="1:61" ht="13.8" x14ac:dyDescent="0.25">
      <c r="A42" s="223" t="s">
        <v>289</v>
      </c>
      <c r="B42" s="224" t="s">
        <v>141</v>
      </c>
      <c r="C42" s="224">
        <v>18</v>
      </c>
      <c r="D42" s="224" t="s">
        <v>290</v>
      </c>
      <c r="E42" s="225" t="str">
        <f t="shared" ca="1" si="0"/>
        <v>MR</v>
      </c>
      <c r="F42" s="348"/>
      <c r="G42" s="349">
        <f t="shared" ca="1" si="1"/>
        <v>50</v>
      </c>
      <c r="H42" s="350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4"/>
        <v>43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5"/>
        <v/>
      </c>
      <c r="AQ42" s="207" t="s">
        <v>299</v>
      </c>
      <c r="AR42" s="207" t="s">
        <v>142</v>
      </c>
      <c r="AS42" s="207">
        <v>17</v>
      </c>
      <c r="AT42" s="207" t="s">
        <v>300</v>
      </c>
      <c r="AV42" s="168">
        <f t="shared" si="21"/>
        <v>39</v>
      </c>
      <c r="AW42" s="168">
        <f>COUNTIF( AV$7:AV42, AV42 )</f>
        <v>11</v>
      </c>
      <c r="AX42" s="208">
        <f t="shared" si="22"/>
        <v>40.1</v>
      </c>
      <c r="AY42" s="168">
        <f t="shared" si="23"/>
        <v>49</v>
      </c>
      <c r="AZ42" s="169"/>
      <c r="BA42" s="169"/>
      <c r="BC42" s="168">
        <f t="shared" ca="1" si="24"/>
        <v>36</v>
      </c>
      <c r="BD42" s="209">
        <f t="shared" ca="1" si="7"/>
        <v>43</v>
      </c>
      <c r="BF42" s="173" t="str">
        <f t="shared" ca="1" si="25"/>
        <v>Public Service Enterprise Group Incorporated</v>
      </c>
      <c r="BG42" s="173" t="str">
        <f t="shared" ca="1" si="9"/>
        <v>BBB</v>
      </c>
      <c r="BH42" s="173">
        <f t="shared" ca="1" si="9"/>
        <v>18</v>
      </c>
      <c r="BI42" s="173" t="str">
        <f t="shared" ca="1" si="9"/>
        <v>PEG</v>
      </c>
    </row>
    <row r="43" spans="1:61" ht="13.8" x14ac:dyDescent="0.25">
      <c r="A43" s="223" t="s">
        <v>389</v>
      </c>
      <c r="B43" s="224" t="s">
        <v>141</v>
      </c>
      <c r="C43" s="224">
        <v>18</v>
      </c>
      <c r="D43" s="224" t="s">
        <v>390</v>
      </c>
      <c r="E43" s="225" t="str">
        <f t="shared" ca="1" si="0"/>
        <v>R</v>
      </c>
      <c r="F43" s="348"/>
      <c r="G43" s="349">
        <f t="shared" ca="1" si="1"/>
        <v>55</v>
      </c>
      <c r="H43" s="350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9"/>
        <v/>
      </c>
      <c r="AJ43" s="169">
        <f t="shared" ca="1" si="4"/>
        <v>44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5"/>
        <v/>
      </c>
      <c r="AQ43" s="207" t="s">
        <v>382</v>
      </c>
      <c r="AR43" s="207" t="s">
        <v>140</v>
      </c>
      <c r="AS43" s="207">
        <v>19</v>
      </c>
      <c r="AT43" s="207" t="s">
        <v>383</v>
      </c>
      <c r="AV43" s="168">
        <f t="shared" si="21"/>
        <v>10</v>
      </c>
      <c r="AW43" s="168">
        <f>COUNTIF( AV$7:AV43, AV43 )</f>
        <v>10</v>
      </c>
      <c r="AX43" s="208">
        <f t="shared" si="22"/>
        <v>11</v>
      </c>
      <c r="AY43" s="168">
        <f t="shared" si="23"/>
        <v>19</v>
      </c>
      <c r="AZ43" s="169"/>
      <c r="BA43" s="169"/>
      <c r="BC43" s="168">
        <f t="shared" ca="1" si="24"/>
        <v>37</v>
      </c>
      <c r="BD43" s="209">
        <f t="shared" ca="1" si="7"/>
        <v>49</v>
      </c>
      <c r="BF43" s="173" t="str">
        <f t="shared" ca="1" si="25"/>
        <v>UIL Holdings Corporation</v>
      </c>
      <c r="BG43" s="173" t="str">
        <f t="shared" ca="1" si="9"/>
        <v>BBB</v>
      </c>
      <c r="BH43" s="173">
        <f t="shared" ca="1" si="9"/>
        <v>18</v>
      </c>
      <c r="BI43" s="173" t="str">
        <f t="shared" ca="1" si="9"/>
        <v>UIL</v>
      </c>
    </row>
    <row r="44" spans="1:61" ht="13.8" x14ac:dyDescent="0.25">
      <c r="A44" s="223" t="s">
        <v>354</v>
      </c>
      <c r="B44" s="224" t="s">
        <v>141</v>
      </c>
      <c r="C44" s="224">
        <v>18</v>
      </c>
      <c r="D44" s="224" t="s">
        <v>355</v>
      </c>
      <c r="E44" s="225" t="str">
        <f t="shared" ca="1" si="0"/>
        <v>R</v>
      </c>
      <c r="F44" s="348"/>
      <c r="G44" s="349">
        <f t="shared" ca="1" si="1"/>
        <v>59</v>
      </c>
      <c r="H44" s="350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9"/>
        <v/>
      </c>
      <c r="AJ44" s="169">
        <f t="shared" ca="1" si="4"/>
        <v>45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5"/>
        <v/>
      </c>
      <c r="AQ44" s="207" t="s">
        <v>301</v>
      </c>
      <c r="AR44" s="207" t="s">
        <v>141</v>
      </c>
      <c r="AS44" s="207">
        <v>18</v>
      </c>
      <c r="AT44" s="207" t="s">
        <v>302</v>
      </c>
      <c r="AV44" s="168">
        <f t="shared" si="21"/>
        <v>23</v>
      </c>
      <c r="AW44" s="168">
        <f>COUNTIF( AV$7:AV44, AV44 )</f>
        <v>10</v>
      </c>
      <c r="AX44" s="208">
        <f t="shared" si="22"/>
        <v>24</v>
      </c>
      <c r="AY44" s="168">
        <f t="shared" si="23"/>
        <v>32</v>
      </c>
      <c r="AZ44" s="169"/>
      <c r="BA44" s="169"/>
      <c r="BC44" s="168">
        <f t="shared" ca="1" si="24"/>
        <v>38</v>
      </c>
      <c r="BD44" s="209">
        <f t="shared" ca="1" si="7"/>
        <v>51</v>
      </c>
      <c r="BF44" s="173" t="str">
        <f t="shared" ca="1" si="25"/>
        <v>Westar Energy, Inc.</v>
      </c>
      <c r="BG44" s="173" t="str">
        <f t="shared" ca="1" si="9"/>
        <v>BBB</v>
      </c>
      <c r="BH44" s="173">
        <f t="shared" ca="1" si="9"/>
        <v>18</v>
      </c>
      <c r="BI44" s="173" t="str">
        <f t="shared" ca="1" si="9"/>
        <v>WR</v>
      </c>
    </row>
    <row r="45" spans="1:61" ht="13.8" x14ac:dyDescent="0.25">
      <c r="A45" s="223" t="s">
        <v>225</v>
      </c>
      <c r="B45" s="224" t="s">
        <v>142</v>
      </c>
      <c r="C45" s="224">
        <v>17</v>
      </c>
      <c r="D45" s="224" t="s">
        <v>226</v>
      </c>
      <c r="E45" s="225" t="str">
        <f t="shared" ca="1" si="0"/>
        <v>R</v>
      </c>
      <c r="F45" s="348"/>
      <c r="G45" s="349">
        <f t="shared" ca="1" si="1"/>
        <v>9</v>
      </c>
      <c r="H45" s="350"/>
      <c r="I45" s="237"/>
      <c r="J45" s="191"/>
      <c r="K45" s="237"/>
      <c r="N45" s="237"/>
      <c r="Q45" s="237"/>
      <c r="T45" s="237"/>
      <c r="W45" s="237"/>
      <c r="AF45" s="169">
        <f t="shared" si="2"/>
        <v>1</v>
      </c>
      <c r="AG45" s="169" t="str">
        <f t="shared" ca="1" si="3"/>
        <v/>
      </c>
      <c r="AH45" s="169" t="str">
        <f t="shared" ca="1" si="19"/>
        <v/>
      </c>
      <c r="AJ45" s="169">
        <f t="shared" ca="1" si="4"/>
        <v>46</v>
      </c>
      <c r="AK45" s="169" t="str">
        <f t="shared" ca="1" si="20"/>
        <v>BBB-</v>
      </c>
      <c r="AL45" s="169">
        <f t="shared" ca="1" si="20"/>
        <v>17</v>
      </c>
      <c r="AM45" s="169" t="str">
        <f t="shared" ca="1" si="5"/>
        <v/>
      </c>
      <c r="AQ45" s="207" t="s">
        <v>281</v>
      </c>
      <c r="AR45" s="207" t="s">
        <v>141</v>
      </c>
      <c r="AS45" s="207">
        <v>18</v>
      </c>
      <c r="AT45" s="207" t="s">
        <v>282</v>
      </c>
      <c r="AV45" s="168">
        <f t="shared" si="21"/>
        <v>23</v>
      </c>
      <c r="AW45" s="168">
        <f>COUNTIF( AV$7:AV45, AV45 )</f>
        <v>11</v>
      </c>
      <c r="AX45" s="208">
        <f t="shared" si="22"/>
        <v>24.1</v>
      </c>
      <c r="AY45" s="168">
        <f t="shared" si="23"/>
        <v>33</v>
      </c>
      <c r="AZ45" s="169"/>
      <c r="BA45" s="169"/>
      <c r="BC45" s="168">
        <f t="shared" ca="1" si="24"/>
        <v>39</v>
      </c>
      <c r="BD45" s="209">
        <f t="shared" ca="1" si="7"/>
        <v>3</v>
      </c>
      <c r="BF45" s="173" t="str">
        <f t="shared" ca="1" si="25"/>
        <v>Ameren Corporation</v>
      </c>
      <c r="BG45" s="173" t="str">
        <f t="shared" ca="1" si="9"/>
        <v>BBB-</v>
      </c>
      <c r="BH45" s="173">
        <f t="shared" ca="1" si="9"/>
        <v>17</v>
      </c>
      <c r="BI45" s="173" t="str">
        <f t="shared" ca="1" si="9"/>
        <v>AEE</v>
      </c>
    </row>
    <row r="46" spans="1:61" ht="13.8" x14ac:dyDescent="0.25">
      <c r="A46" s="223" t="s">
        <v>245</v>
      </c>
      <c r="B46" s="224" t="s">
        <v>142</v>
      </c>
      <c r="C46" s="224">
        <v>17</v>
      </c>
      <c r="D46" s="224" t="s">
        <v>246</v>
      </c>
      <c r="E46" s="225" t="str">
        <f t="shared" ca="1" si="0"/>
        <v>MR</v>
      </c>
      <c r="F46" s="348"/>
      <c r="G46" s="349">
        <f t="shared" ca="1" si="1"/>
        <v>12</v>
      </c>
      <c r="H46" s="350"/>
      <c r="I46" s="191"/>
      <c r="K46" s="191"/>
      <c r="N46" s="351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9"/>
        <v/>
      </c>
      <c r="AJ46" s="169">
        <f t="shared" ca="1" si="4"/>
        <v>47</v>
      </c>
      <c r="AK46" s="169" t="str">
        <f t="shared" ca="1" si="20"/>
        <v>BBB-</v>
      </c>
      <c r="AL46" s="169">
        <f t="shared" ca="1" si="20"/>
        <v>17</v>
      </c>
      <c r="AM46" s="169" t="str">
        <f t="shared" ca="1" si="5"/>
        <v/>
      </c>
      <c r="AQ46" s="207" t="s">
        <v>303</v>
      </c>
      <c r="AR46" s="207" t="s">
        <v>142</v>
      </c>
      <c r="AS46" s="207">
        <v>17</v>
      </c>
      <c r="AT46" s="207" t="s">
        <v>304</v>
      </c>
      <c r="AV46" s="168">
        <f t="shared" si="21"/>
        <v>39</v>
      </c>
      <c r="AW46" s="168">
        <f>COUNTIF( AV$7:AV46, AV46 )</f>
        <v>12</v>
      </c>
      <c r="AX46" s="208">
        <f t="shared" si="22"/>
        <v>40.200000000000003</v>
      </c>
      <c r="AY46" s="168">
        <f t="shared" si="23"/>
        <v>50</v>
      </c>
      <c r="AZ46" s="169"/>
      <c r="BA46" s="169"/>
      <c r="BC46" s="168">
        <f t="shared" ca="1" si="24"/>
        <v>40</v>
      </c>
      <c r="BD46" s="209">
        <f t="shared" ca="1" si="7"/>
        <v>6</v>
      </c>
      <c r="BF46" s="173" t="str">
        <f t="shared" ca="1" si="25"/>
        <v>Black Hills Corporation</v>
      </c>
      <c r="BG46" s="173" t="str">
        <f t="shared" ca="1" si="9"/>
        <v>BBB-</v>
      </c>
      <c r="BH46" s="173">
        <f t="shared" ca="1" si="9"/>
        <v>17</v>
      </c>
      <c r="BI46" s="173" t="str">
        <f t="shared" ca="1" si="9"/>
        <v>BKH</v>
      </c>
    </row>
    <row r="47" spans="1:61" ht="13.8" x14ac:dyDescent="0.25">
      <c r="A47" s="223" t="s">
        <v>256</v>
      </c>
      <c r="B47" s="224" t="s">
        <v>142</v>
      </c>
      <c r="C47" s="224">
        <v>17</v>
      </c>
      <c r="D47" s="224" t="s">
        <v>257</v>
      </c>
      <c r="E47" s="225" t="str">
        <f t="shared" ca="1" si="0"/>
        <v>R</v>
      </c>
      <c r="F47" s="348"/>
      <c r="G47" s="349">
        <f t="shared" ca="1" si="1"/>
        <v>17</v>
      </c>
      <c r="H47" s="350"/>
      <c r="I47" s="350"/>
      <c r="J47" s="187" t="s">
        <v>373</v>
      </c>
      <c r="K47" s="191"/>
      <c r="M47" s="351"/>
      <c r="N47" s="351"/>
      <c r="AF47" s="169">
        <f t="shared" si="2"/>
        <v>1</v>
      </c>
      <c r="AG47" s="169" t="str">
        <f t="shared" ca="1" si="3"/>
        <v/>
      </c>
      <c r="AH47" s="169" t="str">
        <f t="shared" ca="1" si="19"/>
        <v/>
      </c>
      <c r="AJ47" s="169">
        <f t="shared" ca="1" si="4"/>
        <v>48</v>
      </c>
      <c r="AK47" s="169" t="str">
        <f t="shared" ca="1" si="20"/>
        <v>BBB-</v>
      </c>
      <c r="AL47" s="169">
        <f t="shared" ca="1" si="20"/>
        <v>17</v>
      </c>
      <c r="AM47" s="169" t="str">
        <f t="shared" ca="1" si="5"/>
        <v/>
      </c>
      <c r="AQ47" s="207" t="s">
        <v>285</v>
      </c>
      <c r="AR47" s="207" t="s">
        <v>141</v>
      </c>
      <c r="AS47" s="207">
        <v>18</v>
      </c>
      <c r="AT47" s="207" t="s">
        <v>286</v>
      </c>
      <c r="AV47" s="168">
        <f t="shared" si="21"/>
        <v>23</v>
      </c>
      <c r="AW47" s="168">
        <f>COUNTIF( AV$7:AV47, AV47 )</f>
        <v>12</v>
      </c>
      <c r="AX47" s="208">
        <f t="shared" si="22"/>
        <v>24.2</v>
      </c>
      <c r="AY47" s="168">
        <f t="shared" si="23"/>
        <v>34</v>
      </c>
      <c r="AZ47" s="169"/>
      <c r="BA47" s="169"/>
      <c r="BC47" s="168">
        <f t="shared" ca="1" si="24"/>
        <v>41</v>
      </c>
      <c r="BD47" s="209">
        <f t="shared" ca="1" si="7"/>
        <v>9</v>
      </c>
      <c r="BF47" s="173" t="str">
        <f t="shared" ca="1" si="25"/>
        <v>CMS Energy Corporation</v>
      </c>
      <c r="BG47" s="173" t="str">
        <f t="shared" ca="1" si="9"/>
        <v>BBB-</v>
      </c>
      <c r="BH47" s="173">
        <f t="shared" ca="1" si="9"/>
        <v>17</v>
      </c>
      <c r="BI47" s="173" t="str">
        <f t="shared" ca="1" si="9"/>
        <v>CMS</v>
      </c>
    </row>
    <row r="48" spans="1:61" ht="13.8" x14ac:dyDescent="0.25">
      <c r="A48" s="223" t="s">
        <v>259</v>
      </c>
      <c r="B48" s="224" t="s">
        <v>142</v>
      </c>
      <c r="C48" s="224">
        <v>17</v>
      </c>
      <c r="D48" s="224" t="s">
        <v>260</v>
      </c>
      <c r="E48" s="225" t="str">
        <f t="shared" ca="1" si="0"/>
        <v>R</v>
      </c>
      <c r="F48" s="348"/>
      <c r="G48" s="349">
        <f t="shared" ca="1" si="1"/>
        <v>64</v>
      </c>
      <c r="H48" s="350"/>
      <c r="I48" s="350"/>
      <c r="K48" s="191"/>
      <c r="M48" s="351"/>
      <c r="N48" s="351"/>
      <c r="AF48" s="169">
        <f t="shared" si="2"/>
        <v>1</v>
      </c>
      <c r="AG48" s="169" t="str">
        <f t="shared" ca="1" si="3"/>
        <v/>
      </c>
      <c r="AH48" s="169" t="str">
        <f t="shared" ca="1" si="19"/>
        <v/>
      </c>
      <c r="AJ48" s="169">
        <f t="shared" ca="1" si="4"/>
        <v>49</v>
      </c>
      <c r="AK48" s="169" t="str">
        <f t="shared" ca="1" si="20"/>
        <v>BBB-</v>
      </c>
      <c r="AL48" s="169">
        <f t="shared" ca="1" si="20"/>
        <v>17</v>
      </c>
      <c r="AM48" s="169" t="str">
        <f t="shared" ca="1" si="5"/>
        <v/>
      </c>
      <c r="AQ48" s="207" t="s">
        <v>243</v>
      </c>
      <c r="AR48" s="207" t="s">
        <v>141</v>
      </c>
      <c r="AS48" s="207">
        <v>18</v>
      </c>
      <c r="AT48" s="207" t="s">
        <v>244</v>
      </c>
      <c r="AV48" s="168">
        <f t="shared" si="21"/>
        <v>23</v>
      </c>
      <c r="AW48" s="168">
        <f>COUNTIF( AV$7:AV48, AV48 )</f>
        <v>13</v>
      </c>
      <c r="AX48" s="208">
        <f t="shared" si="22"/>
        <v>24.3</v>
      </c>
      <c r="AY48" s="168">
        <f t="shared" si="23"/>
        <v>35</v>
      </c>
      <c r="AZ48" s="169"/>
      <c r="BA48" s="169"/>
      <c r="BC48" s="168">
        <f t="shared" ca="1" si="24"/>
        <v>42</v>
      </c>
      <c r="BD48" s="209">
        <f t="shared" ca="1" si="7"/>
        <v>12</v>
      </c>
      <c r="BF48" s="173" t="str">
        <f t="shared" ca="1" si="25"/>
        <v>DPL Inc.</v>
      </c>
      <c r="BG48" s="173" t="str">
        <f t="shared" ca="1" si="9"/>
        <v>BBB-</v>
      </c>
      <c r="BH48" s="173">
        <f t="shared" ca="1" si="9"/>
        <v>17</v>
      </c>
      <c r="BI48" s="173" t="str">
        <f t="shared" ca="1" si="9"/>
        <v>**DPL</v>
      </c>
    </row>
    <row r="49" spans="1:61" ht="13.8" x14ac:dyDescent="0.25">
      <c r="A49" s="223" t="s">
        <v>265</v>
      </c>
      <c r="B49" s="224" t="s">
        <v>142</v>
      </c>
      <c r="C49" s="224">
        <v>17</v>
      </c>
      <c r="D49" s="224" t="s">
        <v>266</v>
      </c>
      <c r="E49" s="225" t="str">
        <f t="shared" ca="1" si="0"/>
        <v>R</v>
      </c>
      <c r="F49" s="348"/>
      <c r="G49" s="349">
        <f t="shared" ca="1" si="1"/>
        <v>23</v>
      </c>
      <c r="H49" s="350"/>
      <c r="I49" s="350"/>
      <c r="J49" s="191"/>
      <c r="K49" s="191"/>
      <c r="M49" s="351"/>
      <c r="N49" s="351"/>
      <c r="AF49" s="169">
        <f t="shared" si="2"/>
        <v>1</v>
      </c>
      <c r="AG49" s="169" t="str">
        <f t="shared" ca="1" si="3"/>
        <v/>
      </c>
      <c r="AH49" s="169" t="str">
        <f t="shared" ca="1" si="19"/>
        <v/>
      </c>
      <c r="AJ49" s="169">
        <f t="shared" ca="1" si="4"/>
        <v>50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5"/>
        <v/>
      </c>
      <c r="AQ49" s="207" t="s">
        <v>289</v>
      </c>
      <c r="AR49" s="207" t="s">
        <v>141</v>
      </c>
      <c r="AS49" s="207">
        <v>18</v>
      </c>
      <c r="AT49" s="207" t="s">
        <v>290</v>
      </c>
      <c r="AV49" s="168">
        <f t="shared" si="21"/>
        <v>23</v>
      </c>
      <c r="AW49" s="168">
        <f>COUNTIF( AV$7:AV49, AV49 )</f>
        <v>14</v>
      </c>
      <c r="AX49" s="208">
        <f t="shared" si="22"/>
        <v>24.4</v>
      </c>
      <c r="AY49" s="168">
        <f t="shared" si="23"/>
        <v>36</v>
      </c>
      <c r="AZ49" s="169"/>
      <c r="BA49" s="169"/>
      <c r="BC49" s="168">
        <f t="shared" ca="1" si="24"/>
        <v>43</v>
      </c>
      <c r="BD49" s="209">
        <f t="shared" ca="1" si="7"/>
        <v>15</v>
      </c>
      <c r="BF49" s="173" t="str">
        <f t="shared" ca="1" si="25"/>
        <v>Edison International</v>
      </c>
      <c r="BG49" s="173" t="str">
        <f t="shared" ca="1" si="9"/>
        <v>BBB-</v>
      </c>
      <c r="BH49" s="173">
        <f t="shared" ca="1" si="9"/>
        <v>17</v>
      </c>
      <c r="BI49" s="173" t="str">
        <f t="shared" ca="1" si="9"/>
        <v>EIX</v>
      </c>
    </row>
    <row r="50" spans="1:61" ht="13.8" x14ac:dyDescent="0.25">
      <c r="A50" s="223" t="s">
        <v>367</v>
      </c>
      <c r="B50" s="224" t="s">
        <v>142</v>
      </c>
      <c r="C50" s="224">
        <v>17</v>
      </c>
      <c r="D50" s="224" t="s">
        <v>368</v>
      </c>
      <c r="E50" s="225" t="str">
        <f t="shared" ca="1" si="0"/>
        <v>R</v>
      </c>
      <c r="F50" s="348"/>
      <c r="G50" s="349">
        <f t="shared" ca="1" si="1"/>
        <v>25</v>
      </c>
      <c r="H50" s="350"/>
      <c r="I50" s="350"/>
      <c r="J50" s="191"/>
      <c r="K50" s="191"/>
      <c r="M50" s="351"/>
      <c r="N50" s="351"/>
      <c r="AF50" s="169">
        <f t="shared" si="2"/>
        <v>1</v>
      </c>
      <c r="AG50" s="169" t="str">
        <f t="shared" ca="1" si="3"/>
        <v/>
      </c>
      <c r="AH50" s="169" t="str">
        <f t="shared" ca="1" si="19"/>
        <v/>
      </c>
      <c r="AJ50" s="169">
        <f t="shared" ca="1" si="4"/>
        <v>51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5"/>
        <v/>
      </c>
      <c r="AQ50" s="207" t="s">
        <v>305</v>
      </c>
      <c r="AR50" s="207" t="s">
        <v>173</v>
      </c>
      <c r="AS50" s="207">
        <v>16</v>
      </c>
      <c r="AT50" s="207" t="s">
        <v>306</v>
      </c>
      <c r="AV50" s="168">
        <f t="shared" si="21"/>
        <v>51</v>
      </c>
      <c r="AW50" s="168">
        <f>COUNTIF( AV$7:AV50, AV50 )</f>
        <v>2</v>
      </c>
      <c r="AX50" s="208">
        <f t="shared" si="22"/>
        <v>51.2</v>
      </c>
      <c r="AY50" s="168">
        <f t="shared" si="23"/>
        <v>52</v>
      </c>
      <c r="AZ50" s="169"/>
      <c r="BA50" s="169"/>
      <c r="BC50" s="168">
        <f t="shared" ca="1" si="24"/>
        <v>44</v>
      </c>
      <c r="BD50" s="209">
        <f t="shared" ca="1" si="7"/>
        <v>17</v>
      </c>
      <c r="BF50" s="173" t="str">
        <f t="shared" ca="1" si="25"/>
        <v>Empire District Electric Company</v>
      </c>
      <c r="BG50" s="173" t="str">
        <f t="shared" ca="1" si="9"/>
        <v>BBB-</v>
      </c>
      <c r="BH50" s="173">
        <f t="shared" ca="1" si="9"/>
        <v>17</v>
      </c>
      <c r="BI50" s="173" t="str">
        <f t="shared" ca="1" si="9"/>
        <v>EDE</v>
      </c>
    </row>
    <row r="51" spans="1:61" ht="13.8" x14ac:dyDescent="0.25">
      <c r="A51" s="223" t="s">
        <v>275</v>
      </c>
      <c r="B51" s="224" t="s">
        <v>142</v>
      </c>
      <c r="C51" s="224">
        <v>17</v>
      </c>
      <c r="D51" s="224" t="s">
        <v>276</v>
      </c>
      <c r="E51" s="225" t="str">
        <f t="shared" ca="1" si="0"/>
        <v>MR</v>
      </c>
      <c r="F51" s="348"/>
      <c r="G51" s="349">
        <f t="shared" ca="1" si="1"/>
        <v>28</v>
      </c>
      <c r="H51" s="350"/>
      <c r="I51" s="350"/>
      <c r="J51" s="191"/>
      <c r="K51" s="191"/>
      <c r="M51" s="351"/>
      <c r="N51" s="351"/>
      <c r="AF51" s="169">
        <f t="shared" si="2"/>
        <v>1</v>
      </c>
      <c r="AG51" s="169" t="str">
        <f t="shared" ca="1" si="3"/>
        <v/>
      </c>
      <c r="AH51" s="169" t="str">
        <f t="shared" ca="1" si="19"/>
        <v/>
      </c>
      <c r="AJ51" s="169">
        <f t="shared" ca="1" si="4"/>
        <v>52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5"/>
        <v/>
      </c>
      <c r="AQ51" s="207" t="s">
        <v>347</v>
      </c>
      <c r="AR51" s="207" t="s">
        <v>140</v>
      </c>
      <c r="AS51" s="207">
        <v>19</v>
      </c>
      <c r="AT51" s="207" t="s">
        <v>348</v>
      </c>
      <c r="AV51" s="168">
        <f t="shared" si="21"/>
        <v>10</v>
      </c>
      <c r="AW51" s="168">
        <f>COUNTIF( AV$7:AV51, AV51 )</f>
        <v>11</v>
      </c>
      <c r="AX51" s="208">
        <f t="shared" si="22"/>
        <v>11.1</v>
      </c>
      <c r="AY51" s="168">
        <f t="shared" si="23"/>
        <v>20</v>
      </c>
      <c r="AZ51" s="169"/>
      <c r="BA51" s="169"/>
      <c r="BC51" s="168">
        <f t="shared" ca="1" si="24"/>
        <v>45</v>
      </c>
      <c r="BD51" s="209">
        <f t="shared" ca="1" si="7"/>
        <v>21</v>
      </c>
      <c r="BF51" s="173" t="str">
        <f t="shared" ca="1" si="25"/>
        <v>FirstEnergy Corp.</v>
      </c>
      <c r="BG51" s="173" t="str">
        <f t="shared" ca="1" si="9"/>
        <v>BBB-</v>
      </c>
      <c r="BH51" s="173">
        <f t="shared" ca="1" si="9"/>
        <v>17</v>
      </c>
      <c r="BI51" s="173" t="str">
        <f t="shared" ca="1" si="9"/>
        <v>FE</v>
      </c>
    </row>
    <row r="52" spans="1:61" ht="13.8" x14ac:dyDescent="0.25">
      <c r="A52" s="223" t="s">
        <v>279</v>
      </c>
      <c r="B52" s="224" t="s">
        <v>142</v>
      </c>
      <c r="C52" s="224">
        <v>17</v>
      </c>
      <c r="D52" s="224" t="s">
        <v>280</v>
      </c>
      <c r="E52" s="225" t="str">
        <f t="shared" ca="1" si="0"/>
        <v>D</v>
      </c>
      <c r="F52" s="348"/>
      <c r="G52" s="349">
        <f t="shared" ca="1" si="1"/>
        <v>30</v>
      </c>
      <c r="H52" s="350"/>
      <c r="I52" s="350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9"/>
        <v/>
      </c>
      <c r="AJ52" s="169">
        <f t="shared" ca="1" si="4"/>
        <v>53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5"/>
        <v/>
      </c>
      <c r="AQ52" s="207" t="s">
        <v>291</v>
      </c>
      <c r="AR52" s="207" t="s">
        <v>140</v>
      </c>
      <c r="AS52" s="207">
        <v>19</v>
      </c>
      <c r="AT52" s="207" t="s">
        <v>292</v>
      </c>
      <c r="AV52" s="168">
        <f t="shared" si="21"/>
        <v>10</v>
      </c>
      <c r="AW52" s="168">
        <f>COUNTIF( AV$7:AV52, AV52 )</f>
        <v>12</v>
      </c>
      <c r="AX52" s="208">
        <f t="shared" si="22"/>
        <v>11.2</v>
      </c>
      <c r="AY52" s="168">
        <f t="shared" si="23"/>
        <v>21</v>
      </c>
      <c r="AZ52" s="169"/>
      <c r="BA52" s="169"/>
      <c r="BC52" s="168">
        <f t="shared" ca="1" si="24"/>
        <v>46</v>
      </c>
      <c r="BD52" s="209">
        <f t="shared" ca="1" si="7"/>
        <v>23</v>
      </c>
      <c r="BF52" s="173" t="str">
        <f t="shared" ca="1" si="25"/>
        <v>Hawaiian Electric Industries, Inc.</v>
      </c>
      <c r="BG52" s="173" t="str">
        <f t="shared" ca="1" si="9"/>
        <v>BBB-</v>
      </c>
      <c r="BH52" s="173">
        <f t="shared" ca="1" si="9"/>
        <v>17</v>
      </c>
      <c r="BI52" s="173" t="str">
        <f t="shared" ca="1" si="9"/>
        <v>HE</v>
      </c>
    </row>
    <row r="53" spans="1:61" ht="13.8" x14ac:dyDescent="0.25">
      <c r="A53" s="223" t="s">
        <v>287</v>
      </c>
      <c r="B53" s="224" t="s">
        <v>142</v>
      </c>
      <c r="C53" s="224">
        <v>17</v>
      </c>
      <c r="D53" s="224" t="s">
        <v>288</v>
      </c>
      <c r="E53" s="225" t="str">
        <f t="shared" ca="1" si="0"/>
        <v>R</v>
      </c>
      <c r="F53" s="348"/>
      <c r="G53" s="349">
        <f t="shared" ca="1" si="1"/>
        <v>66</v>
      </c>
      <c r="H53" s="350"/>
      <c r="I53" s="350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9"/>
        <v/>
      </c>
      <c r="AJ53" s="169">
        <f t="shared" ca="1" si="4"/>
        <v>54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5"/>
        <v/>
      </c>
      <c r="AQ53" s="207" t="s">
        <v>293</v>
      </c>
      <c r="AR53" s="207" t="s">
        <v>166</v>
      </c>
      <c r="AS53" s="207">
        <v>21</v>
      </c>
      <c r="AT53" s="207" t="s">
        <v>294</v>
      </c>
      <c r="AV53" s="168">
        <f t="shared" si="21"/>
        <v>1</v>
      </c>
      <c r="AW53" s="168">
        <f>COUNTIF( AV$7:AV53, AV53 )</f>
        <v>1</v>
      </c>
      <c r="AX53" s="208">
        <f t="shared" si="22"/>
        <v>1.1000000000000001</v>
      </c>
      <c r="AY53" s="168">
        <f t="shared" si="23"/>
        <v>1</v>
      </c>
      <c r="AZ53" s="169"/>
      <c r="BA53" s="169"/>
      <c r="BC53" s="168">
        <f t="shared" ca="1" si="24"/>
        <v>47</v>
      </c>
      <c r="BD53" s="209">
        <f t="shared" ca="1" si="7"/>
        <v>27</v>
      </c>
      <c r="BF53" s="173" t="str">
        <f t="shared" ca="1" si="25"/>
        <v>IPALCO Enterprises, Inc.</v>
      </c>
      <c r="BG53" s="173" t="str">
        <f t="shared" ca="1" si="9"/>
        <v>BBB-</v>
      </c>
      <c r="BH53" s="173">
        <f t="shared" ca="1" si="9"/>
        <v>17</v>
      </c>
      <c r="BI53" s="173" t="str">
        <f t="shared" ca="1" si="9"/>
        <v>**IPALCO</v>
      </c>
    </row>
    <row r="54" spans="1:61" ht="13.8" x14ac:dyDescent="0.25">
      <c r="A54" s="223" t="s">
        <v>273</v>
      </c>
      <c r="B54" s="224" t="s">
        <v>142</v>
      </c>
      <c r="C54" s="224">
        <v>17</v>
      </c>
      <c r="D54" s="224" t="s">
        <v>274</v>
      </c>
      <c r="E54" s="225" t="str">
        <f t="shared" ca="1" si="0"/>
        <v>MR</v>
      </c>
      <c r="F54" s="348"/>
      <c r="G54" s="349">
        <f t="shared" ca="1" si="1"/>
        <v>36</v>
      </c>
      <c r="H54" s="350"/>
      <c r="I54" s="350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9"/>
        <v/>
      </c>
      <c r="AJ54" s="169">
        <f t="shared" ca="1" si="4"/>
        <v>55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5"/>
        <v/>
      </c>
      <c r="AQ54" s="207" t="s">
        <v>369</v>
      </c>
      <c r="AR54" s="207" t="s">
        <v>140</v>
      </c>
      <c r="AS54" s="207">
        <v>19</v>
      </c>
      <c r="AT54" s="207" t="s">
        <v>375</v>
      </c>
      <c r="AV54" s="168">
        <f t="shared" si="21"/>
        <v>10</v>
      </c>
      <c r="AW54" s="168">
        <f>COUNTIF( AV$7:AV54, AV54 )</f>
        <v>13</v>
      </c>
      <c r="AX54" s="208">
        <f t="shared" si="22"/>
        <v>11.3</v>
      </c>
      <c r="AY54" s="168">
        <f t="shared" si="23"/>
        <v>22</v>
      </c>
      <c r="AZ54" s="169"/>
      <c r="BA54" s="169"/>
      <c r="BC54" s="168">
        <f t="shared" ca="1" si="24"/>
        <v>48</v>
      </c>
      <c r="BD54" s="209">
        <f t="shared" ca="1" si="7"/>
        <v>31</v>
      </c>
      <c r="BF54" s="173" t="str">
        <f t="shared" ca="1" si="25"/>
        <v>NiSource Inc.</v>
      </c>
      <c r="BG54" s="173" t="str">
        <f t="shared" ca="1" si="9"/>
        <v>BBB-</v>
      </c>
      <c r="BH54" s="173">
        <f t="shared" ca="1" si="9"/>
        <v>17</v>
      </c>
      <c r="BI54" s="173" t="str">
        <f t="shared" ca="1" si="9"/>
        <v>NI</v>
      </c>
    </row>
    <row r="55" spans="1:61" ht="13.8" x14ac:dyDescent="0.25">
      <c r="A55" s="223" t="s">
        <v>299</v>
      </c>
      <c r="B55" s="224" t="s">
        <v>142</v>
      </c>
      <c r="C55" s="224">
        <v>17</v>
      </c>
      <c r="D55" s="224" t="s">
        <v>300</v>
      </c>
      <c r="E55" s="225" t="str">
        <f t="shared" ca="1" si="0"/>
        <v>MR</v>
      </c>
      <c r="F55" s="348"/>
      <c r="G55" s="349">
        <f t="shared" ca="1" si="1"/>
        <v>42</v>
      </c>
      <c r="H55" s="350"/>
      <c r="I55" s="350"/>
      <c r="J55" s="191"/>
      <c r="K55" s="191"/>
      <c r="AF55" s="169">
        <f t="shared" si="2"/>
        <v>1</v>
      </c>
      <c r="AG55" s="169" t="str">
        <f t="shared" ca="1" si="3"/>
        <v/>
      </c>
      <c r="AH55" s="169" t="str">
        <f t="shared" ca="1" si="19"/>
        <v/>
      </c>
      <c r="AJ55" s="169">
        <f t="shared" ca="1" si="4"/>
        <v>56</v>
      </c>
      <c r="AK55" s="169" t="str">
        <f t="shared" ca="1" si="20"/>
        <v>BBB-</v>
      </c>
      <c r="AL55" s="169">
        <f t="shared" ca="1" si="20"/>
        <v>17</v>
      </c>
      <c r="AM55" s="169" t="str">
        <f t="shared" ca="1" si="5"/>
        <v/>
      </c>
      <c r="AQ55" s="207" t="s">
        <v>389</v>
      </c>
      <c r="AR55" s="207" t="s">
        <v>141</v>
      </c>
      <c r="AS55" s="207">
        <v>18</v>
      </c>
      <c r="AT55" s="207" t="s">
        <v>390</v>
      </c>
      <c r="AV55" s="168">
        <f t="shared" si="21"/>
        <v>23</v>
      </c>
      <c r="AW55" s="168">
        <f>COUNTIF( AV$7:AV55, AV55 )</f>
        <v>15</v>
      </c>
      <c r="AX55" s="208">
        <f t="shared" si="22"/>
        <v>24.5</v>
      </c>
      <c r="AY55" s="168">
        <f t="shared" si="23"/>
        <v>37</v>
      </c>
      <c r="AZ55" s="169"/>
      <c r="BA55" s="169"/>
      <c r="BC55" s="168">
        <f t="shared" ca="1" si="24"/>
        <v>49</v>
      </c>
      <c r="BD55" s="209">
        <f t="shared" ca="1" si="7"/>
        <v>36</v>
      </c>
      <c r="BF55" s="173" t="str">
        <f t="shared" ca="1" si="25"/>
        <v>Otter Tail Corporation</v>
      </c>
      <c r="BG55" s="173" t="str">
        <f t="shared" ca="1" si="9"/>
        <v>BBB-</v>
      </c>
      <c r="BH55" s="173">
        <f t="shared" ca="1" si="9"/>
        <v>17</v>
      </c>
      <c r="BI55" s="173" t="str">
        <f t="shared" ca="1" si="9"/>
        <v>OTTR</v>
      </c>
    </row>
    <row r="56" spans="1:61" ht="13.8" x14ac:dyDescent="0.25">
      <c r="A56" s="223" t="s">
        <v>303</v>
      </c>
      <c r="B56" s="224" t="s">
        <v>142</v>
      </c>
      <c r="C56" s="224">
        <v>17</v>
      </c>
      <c r="D56" s="224" t="s">
        <v>304</v>
      </c>
      <c r="E56" s="225" t="str">
        <f t="shared" ca="1" si="0"/>
        <v>R</v>
      </c>
      <c r="F56" s="348"/>
      <c r="G56" s="349">
        <f t="shared" ca="1" si="1"/>
        <v>46</v>
      </c>
      <c r="H56" s="350"/>
      <c r="I56" s="350"/>
      <c r="J56" s="191"/>
      <c r="K56" s="191"/>
      <c r="AF56" s="169">
        <f t="shared" si="2"/>
        <v>1</v>
      </c>
      <c r="AG56" s="169" t="str">
        <f t="shared" ca="1" si="3"/>
        <v/>
      </c>
      <c r="AH56" s="169" t="str">
        <f t="shared" ca="1" si="19"/>
        <v/>
      </c>
      <c r="AJ56" s="169">
        <f t="shared" ca="1" si="4"/>
        <v>57</v>
      </c>
      <c r="AK56" s="169" t="str">
        <f t="shared" ca="1" si="20"/>
        <v>BBB-</v>
      </c>
      <c r="AL56" s="169">
        <f t="shared" ca="1" si="20"/>
        <v>17</v>
      </c>
      <c r="AM56" s="169" t="str">
        <f t="shared" ca="1" si="5"/>
        <v/>
      </c>
      <c r="AQ56" s="207" t="s">
        <v>345</v>
      </c>
      <c r="AR56" s="207" t="s">
        <v>139</v>
      </c>
      <c r="AS56" s="207">
        <v>20</v>
      </c>
      <c r="AT56" s="207" t="s">
        <v>346</v>
      </c>
      <c r="AV56" s="168">
        <f t="shared" si="21"/>
        <v>2</v>
      </c>
      <c r="AW56" s="168">
        <f>COUNTIF( AV$7:AV56, AV56 )</f>
        <v>6</v>
      </c>
      <c r="AX56" s="208">
        <f t="shared" si="22"/>
        <v>2.6</v>
      </c>
      <c r="AY56" s="168">
        <f t="shared" si="23"/>
        <v>7</v>
      </c>
      <c r="AZ56" s="169"/>
      <c r="BA56" s="169"/>
      <c r="BC56" s="168">
        <f t="shared" ca="1" si="24"/>
        <v>50</v>
      </c>
      <c r="BD56" s="209">
        <f t="shared" ca="1" si="7"/>
        <v>40</v>
      </c>
      <c r="BF56" s="173" t="str">
        <f t="shared" ca="1" si="25"/>
        <v>PNM Resources, Inc.</v>
      </c>
      <c r="BG56" s="173" t="str">
        <f t="shared" ca="1" si="9"/>
        <v>BBB-</v>
      </c>
      <c r="BH56" s="173">
        <f t="shared" ca="1" si="9"/>
        <v>17</v>
      </c>
      <c r="BI56" s="173" t="str">
        <f t="shared" ca="1" si="9"/>
        <v>PNM</v>
      </c>
    </row>
    <row r="57" spans="1:61" ht="13.8" x14ac:dyDescent="0.25">
      <c r="A57" s="223" t="s">
        <v>411</v>
      </c>
      <c r="B57" s="224" t="s">
        <v>173</v>
      </c>
      <c r="C57" s="224">
        <v>16</v>
      </c>
      <c r="D57" s="224" t="s">
        <v>412</v>
      </c>
      <c r="E57" s="225" t="str">
        <f t="shared" ca="1" si="0"/>
        <v>R</v>
      </c>
      <c r="F57" s="348"/>
      <c r="G57" s="349">
        <f t="shared" ca="1" si="1"/>
        <v>40</v>
      </c>
      <c r="H57" s="350"/>
      <c r="I57" s="350"/>
      <c r="J57" s="191"/>
      <c r="K57" s="191"/>
      <c r="AF57" s="169">
        <f t="shared" si="2"/>
        <v>0</v>
      </c>
      <c r="AG57" s="169" t="str">
        <f t="shared" ca="1" si="3"/>
        <v/>
      </c>
      <c r="AH57" s="169" t="str">
        <f t="shared" ca="1" si="19"/>
        <v/>
      </c>
      <c r="AJ57" s="169">
        <f t="shared" ca="1" si="4"/>
        <v>58</v>
      </c>
      <c r="AK57" s="169" t="str">
        <f t="shared" ca="1" si="20"/>
        <v>BB+</v>
      </c>
      <c r="AL57" s="169">
        <f t="shared" ca="1" si="20"/>
        <v>16</v>
      </c>
      <c r="AM57" s="169" t="str">
        <f t="shared" ca="1" si="5"/>
        <v/>
      </c>
      <c r="AQ57" s="207" t="s">
        <v>354</v>
      </c>
      <c r="AR57" s="207" t="s">
        <v>141</v>
      </c>
      <c r="AS57" s="207">
        <v>18</v>
      </c>
      <c r="AT57" s="207" t="s">
        <v>355</v>
      </c>
      <c r="AV57" s="168">
        <f t="shared" si="21"/>
        <v>23</v>
      </c>
      <c r="AW57" s="168">
        <f>COUNTIF( AV$7:AV57, AV57 )</f>
        <v>16</v>
      </c>
      <c r="AX57" s="208">
        <f t="shared" si="22"/>
        <v>24.6</v>
      </c>
      <c r="AY57" s="168">
        <f t="shared" si="23"/>
        <v>38</v>
      </c>
      <c r="AZ57" s="169"/>
      <c r="BA57" s="169"/>
      <c r="BC57" s="168">
        <f t="shared" ca="1" si="24"/>
        <v>51</v>
      </c>
      <c r="BD57" s="209">
        <f t="shared" ca="1" si="7"/>
        <v>34</v>
      </c>
      <c r="BF57" s="173" t="str">
        <f t="shared" ca="1" si="25"/>
        <v>NV Energy, Inc.</v>
      </c>
      <c r="BG57" s="173" t="str">
        <f t="shared" ca="1" si="9"/>
        <v>BB+</v>
      </c>
      <c r="BH57" s="173">
        <f t="shared" ca="1" si="9"/>
        <v>16</v>
      </c>
      <c r="BI57" s="173" t="str">
        <f t="shared" ca="1" si="9"/>
        <v>NVE</v>
      </c>
    </row>
    <row r="58" spans="1:61" ht="13.8" x14ac:dyDescent="0.25">
      <c r="A58" s="223" t="s">
        <v>305</v>
      </c>
      <c r="B58" s="224" t="s">
        <v>173</v>
      </c>
      <c r="C58" s="224">
        <v>16</v>
      </c>
      <c r="D58" s="224" t="s">
        <v>306</v>
      </c>
      <c r="E58" s="225" t="str">
        <f t="shared" ca="1" si="0"/>
        <v>R</v>
      </c>
      <c r="F58" s="348"/>
      <c r="G58" s="349">
        <f t="shared" ca="1" si="1"/>
        <v>68</v>
      </c>
      <c r="H58" s="350"/>
      <c r="I58" s="350"/>
      <c r="J58" s="191"/>
      <c r="K58" s="191"/>
      <c r="AF58" s="169">
        <f t="shared" si="2"/>
        <v>0</v>
      </c>
      <c r="AG58" s="169" t="str">
        <f t="shared" ca="1" si="3"/>
        <v/>
      </c>
      <c r="AH58" s="169" t="str">
        <f t="shared" ca="1" si="19"/>
        <v/>
      </c>
      <c r="AJ58" s="169">
        <f t="shared" ca="1" si="4"/>
        <v>59</v>
      </c>
      <c r="AK58" s="169" t="str">
        <f t="shared" ca="1" si="20"/>
        <v>BB+</v>
      </c>
      <c r="AL58" s="169">
        <f t="shared" ca="1" si="20"/>
        <v>16</v>
      </c>
      <c r="AM58" s="169" t="str">
        <f t="shared" ca="1" si="5"/>
        <v/>
      </c>
      <c r="AQ58" s="207" t="s">
        <v>247</v>
      </c>
      <c r="AR58" s="207" t="s">
        <v>139</v>
      </c>
      <c r="AS58" s="207">
        <v>20</v>
      </c>
      <c r="AT58" s="207" t="s">
        <v>248</v>
      </c>
      <c r="AV58" s="168">
        <f t="shared" si="21"/>
        <v>2</v>
      </c>
      <c r="AW58" s="168">
        <f>COUNTIF( AV$7:AV58, AV58 )</f>
        <v>7</v>
      </c>
      <c r="AX58" s="208">
        <f t="shared" si="22"/>
        <v>2.7</v>
      </c>
      <c r="AY58" s="168">
        <f t="shared" si="23"/>
        <v>8</v>
      </c>
      <c r="AZ58" s="169"/>
      <c r="BA58" s="169"/>
      <c r="BC58" s="168">
        <f t="shared" ca="1" si="24"/>
        <v>52</v>
      </c>
      <c r="BD58" s="209">
        <f t="shared" ca="1" si="7"/>
        <v>44</v>
      </c>
      <c r="BF58" s="173" t="str">
        <f t="shared" ca="1" si="25"/>
        <v>Puget Energy, Inc.</v>
      </c>
      <c r="BG58" s="173" t="str">
        <f t="shared" ca="1" si="9"/>
        <v>BB+</v>
      </c>
      <c r="BH58" s="173">
        <f t="shared" ca="1" si="9"/>
        <v>16</v>
      </c>
      <c r="BI58" s="173" t="str">
        <f t="shared" ca="1" si="9"/>
        <v>**PSD</v>
      </c>
    </row>
    <row r="59" spans="1:61" ht="13.8" x14ac:dyDescent="0.25">
      <c r="A59" s="223" t="s">
        <v>371</v>
      </c>
      <c r="B59" s="224" t="s">
        <v>187</v>
      </c>
      <c r="C59" s="224">
        <v>9</v>
      </c>
      <c r="D59" s="224" t="s">
        <v>359</v>
      </c>
      <c r="E59" s="225" t="str">
        <f t="shared" ca="1" si="0"/>
        <v>D</v>
      </c>
      <c r="F59" s="348"/>
      <c r="G59" s="349">
        <f t="shared" ca="1" si="1"/>
        <v>65</v>
      </c>
      <c r="H59" s="350"/>
      <c r="I59" s="350"/>
      <c r="J59" s="191"/>
      <c r="K59" s="191"/>
      <c r="AF59" s="169">
        <f t="shared" si="2"/>
        <v>1</v>
      </c>
      <c r="AG59" s="169" t="str">
        <f t="shared" ca="1" si="3"/>
        <v/>
      </c>
      <c r="AH59" s="169" t="str">
        <f t="shared" ca="1" si="19"/>
        <v/>
      </c>
      <c r="AJ59" s="169">
        <f t="shared" ca="1" si="4"/>
        <v>60</v>
      </c>
      <c r="AK59" s="169" t="str">
        <f t="shared" ca="1" si="20"/>
        <v>CCC</v>
      </c>
      <c r="AL59" s="169">
        <f t="shared" ca="1" si="20"/>
        <v>9</v>
      </c>
      <c r="AM59" s="169" t="str">
        <f t="shared" ca="1" si="5"/>
        <v/>
      </c>
      <c r="AQ59" s="207" t="s">
        <v>251</v>
      </c>
      <c r="AR59" s="207" t="s">
        <v>139</v>
      </c>
      <c r="AS59" s="207">
        <v>20</v>
      </c>
      <c r="AT59" s="207" t="s">
        <v>252</v>
      </c>
      <c r="AV59" s="168">
        <f t="shared" si="21"/>
        <v>2</v>
      </c>
      <c r="AW59" s="168">
        <f>COUNTIF( AV$7:AV59, AV59 )</f>
        <v>8</v>
      </c>
      <c r="AX59" s="208">
        <f t="shared" si="22"/>
        <v>2.8</v>
      </c>
      <c r="AY59" s="168">
        <f t="shared" si="23"/>
        <v>9</v>
      </c>
      <c r="AZ59" s="169"/>
      <c r="BA59" s="169"/>
      <c r="BC59" s="168">
        <f t="shared" ca="1" si="24"/>
        <v>53</v>
      </c>
      <c r="BD59" s="209">
        <f t="shared" ca="1" si="7"/>
        <v>18</v>
      </c>
      <c r="BF59" s="173" t="str">
        <f t="shared" ca="1" si="25"/>
        <v>Energy Future Holdings Corp.</v>
      </c>
      <c r="BG59" s="173" t="str">
        <f t="shared" ca="1" si="9"/>
        <v>CCC</v>
      </c>
      <c r="BH59" s="173">
        <f t="shared" ca="1" si="9"/>
        <v>9</v>
      </c>
      <c r="BI59" s="173" t="str">
        <f t="shared" ca="1" si="9"/>
        <v>**EFH</v>
      </c>
    </row>
    <row r="60" spans="1:61" ht="13.8" x14ac:dyDescent="0.25">
      <c r="A60" s="180"/>
      <c r="B60" s="181"/>
      <c r="C60" s="181"/>
      <c r="D60" s="181"/>
      <c r="E60" s="182"/>
      <c r="F60" s="350"/>
      <c r="G60" s="353" t="str">
        <f t="shared" ca="1" si="1"/>
        <v/>
      </c>
      <c r="H60" s="350"/>
      <c r="I60" s="350"/>
      <c r="AF60" s="169">
        <f t="shared" si="2"/>
        <v>0</v>
      </c>
      <c r="AG60" s="169" t="str">
        <f t="shared" si="3"/>
        <v/>
      </c>
      <c r="AH60" s="169" t="str">
        <f t="shared" si="19"/>
        <v/>
      </c>
      <c r="AJ60" s="169" t="e">
        <f t="shared" ca="1" si="4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5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1</v>
      </c>
      <c r="AX60" s="208">
        <f t="shared" si="22"/>
        <v>99.1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7"/>
        <v>54</v>
      </c>
      <c r="BF60" s="173">
        <f t="shared" ca="1" si="25"/>
        <v>0</v>
      </c>
      <c r="BG60" s="173">
        <f t="shared" ca="1" si="9"/>
        <v>0</v>
      </c>
      <c r="BH60" s="173">
        <f t="shared" ca="1" si="9"/>
        <v>0</v>
      </c>
      <c r="BI60" s="173">
        <f t="shared" ca="1" si="9"/>
        <v>0</v>
      </c>
    </row>
    <row r="61" spans="1:61" ht="14.4" thickBot="1" x14ac:dyDescent="0.3">
      <c r="A61" s="192"/>
      <c r="B61" s="193"/>
      <c r="C61" s="193"/>
      <c r="D61" s="193"/>
      <c r="E61" s="194"/>
      <c r="F61" s="350"/>
      <c r="G61" s="353" t="str">
        <f t="shared" ca="1" si="1"/>
        <v/>
      </c>
      <c r="H61" s="350"/>
      <c r="I61" s="350"/>
      <c r="AF61" s="169">
        <f t="shared" si="2"/>
        <v>0</v>
      </c>
      <c r="AG61" s="169" t="str">
        <f t="shared" si="3"/>
        <v/>
      </c>
      <c r="AH61" s="169" t="str">
        <f t="shared" si="19"/>
        <v/>
      </c>
      <c r="AJ61" s="169" t="e">
        <f t="shared" ca="1" si="4"/>
        <v>#N/A</v>
      </c>
      <c r="AK61" s="169" t="str">
        <f t="shared" ca="1" si="20"/>
        <v/>
      </c>
      <c r="AL61" s="169" t="str">
        <f t="shared" ca="1" si="20"/>
        <v/>
      </c>
      <c r="AM61" s="169" t="str">
        <f t="shared" ca="1" si="5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2</v>
      </c>
      <c r="AX61" s="208">
        <f t="shared" si="22"/>
        <v>99.2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7"/>
        <v>55</v>
      </c>
      <c r="BF61" s="173">
        <f t="shared" ca="1" si="25"/>
        <v>0</v>
      </c>
      <c r="BG61" s="173">
        <f t="shared" ca="1" si="9"/>
        <v>0</v>
      </c>
      <c r="BH61" s="173">
        <f t="shared" ca="1" si="9"/>
        <v>0</v>
      </c>
      <c r="BI61" s="173">
        <f t="shared" ca="1" si="9"/>
        <v>0</v>
      </c>
    </row>
    <row r="62" spans="1:61" ht="13.8" x14ac:dyDescent="0.25">
      <c r="A62" s="226" t="s">
        <v>384</v>
      </c>
      <c r="B62" s="227" t="s">
        <v>162</v>
      </c>
      <c r="C62" s="227">
        <v>23</v>
      </c>
      <c r="D62" s="227" t="s">
        <v>309</v>
      </c>
      <c r="E62" s="228" t="str">
        <f ca="1">OFFSET( INDIRECT( E$3 &amp; E$4 ), $G62 - 1, 0 )</f>
        <v>MR</v>
      </c>
      <c r="F62" s="354"/>
      <c r="G62" s="355">
        <f t="shared" ca="1" si="1"/>
        <v>34</v>
      </c>
      <c r="H62" s="350"/>
      <c r="I62" s="350"/>
      <c r="AF62" s="169">
        <f t="shared" si="2"/>
        <v>1</v>
      </c>
      <c r="AG62" s="169" t="str">
        <f t="shared" ca="1" si="3"/>
        <v/>
      </c>
      <c r="AH62" s="169" t="str">
        <f t="shared" ca="1" si="19"/>
        <v/>
      </c>
      <c r="AJ62" s="169">
        <f t="shared" ca="1" si="4"/>
        <v>62</v>
      </c>
      <c r="AK62" s="169" t="str">
        <f t="shared" ca="1" si="20"/>
        <v>AA-</v>
      </c>
      <c r="AL62" s="169">
        <f t="shared" ca="1" si="20"/>
        <v>23</v>
      </c>
      <c r="AM62" s="169" t="str">
        <f t="shared" ca="1" si="5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3</v>
      </c>
      <c r="AX62" s="208">
        <f t="shared" si="22"/>
        <v>99.3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7"/>
        <v>56</v>
      </c>
      <c r="BF62" s="173">
        <f t="shared" ca="1" si="25"/>
        <v>0</v>
      </c>
      <c r="BG62" s="173">
        <f t="shared" ca="1" si="9"/>
        <v>0</v>
      </c>
      <c r="BH62" s="173">
        <f t="shared" ca="1" si="9"/>
        <v>0</v>
      </c>
      <c r="BI62" s="173">
        <f t="shared" ca="1" si="9"/>
        <v>0</v>
      </c>
    </row>
    <row r="63" spans="1:61" ht="13.8" x14ac:dyDescent="0.25">
      <c r="A63" s="223" t="s">
        <v>416</v>
      </c>
      <c r="B63" s="224" t="s">
        <v>166</v>
      </c>
      <c r="C63" s="224">
        <v>21</v>
      </c>
      <c r="D63" s="224" t="s">
        <v>417</v>
      </c>
      <c r="E63" s="225" t="str">
        <f ca="1">OFFSET( INDIRECT( E$3 &amp; E$4 ), $G63 - 1, 0 )</f>
        <v>R</v>
      </c>
      <c r="F63" s="348"/>
      <c r="G63" s="349">
        <f t="shared" ca="1" si="1"/>
        <v>15</v>
      </c>
      <c r="H63" s="350"/>
      <c r="I63" s="350"/>
      <c r="AF63" s="169">
        <f t="shared" si="2"/>
        <v>0</v>
      </c>
      <c r="AG63" s="169" t="str">
        <f t="shared" ca="1" si="3"/>
        <v/>
      </c>
      <c r="AH63" s="169" t="str">
        <f t="shared" ca="1" si="19"/>
        <v/>
      </c>
      <c r="AJ63" s="169">
        <f t="shared" ca="1" si="4"/>
        <v>63</v>
      </c>
      <c r="AK63" s="169" t="str">
        <f t="shared" ca="1" si="20"/>
        <v>A</v>
      </c>
      <c r="AL63" s="169">
        <f t="shared" ca="1" si="20"/>
        <v>21</v>
      </c>
      <c r="AM63" s="169" t="str">
        <f t="shared" ca="1" si="5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4</v>
      </c>
      <c r="AX63" s="208">
        <f t="shared" si="22"/>
        <v>99.4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ref="BG63:BI63" ca="1" si="26">OFFSET( AR$6, $BD63, 0 )</f>
        <v>0</v>
      </c>
      <c r="BH63" s="173">
        <f t="shared" ca="1" si="26"/>
        <v>0</v>
      </c>
      <c r="BI63" s="173">
        <f t="shared" ca="1" si="26"/>
        <v>0</v>
      </c>
    </row>
    <row r="64" spans="1:61" ht="13.8" x14ac:dyDescent="0.25">
      <c r="A64" s="223" t="s">
        <v>399</v>
      </c>
      <c r="B64" s="224" t="s">
        <v>173</v>
      </c>
      <c r="C64" s="224">
        <v>16</v>
      </c>
      <c r="D64" s="224" t="s">
        <v>400</v>
      </c>
      <c r="E64" s="225" t="str">
        <f ca="1">OFFSET( INDIRECT( E$3 &amp; E$4 ), $G64 - 1, 0 )</f>
        <v>R</v>
      </c>
      <c r="F64" s="348"/>
      <c r="G64" s="349">
        <f t="shared" ca="1" si="1"/>
        <v>57</v>
      </c>
      <c r="H64" s="350"/>
      <c r="I64" s="350"/>
      <c r="AF64" s="169">
        <f t="shared" si="2"/>
        <v>1</v>
      </c>
      <c r="AG64" s="169" t="str">
        <f t="shared" ca="1" si="3"/>
        <v/>
      </c>
      <c r="AH64" s="169" t="str">
        <f t="shared" ca="1" si="19"/>
        <v/>
      </c>
      <c r="AJ64" s="169">
        <f t="shared" ca="1" si="4"/>
        <v>64</v>
      </c>
      <c r="AK64" s="169" t="str">
        <f t="shared" ca="1" si="20"/>
        <v>BB+</v>
      </c>
      <c r="AL64" s="169">
        <f t="shared" ca="1" si="20"/>
        <v>16</v>
      </c>
      <c r="AM64" s="169" t="str">
        <f t="shared" ca="1" si="5"/>
        <v/>
      </c>
      <c r="AQ64" s="207" t="s">
        <v>384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58" ht="13.8" x14ac:dyDescent="0.25">
      <c r="A65" s="223" t="s">
        <v>401</v>
      </c>
      <c r="B65" s="229"/>
      <c r="C65" s="224"/>
      <c r="D65" s="224" t="s">
        <v>376</v>
      </c>
      <c r="E65" s="225" t="str">
        <f ca="1">OFFSET( INDIRECT( E$3 &amp; E$4 ), $G65 - 1, 0 )</f>
        <v>R</v>
      </c>
      <c r="F65" s="348"/>
      <c r="G65" s="349">
        <f t="shared" ca="1" si="1"/>
        <v>56</v>
      </c>
      <c r="H65" s="350"/>
      <c r="I65" s="350"/>
      <c r="N65" s="168" t="s">
        <v>310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9"/>
        <v/>
      </c>
      <c r="AJ65" s="169">
        <f t="shared" ca="1" si="4"/>
        <v>65</v>
      </c>
      <c r="AK65" s="169">
        <f t="shared" ca="1" si="20"/>
        <v>0</v>
      </c>
      <c r="AL65" s="169">
        <f t="shared" ca="1" si="20"/>
        <v>0</v>
      </c>
      <c r="AM65" s="169" t="str">
        <f t="shared" ca="1" si="5"/>
        <v/>
      </c>
      <c r="AQ65" s="207" t="s">
        <v>416</v>
      </c>
      <c r="AR65" s="207" t="s">
        <v>166</v>
      </c>
      <c r="AS65" s="207">
        <v>21</v>
      </c>
      <c r="AT65" s="207" t="s">
        <v>417</v>
      </c>
      <c r="AU65" s="207"/>
      <c r="AZ65" s="169"/>
      <c r="BA65" s="169"/>
      <c r="BF65" s="169"/>
    </row>
    <row r="66" spans="1:58" ht="13.8" x14ac:dyDescent="0.25">
      <c r="A66" s="195"/>
      <c r="B66" s="196"/>
      <c r="C66" s="185"/>
      <c r="D66" s="185"/>
      <c r="E66" s="182"/>
      <c r="F66" s="350"/>
      <c r="H66" s="350"/>
      <c r="I66" s="350"/>
      <c r="AF66" s="169">
        <f t="shared" si="2"/>
        <v>0</v>
      </c>
      <c r="AG66" s="169" t="str">
        <f t="shared" ref="AG66:AG67" si="27">IF( LEN( $C66 ) = 0, "", IF( $C66 &gt; $AL66, 1, "" ) )</f>
        <v/>
      </c>
      <c r="AH66" s="169" t="str">
        <f t="shared" si="19"/>
        <v/>
      </c>
      <c r="AJ66" s="169" t="e">
        <f t="shared" ca="1" si="4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5"/>
        <v/>
      </c>
      <c r="AQ66" s="207" t="s">
        <v>399</v>
      </c>
      <c r="AR66" s="207" t="s">
        <v>173</v>
      </c>
      <c r="AS66" s="207">
        <v>16</v>
      </c>
      <c r="AT66" s="207" t="s">
        <v>400</v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50"/>
      <c r="H67" s="350"/>
      <c r="I67" s="350"/>
      <c r="AF67" s="169">
        <f t="shared" si="2"/>
        <v>0</v>
      </c>
      <c r="AG67" s="169" t="str">
        <f t="shared" si="27"/>
        <v/>
      </c>
      <c r="AH67" s="169" t="str">
        <f t="shared" si="19"/>
        <v/>
      </c>
      <c r="AJ67" s="169" t="e">
        <f t="shared" ca="1" si="4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5"/>
        <v/>
      </c>
      <c r="AQ67" s="207" t="s">
        <v>295</v>
      </c>
      <c r="AR67" s="207" t="s">
        <v>423</v>
      </c>
      <c r="AS67" s="207"/>
      <c r="AT67" s="207" t="s">
        <v>376</v>
      </c>
      <c r="AX67" s="208"/>
      <c r="AZ67" s="169"/>
      <c r="BA67" s="169"/>
      <c r="BD67" s="209"/>
      <c r="BF67" s="169"/>
    </row>
    <row r="68" spans="1:58" ht="13.8" x14ac:dyDescent="0.25">
      <c r="A68" s="200" t="s">
        <v>311</v>
      </c>
      <c r="B68" s="189" t="s">
        <v>141</v>
      </c>
      <c r="C68" s="201">
        <f>AVERAGE(C7:C65)</f>
        <v>18.232142857142858</v>
      </c>
      <c r="D68" s="201"/>
      <c r="E68" s="201"/>
      <c r="F68" s="350"/>
      <c r="H68" s="350"/>
      <c r="I68" s="350"/>
      <c r="J68" s="351"/>
      <c r="K68" s="351"/>
      <c r="AQ68" s="207" t="s">
        <v>424</v>
      </c>
      <c r="AR68" s="207" t="s">
        <v>423</v>
      </c>
      <c r="AS68" s="207"/>
      <c r="AT68" s="207" t="s">
        <v>425</v>
      </c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50"/>
      <c r="H69" s="350"/>
      <c r="I69" s="350"/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1"/>
      <c r="K70" s="351"/>
    </row>
    <row r="71" spans="1:58" x14ac:dyDescent="0.25">
      <c r="A71" s="203" t="s">
        <v>312</v>
      </c>
      <c r="F71" s="173"/>
      <c r="H71" s="173"/>
      <c r="I71" s="173"/>
    </row>
    <row r="72" spans="1:58" x14ac:dyDescent="0.25">
      <c r="A72" s="203" t="s">
        <v>313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419</v>
      </c>
      <c r="B73" s="173"/>
      <c r="D73" s="173"/>
      <c r="E73" s="173"/>
      <c r="F73" s="204"/>
      <c r="H73" s="204"/>
      <c r="I73" s="204"/>
    </row>
    <row r="74" spans="1:58" x14ac:dyDescent="0.25">
      <c r="A74" s="205" t="s">
        <v>314</v>
      </c>
      <c r="B74" s="173"/>
      <c r="D74" s="173"/>
      <c r="E74" s="173"/>
      <c r="F74" s="204"/>
      <c r="H74" s="204"/>
      <c r="I74" s="204"/>
    </row>
    <row r="75" spans="1:58" x14ac:dyDescent="0.25">
      <c r="A75" s="205" t="s">
        <v>403</v>
      </c>
      <c r="D75" s="204"/>
      <c r="F75" s="206"/>
      <c r="H75" s="206"/>
      <c r="I75" s="206"/>
    </row>
    <row r="76" spans="1:58" x14ac:dyDescent="0.25">
      <c r="A76" s="203" t="s">
        <v>315</v>
      </c>
      <c r="D76" s="204"/>
      <c r="F76" s="206"/>
      <c r="H76" s="206"/>
      <c r="I76" s="206"/>
      <c r="AQ76" s="207"/>
      <c r="AR76" s="207"/>
      <c r="AS76" s="207"/>
    </row>
    <row r="77" spans="1:58" x14ac:dyDescent="0.25">
      <c r="A77" s="203"/>
      <c r="D77" s="204"/>
      <c r="F77" s="206"/>
      <c r="H77" s="206"/>
      <c r="I77" s="206"/>
      <c r="AQ77" s="207"/>
      <c r="AR77" s="207"/>
      <c r="AS77" s="207"/>
    </row>
    <row r="78" spans="1:58" x14ac:dyDescent="0.25">
      <c r="A78" s="203"/>
      <c r="AQ78" s="207"/>
      <c r="AR78" s="207"/>
      <c r="AS78" s="207"/>
    </row>
    <row r="79" spans="1:58" x14ac:dyDescent="0.25">
      <c r="C79" s="190">
        <f>SUMPRODUCT( L8:L13, Y8:Y13 ) / L14</f>
        <v>18.321428571428573</v>
      </c>
      <c r="E79" s="191"/>
      <c r="G79" s="353"/>
      <c r="J79" s="173"/>
      <c r="K79" s="173"/>
      <c r="AQ79" s="207"/>
      <c r="AR79" s="207"/>
      <c r="AS79" s="207"/>
    </row>
    <row r="80" spans="1:58" s="173" customFormat="1" ht="13.8" x14ac:dyDescent="0.25">
      <c r="A80" s="195"/>
      <c r="B80" s="185"/>
      <c r="C80" s="185"/>
      <c r="D80" s="185"/>
      <c r="E80" s="182"/>
      <c r="F80" s="168"/>
      <c r="G80" s="169"/>
      <c r="H80" s="168"/>
      <c r="I80" s="168"/>
      <c r="Q80" s="168"/>
      <c r="T80" s="169"/>
      <c r="U80" s="169"/>
      <c r="V80" s="169"/>
      <c r="AF80" s="169"/>
      <c r="AG80" s="169"/>
      <c r="AH80" s="169"/>
      <c r="AJ80" s="169"/>
      <c r="AK80" s="169"/>
      <c r="AL80" s="169"/>
      <c r="AM80" s="169"/>
      <c r="AN80" s="169"/>
      <c r="AQ80" s="207"/>
      <c r="AR80" s="207"/>
      <c r="AS80" s="207"/>
    </row>
    <row r="81" spans="43:45" x14ac:dyDescent="0.25">
      <c r="AQ81" s="207"/>
      <c r="AR81" s="207"/>
      <c r="AS81" s="207"/>
    </row>
    <row r="82" spans="43:45" x14ac:dyDescent="0.25">
      <c r="AQ82" s="207"/>
      <c r="AR82" s="207"/>
      <c r="AS82" s="207"/>
    </row>
  </sheetData>
  <sortState ref="AQ7:AT59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B61">
    <cfRule type="expression" dxfId="197" priority="61" stopIfTrue="1">
      <formula>IF( $AH60 = 1, TRUE, FALSE )</formula>
    </cfRule>
    <cfRule type="expression" dxfId="196" priority="62" stopIfTrue="1">
      <formula>IF( $AG60 = 1, TRUE, FALSE )</formula>
    </cfRule>
    <cfRule type="expression" dxfId="195" priority="63" stopIfTrue="1">
      <formula>IF( $AF60 = 1, TRUE, FALSE )</formula>
    </cfRule>
  </conditionalFormatting>
  <conditionalFormatting sqref="A67:B67">
    <cfRule type="expression" dxfId="194" priority="64" stopIfTrue="1">
      <formula>IF( $AH67 = 1, TRUE, FALSE )</formula>
    </cfRule>
    <cfRule type="expression" dxfId="193" priority="65" stopIfTrue="1">
      <formula>IF( $AG67 = 1, TRUE, FALSE )</formula>
    </cfRule>
    <cfRule type="expression" dxfId="192" priority="66" stopIfTrue="1">
      <formula>IF( $AF67 = 1, TRUE, FALSE )</formula>
    </cfRule>
  </conditionalFormatting>
  <conditionalFormatting sqref="A66:B66">
    <cfRule type="expression" dxfId="191" priority="58" stopIfTrue="1">
      <formula>IF( $AH66 = 1, TRUE, FALSE )</formula>
    </cfRule>
    <cfRule type="expression" dxfId="190" priority="59" stopIfTrue="1">
      <formula>IF( $AG66 = 1, TRUE, FALSE )</formula>
    </cfRule>
    <cfRule type="expression" dxfId="189" priority="60" stopIfTrue="1">
      <formula>IF( $AF66 = 1, TRUE, FALSE )</formula>
    </cfRule>
  </conditionalFormatting>
  <conditionalFormatting sqref="A7:B58">
    <cfRule type="expression" dxfId="188" priority="55" stopIfTrue="1">
      <formula>IF( $AH7 = 1, TRUE, FALSE )</formula>
    </cfRule>
    <cfRule type="expression" dxfId="187" priority="56" stopIfTrue="1">
      <formula>IF( $AG7 = 1, TRUE, FALSE )</formula>
    </cfRule>
    <cfRule type="expression" dxfId="186" priority="57" stopIfTrue="1">
      <formula>IF( $AF7 = 1, TRUE, FALSE )</formula>
    </cfRule>
  </conditionalFormatting>
  <conditionalFormatting sqref="A59:B59">
    <cfRule type="expression" dxfId="185" priority="52" stopIfTrue="1">
      <formula>IF( $AH59 = 1, TRUE, FALSE )</formula>
    </cfRule>
    <cfRule type="expression" dxfId="184" priority="53" stopIfTrue="1">
      <formula>IF( $AG59 = 1, TRUE, FALSE )</formula>
    </cfRule>
    <cfRule type="expression" dxfId="183" priority="54" stopIfTrue="1">
      <formula>IF( $AF59 = 1, TRUE, FALSE )</formula>
    </cfRule>
  </conditionalFormatting>
  <conditionalFormatting sqref="A62:B65">
    <cfRule type="expression" dxfId="182" priority="49" stopIfTrue="1">
      <formula>IF( $AH62 = 1, TRUE, FALSE )</formula>
    </cfRule>
    <cfRule type="expression" dxfId="181" priority="50" stopIfTrue="1">
      <formula>IF( $AG62 = 1, TRUE, FALSE )</formula>
    </cfRule>
    <cfRule type="expression" dxfId="180" priority="51" stopIfTrue="1">
      <formula>IF( $AF62 = 1, TRUE, FALSE )</formula>
    </cfRule>
  </conditionalFormatting>
  <conditionalFormatting sqref="U8:U12">
    <cfRule type="cellIs" dxfId="179" priority="48" operator="equal">
      <formula>0</formula>
    </cfRule>
  </conditionalFormatting>
  <conditionalFormatting sqref="O8:O12 Q8:Q12">
    <cfRule type="cellIs" dxfId="178" priority="47" operator="equal">
      <formula>0</formula>
    </cfRule>
  </conditionalFormatting>
  <conditionalFormatting sqref="V8:V12">
    <cfRule type="cellIs" dxfId="177" priority="46" operator="equal">
      <formula>0</formula>
    </cfRule>
  </conditionalFormatting>
  <conditionalFormatting sqref="S8:S12">
    <cfRule type="cellIs" dxfId="176" priority="44" operator="equal">
      <formula>0</formula>
    </cfRule>
  </conditionalFormatting>
  <conditionalFormatting sqref="R8:R12">
    <cfRule type="cellIs" dxfId="175" priority="45" operator="equal">
      <formula>0</formula>
    </cfRule>
  </conditionalFormatting>
  <conditionalFormatting sqref="P8:P12">
    <cfRule type="cellIs" dxfId="174" priority="43" operator="equal">
      <formula>0</formula>
    </cfRule>
  </conditionalFormatting>
  <conditionalFormatting sqref="M8:M12">
    <cfRule type="cellIs" dxfId="173" priority="42" operator="equal">
      <formula>0</formula>
    </cfRule>
  </conditionalFormatting>
  <conditionalFormatting sqref="T8:T12">
    <cfRule type="cellIs" dxfId="172" priority="41" operator="equal">
      <formula>0</formula>
    </cfRule>
  </conditionalFormatting>
  <conditionalFormatting sqref="N8:N12">
    <cfRule type="cellIs" dxfId="171" priority="40" operator="equal">
      <formula>0</formula>
    </cfRule>
  </conditionalFormatting>
  <conditionalFormatting sqref="K8:K12">
    <cfRule type="cellIs" dxfId="170" priority="39" operator="equal">
      <formula>0</formula>
    </cfRule>
  </conditionalFormatting>
  <conditionalFormatting sqref="W8:W12">
    <cfRule type="cellIs" dxfId="169" priority="38" operator="equal">
      <formula>0</formula>
    </cfRule>
  </conditionalFormatting>
  <conditionalFormatting sqref="C60:C61">
    <cfRule type="expression" dxfId="168" priority="32" stopIfTrue="1">
      <formula>IF( $AH60 = 1, TRUE, FALSE )</formula>
    </cfRule>
    <cfRule type="expression" dxfId="167" priority="33" stopIfTrue="1">
      <formula>IF( $AG60 = 1, TRUE, FALSE )</formula>
    </cfRule>
    <cfRule type="expression" dxfId="166" priority="34" stopIfTrue="1">
      <formula>IF( $AF60 = 1, TRUE, FALSE )</formula>
    </cfRule>
  </conditionalFormatting>
  <conditionalFormatting sqref="C67">
    <cfRule type="expression" dxfId="165" priority="35" stopIfTrue="1">
      <formula>IF( $AH67 = 1, TRUE, FALSE )</formula>
    </cfRule>
    <cfRule type="expression" dxfId="164" priority="36" stopIfTrue="1">
      <formula>IF( $AG67 = 1, TRUE, FALSE )</formula>
    </cfRule>
    <cfRule type="expression" dxfId="163" priority="37" stopIfTrue="1">
      <formula>IF( $AF67 = 1, TRUE, FALSE )</formula>
    </cfRule>
  </conditionalFormatting>
  <conditionalFormatting sqref="C66">
    <cfRule type="expression" dxfId="162" priority="29" stopIfTrue="1">
      <formula>IF( $AH66 = 1, TRUE, FALSE )</formula>
    </cfRule>
    <cfRule type="expression" dxfId="161" priority="30" stopIfTrue="1">
      <formula>IF( $AG66 = 1, TRUE, FALSE )</formula>
    </cfRule>
    <cfRule type="expression" dxfId="160" priority="31" stopIfTrue="1">
      <formula>IF( $AF66 = 1, TRUE, FALSE )</formula>
    </cfRule>
  </conditionalFormatting>
  <conditionalFormatting sqref="C7:C58">
    <cfRule type="expression" dxfId="159" priority="26" stopIfTrue="1">
      <formula>IF( $AH7 = 1, TRUE, FALSE )</formula>
    </cfRule>
    <cfRule type="expression" dxfId="158" priority="27" stopIfTrue="1">
      <formula>IF( $AG7 = 1, TRUE, FALSE )</formula>
    </cfRule>
    <cfRule type="expression" dxfId="157" priority="28" stopIfTrue="1">
      <formula>IF( $AF7 = 1, TRUE, FALSE )</formula>
    </cfRule>
  </conditionalFormatting>
  <conditionalFormatting sqref="C59">
    <cfRule type="expression" dxfId="156" priority="23" stopIfTrue="1">
      <formula>IF( $AH59 = 1, TRUE, FALSE )</formula>
    </cfRule>
    <cfRule type="expression" dxfId="155" priority="24" stopIfTrue="1">
      <formula>IF( $AG59 = 1, TRUE, FALSE )</formula>
    </cfRule>
    <cfRule type="expression" dxfId="154" priority="25" stopIfTrue="1">
      <formula>IF( $AF59 = 1, TRUE, FALSE )</formula>
    </cfRule>
  </conditionalFormatting>
  <conditionalFormatting sqref="C62:C65">
    <cfRule type="expression" dxfId="153" priority="20" stopIfTrue="1">
      <formula>IF( $AH62 = 1, TRUE, FALSE )</formula>
    </cfRule>
    <cfRule type="expression" dxfId="152" priority="21" stopIfTrue="1">
      <formula>IF( $AG62 = 1, TRUE, FALSE )</formula>
    </cfRule>
    <cfRule type="expression" dxfId="151" priority="22" stopIfTrue="1">
      <formula>IF( $AF62 = 1, TRUE, FALSE )</formula>
    </cfRule>
  </conditionalFormatting>
  <conditionalFormatting sqref="D60:E61 E7:E59 E62:E65">
    <cfRule type="expression" dxfId="150" priority="14" stopIfTrue="1">
      <formula>IF( $AH7 = 1, TRUE, FALSE )</formula>
    </cfRule>
    <cfRule type="expression" dxfId="149" priority="15" stopIfTrue="1">
      <formula>IF( $AG7 = 1, TRUE, FALSE )</formula>
    </cfRule>
    <cfRule type="expression" dxfId="148" priority="16" stopIfTrue="1">
      <formula>IF( $AF7 = 1, TRUE, FALSE )</formula>
    </cfRule>
  </conditionalFormatting>
  <conditionalFormatting sqref="D67:E67">
    <cfRule type="expression" dxfId="147" priority="17" stopIfTrue="1">
      <formula>IF( $AH67 = 1, TRUE, FALSE )</formula>
    </cfRule>
    <cfRule type="expression" dxfId="146" priority="18" stopIfTrue="1">
      <formula>IF( $AG67 = 1, TRUE, FALSE )</formula>
    </cfRule>
    <cfRule type="expression" dxfId="145" priority="19" stopIfTrue="1">
      <formula>IF( $AF67 = 1, TRUE, FALSE )</formula>
    </cfRule>
  </conditionalFormatting>
  <conditionalFormatting sqref="D66:E66">
    <cfRule type="expression" dxfId="144" priority="11" stopIfTrue="1">
      <formula>IF( $AH66 = 1, TRUE, FALSE )</formula>
    </cfRule>
    <cfRule type="expression" dxfId="143" priority="12" stopIfTrue="1">
      <formula>IF( $AG66 = 1, TRUE, FALSE )</formula>
    </cfRule>
    <cfRule type="expression" dxfId="142" priority="13" stopIfTrue="1">
      <formula>IF( $AF66 = 1, TRUE, FALSE )</formula>
    </cfRule>
  </conditionalFormatting>
  <conditionalFormatting sqref="D7:D58">
    <cfRule type="expression" dxfId="141" priority="8" stopIfTrue="1">
      <formula>IF( $AH7 = 1, TRUE, FALSE )</formula>
    </cfRule>
    <cfRule type="expression" dxfId="140" priority="9" stopIfTrue="1">
      <formula>IF( $AG7 = 1, TRUE, FALSE )</formula>
    </cfRule>
    <cfRule type="expression" dxfId="139" priority="10" stopIfTrue="1">
      <formula>IF( $AF7 = 1, TRUE, FALSE )</formula>
    </cfRule>
  </conditionalFormatting>
  <conditionalFormatting sqref="D59">
    <cfRule type="expression" dxfId="138" priority="5" stopIfTrue="1">
      <formula>IF( $AH59 = 1, TRUE, FALSE )</formula>
    </cfRule>
    <cfRule type="expression" dxfId="137" priority="6" stopIfTrue="1">
      <formula>IF( $AG59 = 1, TRUE, FALSE )</formula>
    </cfRule>
    <cfRule type="expression" dxfId="136" priority="7" stopIfTrue="1">
      <formula>IF( $AF59 = 1, TRUE, FALSE )</formula>
    </cfRule>
  </conditionalFormatting>
  <conditionalFormatting sqref="D62:D65">
    <cfRule type="expression" dxfId="135" priority="2" stopIfTrue="1">
      <formula>IF( $AH62 = 1, TRUE, FALSE )</formula>
    </cfRule>
    <cfRule type="expression" dxfId="134" priority="3" stopIfTrue="1">
      <formula>IF( $AG62 = 1, TRUE, FALSE )</formula>
    </cfRule>
    <cfRule type="expression" dxfId="133" priority="4" stopIfTrue="1">
      <formula>IF( $AF62 = 1, TRUE, FALSE )</formula>
    </cfRule>
  </conditionalFormatting>
  <conditionalFormatting sqref="I8:I12">
    <cfRule type="cellIs" dxfId="132" priority="1" operator="equal">
      <formula>0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BJ82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customWidth="1"/>
    <col min="23" max="23" width="2" style="168" customWidth="1"/>
    <col min="24" max="24" width="4.109375" style="168" bestFit="1" customWidth="1"/>
    <col min="25" max="25" width="5.5546875" style="168" bestFit="1" customWidth="1"/>
    <col min="26" max="26" width="2.44140625" style="168" bestFit="1" customWidth="1"/>
    <col min="27" max="27" width="4.33203125" style="168" bestFit="1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7.88671875" style="169" hidden="1" customWidth="1" outlineLevel="1" collapsed="1"/>
    <col min="37" max="38" width="9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3.441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style="168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-- 2012 Q2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</row>
    <row r="2" spans="1:61" ht="18" hidden="1" outlineLevel="1" x14ac:dyDescent="0.25">
      <c r="A2" s="167"/>
      <c r="E2" s="171" t="str">
        <f>G2</f>
        <v>Reg_Percent_2011</v>
      </c>
      <c r="G2" s="172" t="s">
        <v>414</v>
      </c>
      <c r="AJ2" s="173" t="str">
        <f>AJ4 &amp; AJ3</f>
        <v>'Credit_2012Q1'!a:a</v>
      </c>
      <c r="AK2" s="173" t="str">
        <f>AK4 &amp; AK3</f>
        <v>'Credit_2012Q1'!b1</v>
      </c>
      <c r="AL2" s="173" t="str">
        <f>AL4 &amp; AL3</f>
        <v>'Credit_2012Q1'!c1</v>
      </c>
    </row>
    <row r="3" spans="1:61" ht="18" hidden="1" outlineLevel="1" x14ac:dyDescent="0.25">
      <c r="A3" s="167"/>
      <c r="E3" s="174" t="str">
        <f>"'" &amp; E2 &amp; "'!"</f>
        <v>'Reg_Percent_2011'!</v>
      </c>
      <c r="G3" s="168" t="str">
        <f>"'" &amp; G2 &amp; "'!"</f>
        <v>'Reg_Percent_2011'!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406</v>
      </c>
      <c r="AK3" s="149" t="s">
        <v>206</v>
      </c>
      <c r="AL3" s="149" t="s">
        <v>207</v>
      </c>
    </row>
    <row r="4" spans="1:61" ht="18" hidden="1" outlineLevel="1" x14ac:dyDescent="0.25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6" t="s">
        <v>426</v>
      </c>
      <c r="AK4" s="169" t="str">
        <f>AJ4</f>
        <v>'Credit_2012Q1'!</v>
      </c>
      <c r="AL4" s="169" t="str">
        <f>AK4</f>
        <v>'Credit_2012Q1'!</v>
      </c>
    </row>
    <row r="5" spans="1:61" ht="13.8" collapsed="1" x14ac:dyDescent="0.25">
      <c r="E5" s="176" t="s">
        <v>209</v>
      </c>
      <c r="G5" s="170" t="s">
        <v>199</v>
      </c>
      <c r="I5" s="230"/>
      <c r="J5" s="389" t="s">
        <v>210</v>
      </c>
      <c r="K5" s="230"/>
      <c r="L5" s="391" t="str">
        <f>"All Companies" &amp; CHAR( 10 ) &amp; "("&amp; L14 &amp; ")"</f>
        <v>All Companies
(57)</v>
      </c>
      <c r="M5" s="391"/>
      <c r="N5" s="230"/>
      <c r="O5" s="389" t="str">
        <f ca="1">"Regulated" &amp; CHAR( 10 ) &amp; "(" &amp; O14 &amp; ")"</f>
        <v>Regulated
(37)</v>
      </c>
      <c r="P5" s="393"/>
      <c r="Q5" s="230"/>
      <c r="R5" s="389" t="str">
        <f ca="1">"Mostly Regulated" &amp; CHAR( 10 ) &amp; "(" &amp; R14 &amp; ")"</f>
        <v>Mostly Regulated
(17)</v>
      </c>
      <c r="S5" s="393"/>
      <c r="T5" s="230"/>
      <c r="U5" s="389" t="str">
        <f ca="1">"Diversified" &amp; CHAR( 10 ) &amp; "(" &amp; U14 &amp; ")"</f>
        <v>Diversified
(2)</v>
      </c>
      <c r="V5" s="393"/>
      <c r="W5" s="230"/>
      <c r="AE5" s="177"/>
      <c r="AF5" s="168"/>
      <c r="AG5" s="168"/>
      <c r="AH5" s="168"/>
      <c r="AJ5" s="168"/>
      <c r="AK5" s="168"/>
      <c r="AL5" s="168"/>
      <c r="AM5" s="168"/>
      <c r="AN5" s="168"/>
    </row>
    <row r="6" spans="1:61" ht="28.5" customHeight="1" x14ac:dyDescent="0.25">
      <c r="A6" s="219" t="s">
        <v>212</v>
      </c>
      <c r="B6" s="220" t="s">
        <v>49</v>
      </c>
      <c r="C6" s="249" t="s">
        <v>214</v>
      </c>
      <c r="D6" s="221"/>
      <c r="E6" s="222">
        <v>40908</v>
      </c>
      <c r="I6" s="231"/>
      <c r="J6" s="390"/>
      <c r="K6" s="231"/>
      <c r="L6" s="392"/>
      <c r="M6" s="392"/>
      <c r="N6" s="231"/>
      <c r="O6" s="390"/>
      <c r="P6" s="390"/>
      <c r="Q6" s="231"/>
      <c r="R6" s="390" t="s">
        <v>136</v>
      </c>
      <c r="S6" s="390"/>
      <c r="T6" s="231"/>
      <c r="U6" s="390"/>
      <c r="V6" s="390"/>
      <c r="W6" s="231"/>
      <c r="AE6" s="178"/>
      <c r="AJ6" s="179"/>
    </row>
    <row r="7" spans="1:61" ht="13.8" x14ac:dyDescent="0.25">
      <c r="A7" s="223" t="s">
        <v>293</v>
      </c>
      <c r="B7" s="224" t="s">
        <v>166</v>
      </c>
      <c r="C7" s="224">
        <v>21</v>
      </c>
      <c r="D7" s="224" t="s">
        <v>294</v>
      </c>
      <c r="E7" s="225" t="str">
        <f t="shared" ref="E7:E59" ca="1" si="0">OFFSET( INDIRECT( E$3 &amp; E$4 ), $G7 - 1, 0 )</f>
        <v>R</v>
      </c>
      <c r="F7" s="348"/>
      <c r="G7" s="349">
        <f t="shared" ref="G7:G65" ca="1" si="1">IF( LEN( $D7 ) = 0, "", MATCH( $D7, INDIRECT( G$3 &amp; G$4 ), 0 ) )</f>
        <v>53</v>
      </c>
      <c r="H7" s="350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t="shared" ref="AJ7:AJ67" ca="1" si="4">MATCH( $A7, INDIRECT( AJ$2 ), 0 )</f>
        <v>8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5">IF( B7 = AK7, "", "Change" )</f>
        <v/>
      </c>
      <c r="AQ7" s="207" t="s">
        <v>217</v>
      </c>
      <c r="AR7" s="207" t="s">
        <v>140</v>
      </c>
      <c r="AS7" s="207">
        <v>19</v>
      </c>
      <c r="AT7" s="207" t="s">
        <v>218</v>
      </c>
      <c r="AV7" s="168">
        <f>IF( LEN( AS7 ) = 0, 99, RANK( AS7, $AS$7:$AS$63 ) )</f>
        <v>11</v>
      </c>
      <c r="AW7" s="168">
        <f>COUNTIF( AV7:AV$7, AV7 )</f>
        <v>1</v>
      </c>
      <c r="AX7" s="208">
        <f>AV7 + AW7 / 10</f>
        <v>11.1</v>
      </c>
      <c r="AY7" s="168">
        <f>RANK( AX7, $AX$7:$AX$63, 1 )</f>
        <v>11</v>
      </c>
      <c r="AZ7" s="169"/>
      <c r="BA7" s="169"/>
      <c r="BC7" s="168">
        <f t="shared" ref="BC7" ca="1" si="6">OFFSET( BC7, -1, 0 ) + 1</f>
        <v>1</v>
      </c>
      <c r="BD7" s="209">
        <f t="shared" ref="BD7:BD62" ca="1" si="7">MATCH( BC7, $AY$7:$AY$63, 0 )</f>
        <v>48</v>
      </c>
      <c r="BF7" s="173" t="str">
        <f t="shared" ref="BF7:BF38" ca="1" si="8">OFFSET( AQ$6, $BD7, 0 )</f>
        <v>Southern Company</v>
      </c>
      <c r="BG7" s="173" t="str">
        <f t="shared" ref="BG7:BI62" ca="1" si="9">OFFSET( AR$6, $BD7, 0 )</f>
        <v>A</v>
      </c>
      <c r="BH7" s="173">
        <f t="shared" ca="1" si="9"/>
        <v>21</v>
      </c>
      <c r="BI7" s="173" t="str">
        <f t="shared" ca="1" si="9"/>
        <v>SO</v>
      </c>
    </row>
    <row r="8" spans="1:61" ht="13.8" x14ac:dyDescent="0.25">
      <c r="A8" s="223" t="s">
        <v>227</v>
      </c>
      <c r="B8" s="224" t="s">
        <v>139</v>
      </c>
      <c r="C8" s="224">
        <v>20</v>
      </c>
      <c r="D8" s="224" t="s">
        <v>228</v>
      </c>
      <c r="E8" s="225" t="str">
        <f t="shared" ca="1" si="0"/>
        <v>R</v>
      </c>
      <c r="F8" s="348"/>
      <c r="G8" s="349">
        <f t="shared" ca="1" si="1"/>
        <v>18</v>
      </c>
      <c r="H8" s="350"/>
      <c r="I8" s="233"/>
      <c r="J8" s="213" t="s">
        <v>137</v>
      </c>
      <c r="K8" s="233"/>
      <c r="L8" s="213">
        <f t="shared" ref="L8:L13" si="10">COUNTIF($C$7:$C$67,$X8)</f>
        <v>3</v>
      </c>
      <c r="M8" s="214">
        <f t="shared" ref="M8:M13" si="11">IF( L8 = 0, "", L8/L$14 )</f>
        <v>5.2631578947368418E-2</v>
      </c>
      <c r="N8" s="233"/>
      <c r="O8" s="213">
        <f t="shared" ref="O8:O13" ca="1" si="12">COUNTIFS( $E$7:$E$66, O$3, $C$7:$C$66, $X8 )</f>
        <v>2</v>
      </c>
      <c r="P8" s="214">
        <f t="shared" ref="P8:P13" ca="1" si="13">IF( O8 = 0, "", O8/O$14 )</f>
        <v>5.4054054054054057E-2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5.8823529411764705E-2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8">SUM(O8, R8, U8)</f>
        <v>3</v>
      </c>
      <c r="AC8" s="351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ca="1" si="4"/>
        <v>9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5"/>
        <v/>
      </c>
      <c r="AQ8" s="207" t="s">
        <v>219</v>
      </c>
      <c r="AR8" s="207" t="s">
        <v>140</v>
      </c>
      <c r="AS8" s="207">
        <v>19</v>
      </c>
      <c r="AT8" s="207" t="s">
        <v>220</v>
      </c>
      <c r="AV8" s="168">
        <f t="shared" ref="AV8:AV63" si="21">IF( LEN( AS8 ) = 0, 99, RANK( AS8, $AS$7:$AS$63 ) )</f>
        <v>11</v>
      </c>
      <c r="AW8" s="168">
        <f>COUNTIF( AV$7:AV8, AV8 )</f>
        <v>2</v>
      </c>
      <c r="AX8" s="208">
        <f t="shared" ref="AX8:AX63" si="22">AV8 + AW8 / 10</f>
        <v>11.2</v>
      </c>
      <c r="AY8" s="168">
        <f t="shared" ref="AY8:AY63" si="23">RANK( AX8, $AX$7:$AX$63, 1 )</f>
        <v>12</v>
      </c>
      <c r="AZ8" s="169"/>
      <c r="BA8" s="169"/>
      <c r="BC8" s="168">
        <f ca="1">OFFSET( BC8, -1, 0 ) + 1</f>
        <v>2</v>
      </c>
      <c r="BD8" s="209">
        <f t="shared" ca="1" si="7"/>
        <v>10</v>
      </c>
      <c r="BF8" s="173" t="str">
        <f t="shared" ca="1" si="8"/>
        <v>Consolidated Edison, Inc.</v>
      </c>
      <c r="BG8" s="173" t="str">
        <f t="shared" ca="1" si="9"/>
        <v>A-</v>
      </c>
      <c r="BH8" s="173">
        <f t="shared" ca="1" si="9"/>
        <v>20</v>
      </c>
      <c r="BI8" s="173" t="str">
        <f t="shared" ca="1" si="9"/>
        <v>ED</v>
      </c>
    </row>
    <row r="9" spans="1:61" ht="13.8" x14ac:dyDescent="0.25">
      <c r="A9" s="223" t="s">
        <v>361</v>
      </c>
      <c r="B9" s="224" t="s">
        <v>139</v>
      </c>
      <c r="C9" s="224">
        <v>20</v>
      </c>
      <c r="D9" s="224" t="s">
        <v>194</v>
      </c>
      <c r="E9" s="225" t="str">
        <f t="shared" ca="1" si="0"/>
        <v>MR</v>
      </c>
      <c r="F9" s="348"/>
      <c r="G9" s="349">
        <f t="shared" ca="1" si="1"/>
        <v>20</v>
      </c>
      <c r="H9" s="350"/>
      <c r="I9" s="234"/>
      <c r="J9" s="215" t="s">
        <v>139</v>
      </c>
      <c r="K9" s="234"/>
      <c r="L9" s="215">
        <f t="shared" si="10"/>
        <v>9</v>
      </c>
      <c r="M9" s="216">
        <f t="shared" si="11"/>
        <v>0.15789473684210525</v>
      </c>
      <c r="N9" s="234"/>
      <c r="O9" s="215">
        <f t="shared" ca="1" si="12"/>
        <v>6</v>
      </c>
      <c r="P9" s="216">
        <f t="shared" ca="1" si="13"/>
        <v>0.16216216216216217</v>
      </c>
      <c r="Q9" s="234"/>
      <c r="R9" s="215">
        <f t="shared" ca="1" si="14"/>
        <v>3</v>
      </c>
      <c r="S9" s="216">
        <f t="shared" ca="1" si="15"/>
        <v>0.17647058823529413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8"/>
        <v>9</v>
      </c>
      <c r="AC9" s="351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9"/>
        <v/>
      </c>
      <c r="AJ9" s="169">
        <f t="shared" ca="1" si="4"/>
        <v>10</v>
      </c>
      <c r="AK9" s="169" t="str">
        <f t="shared" ca="1" si="20"/>
        <v>A-</v>
      </c>
      <c r="AL9" s="169">
        <f t="shared" ca="1" si="20"/>
        <v>20</v>
      </c>
      <c r="AM9" s="169" t="str">
        <f t="shared" ca="1" si="5"/>
        <v/>
      </c>
      <c r="AQ9" s="207" t="s">
        <v>225</v>
      </c>
      <c r="AR9" s="207" t="s">
        <v>142</v>
      </c>
      <c r="AS9" s="207">
        <v>17</v>
      </c>
      <c r="AT9" s="207" t="s">
        <v>226</v>
      </c>
      <c r="AV9" s="168">
        <f t="shared" si="21"/>
        <v>40</v>
      </c>
      <c r="AW9" s="168">
        <f>COUNTIF( AV$7:AV9, AV9 )</f>
        <v>1</v>
      </c>
      <c r="AX9" s="208">
        <f t="shared" si="22"/>
        <v>40.1</v>
      </c>
      <c r="AY9" s="168">
        <f t="shared" si="23"/>
        <v>40</v>
      </c>
      <c r="AZ9" s="169"/>
      <c r="BA9" s="169"/>
      <c r="BC9" s="168">
        <f t="shared" ref="BC9:BC63" ca="1" si="24">OFFSET( BC9, -1, 0 ) + 1</f>
        <v>3</v>
      </c>
      <c r="BD9" s="209">
        <f t="shared" ca="1" si="7"/>
        <v>11</v>
      </c>
      <c r="BF9" s="173" t="str">
        <f t="shared" ca="1" si="8"/>
        <v>Dominion Resources, Inc.</v>
      </c>
      <c r="BG9" s="173" t="str">
        <f t="shared" ca="1" si="9"/>
        <v>A-</v>
      </c>
      <c r="BH9" s="173">
        <f t="shared" ca="1" si="9"/>
        <v>20</v>
      </c>
      <c r="BI9" s="173" t="str">
        <f t="shared" ca="1" si="9"/>
        <v>D</v>
      </c>
    </row>
    <row r="10" spans="1:61" ht="13.8" x14ac:dyDescent="0.25">
      <c r="A10" s="223" t="s">
        <v>263</v>
      </c>
      <c r="B10" s="224" t="s">
        <v>139</v>
      </c>
      <c r="C10" s="224">
        <v>20</v>
      </c>
      <c r="D10" s="224" t="s">
        <v>264</v>
      </c>
      <c r="E10" s="225" t="str">
        <f t="shared" ca="1" si="0"/>
        <v>MR</v>
      </c>
      <c r="F10" s="348"/>
      <c r="G10" s="349">
        <f t="shared" ca="1" si="1"/>
        <v>22</v>
      </c>
      <c r="H10" s="350"/>
      <c r="I10" s="234"/>
      <c r="J10" s="215" t="s">
        <v>140</v>
      </c>
      <c r="K10" s="234"/>
      <c r="L10" s="215">
        <f t="shared" si="10"/>
        <v>13</v>
      </c>
      <c r="M10" s="216">
        <f t="shared" si="11"/>
        <v>0.22807017543859648</v>
      </c>
      <c r="N10" s="234"/>
      <c r="O10" s="215">
        <f t="shared" ca="1" si="12"/>
        <v>6</v>
      </c>
      <c r="P10" s="216">
        <f t="shared" ca="1" si="13"/>
        <v>0.16216216216216217</v>
      </c>
      <c r="Q10" s="234"/>
      <c r="R10" s="215">
        <f t="shared" ca="1" si="14"/>
        <v>6</v>
      </c>
      <c r="S10" s="216">
        <f t="shared" ca="1" si="15"/>
        <v>0.35294117647058826</v>
      </c>
      <c r="T10" s="234"/>
      <c r="U10" s="215">
        <f t="shared" ca="1" si="16"/>
        <v>1</v>
      </c>
      <c r="V10" s="216">
        <f t="shared" ca="1" si="17"/>
        <v>0.5</v>
      </c>
      <c r="W10" s="234"/>
      <c r="X10" s="186" t="s">
        <v>229</v>
      </c>
      <c r="Y10" s="186">
        <v>19</v>
      </c>
      <c r="Z10" s="186">
        <v>1</v>
      </c>
      <c r="AA10" s="185">
        <f t="shared" ca="1" si="18"/>
        <v>13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4"/>
        <v>11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5"/>
        <v/>
      </c>
      <c r="AQ10" s="207" t="s">
        <v>222</v>
      </c>
      <c r="AR10" s="207" t="s">
        <v>141</v>
      </c>
      <c r="AS10" s="207">
        <v>18</v>
      </c>
      <c r="AT10" s="207" t="s">
        <v>223</v>
      </c>
      <c r="AV10" s="168">
        <f t="shared" si="21"/>
        <v>24</v>
      </c>
      <c r="AW10" s="168">
        <f>COUNTIF( AV$7:AV10, AV10 )</f>
        <v>1</v>
      </c>
      <c r="AX10" s="208">
        <f t="shared" si="22"/>
        <v>24.1</v>
      </c>
      <c r="AY10" s="168">
        <f t="shared" si="23"/>
        <v>24</v>
      </c>
      <c r="AZ10" s="169"/>
      <c r="BA10" s="169"/>
      <c r="BC10" s="168">
        <f t="shared" ca="1" si="24"/>
        <v>4</v>
      </c>
      <c r="BD10" s="209">
        <f t="shared" ca="1" si="7"/>
        <v>14</v>
      </c>
      <c r="BF10" s="173" t="str">
        <f t="shared" ca="1" si="8"/>
        <v>Duke Energy Corporation</v>
      </c>
      <c r="BG10" s="173" t="str">
        <f t="shared" ca="1" si="9"/>
        <v>A-</v>
      </c>
      <c r="BH10" s="173">
        <f t="shared" ca="1" si="9"/>
        <v>20</v>
      </c>
      <c r="BI10" s="173" t="str">
        <f t="shared" ca="1" si="9"/>
        <v>DUK</v>
      </c>
    </row>
    <row r="11" spans="1:61" ht="13.8" x14ac:dyDescent="0.25">
      <c r="A11" s="223" t="s">
        <v>395</v>
      </c>
      <c r="B11" s="224" t="s">
        <v>139</v>
      </c>
      <c r="C11" s="224">
        <v>20</v>
      </c>
      <c r="D11" s="224" t="s">
        <v>396</v>
      </c>
      <c r="E11" s="225" t="str">
        <f t="shared" ca="1" si="0"/>
        <v>R</v>
      </c>
      <c r="F11" s="348"/>
      <c r="G11" s="349">
        <f t="shared" ca="1" si="1"/>
        <v>32</v>
      </c>
      <c r="H11" s="350"/>
      <c r="I11" s="234"/>
      <c r="J11" s="215" t="s">
        <v>141</v>
      </c>
      <c r="K11" s="234"/>
      <c r="L11" s="215">
        <f t="shared" si="10"/>
        <v>16</v>
      </c>
      <c r="M11" s="216">
        <f t="shared" si="11"/>
        <v>0.2807017543859649</v>
      </c>
      <c r="N11" s="234"/>
      <c r="O11" s="215">
        <f t="shared" ca="1" si="12"/>
        <v>13</v>
      </c>
      <c r="P11" s="216">
        <f t="shared" ca="1" si="13"/>
        <v>0.35135135135135137</v>
      </c>
      <c r="Q11" s="234"/>
      <c r="R11" s="215">
        <f t="shared" ca="1" si="14"/>
        <v>3</v>
      </c>
      <c r="S11" s="216">
        <f t="shared" ca="1" si="15"/>
        <v>0.17647058823529413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8"/>
        <v>16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4"/>
        <v>13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5"/>
        <v/>
      </c>
      <c r="AQ11" s="207" t="s">
        <v>238</v>
      </c>
      <c r="AR11" s="207" t="s">
        <v>141</v>
      </c>
      <c r="AS11" s="207">
        <v>18</v>
      </c>
      <c r="AT11" s="207" t="s">
        <v>239</v>
      </c>
      <c r="AV11" s="168">
        <f t="shared" si="21"/>
        <v>24</v>
      </c>
      <c r="AW11" s="168">
        <f>COUNTIF( AV$7:AV11, AV11 )</f>
        <v>2</v>
      </c>
      <c r="AX11" s="208">
        <f t="shared" si="22"/>
        <v>24.2</v>
      </c>
      <c r="AY11" s="168">
        <f t="shared" si="23"/>
        <v>25</v>
      </c>
      <c r="AZ11" s="169"/>
      <c r="BA11" s="169"/>
      <c r="BC11" s="168">
        <f t="shared" ca="1" si="24"/>
        <v>5</v>
      </c>
      <c r="BD11" s="209">
        <f t="shared" ca="1" si="7"/>
        <v>26</v>
      </c>
      <c r="BF11" s="173" t="str">
        <f t="shared" ca="1" si="8"/>
        <v>Integrys Energy Group, Inc.</v>
      </c>
      <c r="BG11" s="173" t="str">
        <f t="shared" ca="1" si="9"/>
        <v>A-</v>
      </c>
      <c r="BH11" s="173">
        <f t="shared" ca="1" si="9"/>
        <v>20</v>
      </c>
      <c r="BI11" s="173" t="str">
        <f t="shared" ca="1" si="9"/>
        <v>TEG</v>
      </c>
    </row>
    <row r="12" spans="1:61" ht="13.8" x14ac:dyDescent="0.25">
      <c r="A12" s="223" t="s">
        <v>240</v>
      </c>
      <c r="B12" s="224" t="s">
        <v>139</v>
      </c>
      <c r="C12" s="224">
        <v>20</v>
      </c>
      <c r="D12" s="224" t="s">
        <v>241</v>
      </c>
      <c r="E12" s="225" t="str">
        <f t="shared" ca="1" si="0"/>
        <v>MR</v>
      </c>
      <c r="F12" s="348"/>
      <c r="G12" s="349">
        <f t="shared" ca="1" si="1"/>
        <v>35</v>
      </c>
      <c r="H12" s="350"/>
      <c r="I12" s="234"/>
      <c r="J12" s="215" t="s">
        <v>142</v>
      </c>
      <c r="K12" s="234"/>
      <c r="L12" s="215">
        <f t="shared" si="10"/>
        <v>12</v>
      </c>
      <c r="M12" s="216">
        <f t="shared" si="11"/>
        <v>0.21052631578947367</v>
      </c>
      <c r="N12" s="234"/>
      <c r="O12" s="215">
        <f t="shared" ca="1" si="12"/>
        <v>7</v>
      </c>
      <c r="P12" s="216">
        <f t="shared" ca="1" si="13"/>
        <v>0.1891891891891892</v>
      </c>
      <c r="Q12" s="234"/>
      <c r="R12" s="215">
        <f t="shared" ca="1" si="14"/>
        <v>4</v>
      </c>
      <c r="S12" s="216">
        <f t="shared" ca="1" si="15"/>
        <v>0.23529411764705882</v>
      </c>
      <c r="T12" s="234"/>
      <c r="U12" s="215">
        <f t="shared" ca="1" si="16"/>
        <v>1</v>
      </c>
      <c r="V12" s="216">
        <f t="shared" ca="1" si="17"/>
        <v>0.5</v>
      </c>
      <c r="W12" s="234"/>
      <c r="X12" s="186" t="s">
        <v>237</v>
      </c>
      <c r="Y12" s="186">
        <v>17</v>
      </c>
      <c r="Z12" s="186">
        <v>1</v>
      </c>
      <c r="AA12" s="185">
        <f t="shared" ca="1" si="18"/>
        <v>12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4"/>
        <v>14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5"/>
        <v/>
      </c>
      <c r="AQ12" s="207" t="s">
        <v>245</v>
      </c>
      <c r="AR12" s="207" t="s">
        <v>142</v>
      </c>
      <c r="AS12" s="207">
        <v>17</v>
      </c>
      <c r="AT12" s="207" t="s">
        <v>246</v>
      </c>
      <c r="AV12" s="168">
        <f t="shared" si="21"/>
        <v>40</v>
      </c>
      <c r="AW12" s="168">
        <f>COUNTIF( AV$7:AV12, AV12 )</f>
        <v>2</v>
      </c>
      <c r="AX12" s="208">
        <f t="shared" si="22"/>
        <v>40.200000000000003</v>
      </c>
      <c r="AY12" s="168">
        <f t="shared" si="23"/>
        <v>41</v>
      </c>
      <c r="AZ12" s="169"/>
      <c r="BA12" s="169"/>
      <c r="BC12" s="168">
        <f t="shared" ca="1" si="24"/>
        <v>6</v>
      </c>
      <c r="BD12" s="209">
        <f t="shared" ca="1" si="7"/>
        <v>30</v>
      </c>
      <c r="BF12" s="173" t="str">
        <f t="shared" ca="1" si="8"/>
        <v>NextEra Energy, Inc.</v>
      </c>
      <c r="BG12" s="173" t="str">
        <f t="shared" ca="1" si="9"/>
        <v>A-</v>
      </c>
      <c r="BH12" s="173">
        <f t="shared" ca="1" si="9"/>
        <v>20</v>
      </c>
      <c r="BI12" s="173" t="str">
        <f t="shared" ca="1" si="9"/>
        <v>NEE</v>
      </c>
    </row>
    <row r="13" spans="1:61" ht="13.8" x14ac:dyDescent="0.25">
      <c r="A13" s="223" t="s">
        <v>394</v>
      </c>
      <c r="B13" s="224" t="s">
        <v>139</v>
      </c>
      <c r="C13" s="224">
        <v>20</v>
      </c>
      <c r="D13" s="224" t="s">
        <v>236</v>
      </c>
      <c r="E13" s="225" t="str">
        <f t="shared" ca="1" si="0"/>
        <v>R</v>
      </c>
      <c r="F13" s="348"/>
      <c r="G13" s="349">
        <f t="shared" ca="1" si="1"/>
        <v>37</v>
      </c>
      <c r="H13" s="350"/>
      <c r="I13" s="235"/>
      <c r="J13" s="217" t="s">
        <v>143</v>
      </c>
      <c r="K13" s="235"/>
      <c r="L13" s="217">
        <f t="shared" si="10"/>
        <v>4</v>
      </c>
      <c r="M13" s="218">
        <f t="shared" si="11"/>
        <v>7.0175438596491224E-2</v>
      </c>
      <c r="N13" s="235"/>
      <c r="O13" s="217">
        <f t="shared" ca="1" si="12"/>
        <v>3</v>
      </c>
      <c r="P13" s="218">
        <f t="shared" ca="1" si="13"/>
        <v>8.1081081081081086E-2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0</v>
      </c>
      <c r="V13" s="218" t="str">
        <f t="shared" ca="1" si="17"/>
        <v/>
      </c>
      <c r="W13" s="235"/>
      <c r="X13" s="186" t="s">
        <v>242</v>
      </c>
      <c r="Y13" s="186">
        <v>16</v>
      </c>
      <c r="Z13" s="186">
        <v>1</v>
      </c>
      <c r="AA13" s="188">
        <f t="shared" ca="1" si="18"/>
        <v>3</v>
      </c>
      <c r="AE13" s="184"/>
      <c r="AF13" s="169">
        <f t="shared" si="2"/>
        <v>0</v>
      </c>
      <c r="AG13" s="169">
        <f t="shared" ca="1" si="3"/>
        <v>1</v>
      </c>
      <c r="AH13" s="169" t="str">
        <f t="shared" ca="1" si="19"/>
        <v/>
      </c>
      <c r="AJ13" s="169">
        <f t="shared" ca="1" si="4"/>
        <v>24</v>
      </c>
      <c r="AK13" s="169" t="str">
        <f t="shared" ca="1" si="20"/>
        <v>BBB+</v>
      </c>
      <c r="AL13" s="169">
        <f t="shared" ca="1" si="20"/>
        <v>19</v>
      </c>
      <c r="AM13" s="169" t="str">
        <f t="shared" ca="1" si="5"/>
        <v>Change</v>
      </c>
      <c r="AQ13" s="207" t="s">
        <v>249</v>
      </c>
      <c r="AR13" s="207" t="s">
        <v>140</v>
      </c>
      <c r="AS13" s="207">
        <v>19</v>
      </c>
      <c r="AT13" s="207" t="s">
        <v>250</v>
      </c>
      <c r="AV13" s="168">
        <f t="shared" si="21"/>
        <v>11</v>
      </c>
      <c r="AW13" s="168">
        <f>COUNTIF( AV$7:AV13, AV13 )</f>
        <v>3</v>
      </c>
      <c r="AX13" s="208">
        <f t="shared" si="22"/>
        <v>11.3</v>
      </c>
      <c r="AY13" s="168">
        <f t="shared" si="23"/>
        <v>13</v>
      </c>
      <c r="AZ13" s="169"/>
      <c r="BA13" s="169"/>
      <c r="BC13" s="168">
        <f t="shared" ca="1" si="24"/>
        <v>7</v>
      </c>
      <c r="BD13" s="209">
        <f t="shared" ca="1" si="7"/>
        <v>32</v>
      </c>
      <c r="BF13" s="173" t="str">
        <f t="shared" ca="1" si="8"/>
        <v>Eversource</v>
      </c>
      <c r="BG13" s="173" t="str">
        <f t="shared" ca="1" si="9"/>
        <v>A-</v>
      </c>
      <c r="BH13" s="173">
        <f t="shared" ca="1" si="9"/>
        <v>20</v>
      </c>
      <c r="BI13" s="173" t="str">
        <f t="shared" ca="1" si="9"/>
        <v>ES</v>
      </c>
    </row>
    <row r="14" spans="1:61" ht="13.8" x14ac:dyDescent="0.25">
      <c r="A14" s="223" t="s">
        <v>345</v>
      </c>
      <c r="B14" s="224" t="s">
        <v>139</v>
      </c>
      <c r="C14" s="224">
        <v>20</v>
      </c>
      <c r="D14" s="224" t="s">
        <v>346</v>
      </c>
      <c r="E14" s="225" t="str">
        <f t="shared" ca="1" si="0"/>
        <v>R</v>
      </c>
      <c r="F14" s="348"/>
      <c r="G14" s="349">
        <f t="shared" ca="1" si="1"/>
        <v>58</v>
      </c>
      <c r="H14" s="350"/>
      <c r="I14" s="236"/>
      <c r="J14" s="211" t="s">
        <v>144</v>
      </c>
      <c r="K14" s="236"/>
      <c r="L14" s="211">
        <f>SUM(L8:L13)</f>
        <v>57</v>
      </c>
      <c r="M14" s="212">
        <f>L14/L$14</f>
        <v>1</v>
      </c>
      <c r="N14" s="236"/>
      <c r="O14" s="211">
        <f ca="1">SUM(O8:O13)</f>
        <v>37</v>
      </c>
      <c r="P14" s="212">
        <f ca="1">O14/O$14</f>
        <v>1</v>
      </c>
      <c r="Q14" s="236"/>
      <c r="R14" s="211">
        <f ca="1">SUM(R8:R13)</f>
        <v>17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18.350877192982455</v>
      </c>
      <c r="Z14" s="190"/>
      <c r="AA14" s="189">
        <f ca="1">SUM(AA8:AA13)</f>
        <v>56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4"/>
        <v>15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5"/>
        <v/>
      </c>
      <c r="AQ14" s="207" t="s">
        <v>254</v>
      </c>
      <c r="AR14" s="207" t="s">
        <v>141</v>
      </c>
      <c r="AS14" s="207">
        <v>18</v>
      </c>
      <c r="AT14" s="207" t="s">
        <v>378</v>
      </c>
      <c r="AV14" s="168">
        <f>IF( LEN( AS14 ) = 0, 99, RANK( AS14, $AS$7:$AS$63 ) )</f>
        <v>24</v>
      </c>
      <c r="AW14" s="168">
        <f>COUNTIF( AV$7:AV14, AV14 )</f>
        <v>3</v>
      </c>
      <c r="AX14" s="208">
        <f t="shared" si="22"/>
        <v>24.3</v>
      </c>
      <c r="AY14" s="168">
        <f t="shared" si="23"/>
        <v>26</v>
      </c>
      <c r="AZ14" s="169"/>
      <c r="BA14" s="169"/>
      <c r="BC14" s="168">
        <f t="shared" ca="1" si="24"/>
        <v>8</v>
      </c>
      <c r="BD14" s="209">
        <f t="shared" ca="1" si="7"/>
        <v>51</v>
      </c>
      <c r="BF14" s="173" t="str">
        <f t="shared" ca="1" si="8"/>
        <v>Vectren Corporation</v>
      </c>
      <c r="BG14" s="173" t="str">
        <f t="shared" ca="1" si="9"/>
        <v>A-</v>
      </c>
      <c r="BH14" s="173">
        <f t="shared" ca="1" si="9"/>
        <v>20</v>
      </c>
      <c r="BI14" s="173" t="str">
        <f t="shared" ca="1" si="9"/>
        <v>VVC</v>
      </c>
    </row>
    <row r="15" spans="1:61" ht="13.8" x14ac:dyDescent="0.25">
      <c r="A15" s="223" t="s">
        <v>247</v>
      </c>
      <c r="B15" s="224" t="s">
        <v>139</v>
      </c>
      <c r="C15" s="224">
        <v>20</v>
      </c>
      <c r="D15" s="224" t="s">
        <v>248</v>
      </c>
      <c r="E15" s="225" t="str">
        <f t="shared" ca="1" si="0"/>
        <v>R</v>
      </c>
      <c r="F15" s="348"/>
      <c r="G15" s="349">
        <f t="shared" ca="1" si="1"/>
        <v>60</v>
      </c>
      <c r="H15" s="350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9"/>
        <v/>
      </c>
      <c r="AJ15" s="169">
        <f t="shared" ca="1" si="4"/>
        <v>16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5"/>
        <v/>
      </c>
      <c r="AQ15" s="207" t="s">
        <v>256</v>
      </c>
      <c r="AR15" s="207" t="s">
        <v>142</v>
      </c>
      <c r="AS15" s="207">
        <v>17</v>
      </c>
      <c r="AT15" s="207" t="s">
        <v>257</v>
      </c>
      <c r="AV15" s="168">
        <f t="shared" si="21"/>
        <v>40</v>
      </c>
      <c r="AW15" s="168">
        <f>COUNTIF( AV$7:AV15, AV15 )</f>
        <v>3</v>
      </c>
      <c r="AX15" s="208">
        <f t="shared" si="22"/>
        <v>40.299999999999997</v>
      </c>
      <c r="AY15" s="168">
        <f t="shared" si="23"/>
        <v>42</v>
      </c>
      <c r="AZ15" s="169"/>
      <c r="BA15" s="169"/>
      <c r="BC15" s="168">
        <f t="shared" ca="1" si="24"/>
        <v>9</v>
      </c>
      <c r="BD15" s="209">
        <f t="shared" ca="1" si="7"/>
        <v>53</v>
      </c>
      <c r="BF15" s="173" t="str">
        <f t="shared" ca="1" si="8"/>
        <v>Wisconsin Energy Corporation</v>
      </c>
      <c r="BG15" s="173" t="str">
        <f t="shared" ca="1" si="9"/>
        <v>A-</v>
      </c>
      <c r="BH15" s="173">
        <f t="shared" ca="1" si="9"/>
        <v>20</v>
      </c>
      <c r="BI15" s="173" t="str">
        <f t="shared" ca="1" si="9"/>
        <v>WEC</v>
      </c>
    </row>
    <row r="16" spans="1:61" ht="13.8" x14ac:dyDescent="0.25">
      <c r="A16" s="223" t="s">
        <v>251</v>
      </c>
      <c r="B16" s="224" t="s">
        <v>139</v>
      </c>
      <c r="C16" s="224">
        <v>20</v>
      </c>
      <c r="D16" s="224" t="s">
        <v>252</v>
      </c>
      <c r="E16" s="225" t="str">
        <f t="shared" ca="1" si="0"/>
        <v>R</v>
      </c>
      <c r="F16" s="348"/>
      <c r="G16" s="349">
        <f t="shared" ca="1" si="1"/>
        <v>61</v>
      </c>
      <c r="H16" s="350"/>
      <c r="I16" s="232"/>
      <c r="J16" s="210" t="s">
        <v>253</v>
      </c>
      <c r="K16" s="232"/>
      <c r="L16" s="386">
        <f t="array" ref="L16">SUM( IF( LEN( $C$7:$C$65 ) = 0, 0, $C$7:$C$65 ) ) / SUM( IF( LEN( $C$7:$C$65 ) = 0, 0, 1  ) )</f>
        <v>18.263157894736842</v>
      </c>
      <c r="M16" s="387"/>
      <c r="N16" s="232"/>
      <c r="O16" s="386">
        <f t="array" aca="1" ref="O16" ca="1">SUM( IF( LEN( $C$7:$C$65 ) = 0, 0, IF( $E$7:$E$65 = O3, $C$7:$C$65, 0 ) ) ) / SUM( IF( LEN( $C$7:$C$65 ) = 0, 0, IF( $E$7:$E$65 = O3, 1, 0 ) ) )</f>
        <v>18.297297297297298</v>
      </c>
      <c r="P16" s="387"/>
      <c r="Q16" s="232"/>
      <c r="R16" s="386">
        <f t="array" aca="1" ref="R16" ca="1">SUM( IF( LEN( $C$7:$C$65 ) = 0, 0, IF( $E$7:$E$65 = R3, $C$7:$C$65, 0 ) ) ) / SUM( IF( LEN( $C$7:$C$65 ) = 0, 0, IF( $E$7:$E$65 = R3, 1, 0 ) ) )</f>
        <v>18.764705882352942</v>
      </c>
      <c r="S16" s="387"/>
      <c r="T16" s="232"/>
      <c r="U16" s="386">
        <f t="array" aca="1" ref="U16" ca="1">SUM( IF( LEN( $C$7:$C$65 ) = 0, 0, IF( $E$7:$E$65 = U3, $C$7:$C$65, 0 ) ) ) / SUM( IF( LEN( $C$7:$C$65 ) = 0, 0, IF( $E$7:$E$65 = U3, 1, 0 ) ) )</f>
        <v>18</v>
      </c>
      <c r="V16" s="388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9"/>
        <v/>
      </c>
      <c r="AJ16" s="169">
        <f t="shared" ca="1" si="4"/>
        <v>17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5"/>
        <v/>
      </c>
      <c r="AQ16" s="207" t="s">
        <v>227</v>
      </c>
      <c r="AR16" s="207" t="s">
        <v>139</v>
      </c>
      <c r="AS16" s="207">
        <v>20</v>
      </c>
      <c r="AT16" s="207" t="s">
        <v>228</v>
      </c>
      <c r="AV16" s="168">
        <f t="shared" si="21"/>
        <v>2</v>
      </c>
      <c r="AW16" s="168">
        <f>COUNTIF( AV$7:AV16, AV16 )</f>
        <v>1</v>
      </c>
      <c r="AX16" s="208">
        <f t="shared" si="22"/>
        <v>2.1</v>
      </c>
      <c r="AY16" s="168">
        <f t="shared" si="23"/>
        <v>2</v>
      </c>
      <c r="AZ16" s="169"/>
      <c r="BA16" s="169"/>
      <c r="BC16" s="168">
        <f t="shared" ca="1" si="24"/>
        <v>10</v>
      </c>
      <c r="BD16" s="209">
        <f t="shared" ca="1" si="7"/>
        <v>54</v>
      </c>
      <c r="BF16" s="173" t="str">
        <f t="shared" ca="1" si="8"/>
        <v>Xcel Energy Inc.</v>
      </c>
      <c r="BG16" s="173" t="str">
        <f t="shared" ca="1" si="9"/>
        <v>A-</v>
      </c>
      <c r="BH16" s="173">
        <f t="shared" ca="1" si="9"/>
        <v>20</v>
      </c>
      <c r="BI16" s="173" t="str">
        <f t="shared" ca="1" si="9"/>
        <v>XEL</v>
      </c>
    </row>
    <row r="17" spans="1:61" ht="13.8" x14ac:dyDescent="0.25">
      <c r="A17" s="223" t="s">
        <v>217</v>
      </c>
      <c r="B17" s="224" t="s">
        <v>140</v>
      </c>
      <c r="C17" s="224">
        <v>19</v>
      </c>
      <c r="D17" s="224" t="s">
        <v>218</v>
      </c>
      <c r="E17" s="225" t="str">
        <f t="shared" ca="1" si="0"/>
        <v>R</v>
      </c>
      <c r="F17" s="348"/>
      <c r="G17" s="349">
        <f t="shared" ca="1" si="1"/>
        <v>7</v>
      </c>
      <c r="H17" s="350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1</v>
      </c>
      <c r="AG17" s="169" t="str">
        <f t="shared" ca="1" si="3"/>
        <v/>
      </c>
      <c r="AH17" s="169" t="str">
        <f t="shared" ca="1" si="19"/>
        <v/>
      </c>
      <c r="AJ17" s="169">
        <f t="shared" ca="1" si="4"/>
        <v>18</v>
      </c>
      <c r="AK17" s="169" t="str">
        <f t="shared" ca="1" si="20"/>
        <v>BBB+</v>
      </c>
      <c r="AL17" s="169">
        <f t="shared" ca="1" si="20"/>
        <v>19</v>
      </c>
      <c r="AM17" s="169" t="str">
        <f t="shared" ca="1" si="5"/>
        <v/>
      </c>
      <c r="AQ17" s="207" t="s">
        <v>361</v>
      </c>
      <c r="AR17" s="207" t="s">
        <v>139</v>
      </c>
      <c r="AS17" s="207">
        <v>20</v>
      </c>
      <c r="AT17" s="207" t="s">
        <v>194</v>
      </c>
      <c r="AV17" s="168">
        <f t="shared" si="21"/>
        <v>2</v>
      </c>
      <c r="AW17" s="168">
        <f>COUNTIF( AV$7:AV17, AV17 )</f>
        <v>2</v>
      </c>
      <c r="AX17" s="208">
        <f t="shared" si="22"/>
        <v>2.2000000000000002</v>
      </c>
      <c r="AY17" s="168">
        <f t="shared" si="23"/>
        <v>3</v>
      </c>
      <c r="AZ17" s="169"/>
      <c r="BA17" s="169"/>
      <c r="BC17" s="168">
        <f t="shared" ca="1" si="24"/>
        <v>11</v>
      </c>
      <c r="BD17" s="209">
        <f t="shared" ca="1" si="7"/>
        <v>1</v>
      </c>
      <c r="BF17" s="173" t="str">
        <f t="shared" ca="1" si="8"/>
        <v>ALLETE, Inc.</v>
      </c>
      <c r="BG17" s="173" t="str">
        <f t="shared" ca="1" si="9"/>
        <v>BBB+</v>
      </c>
      <c r="BH17" s="173">
        <f t="shared" ca="1" si="9"/>
        <v>19</v>
      </c>
      <c r="BI17" s="173" t="str">
        <f t="shared" ca="1" si="9"/>
        <v>ALE</v>
      </c>
    </row>
    <row r="18" spans="1:61" ht="13.8" x14ac:dyDescent="0.25">
      <c r="A18" s="223" t="s">
        <v>219</v>
      </c>
      <c r="B18" s="224" t="s">
        <v>140</v>
      </c>
      <c r="C18" s="224">
        <v>19</v>
      </c>
      <c r="D18" s="224" t="s">
        <v>220</v>
      </c>
      <c r="E18" s="225" t="str">
        <f t="shared" ca="1" si="0"/>
        <v>R</v>
      </c>
      <c r="F18" s="348"/>
      <c r="G18" s="349">
        <f t="shared" ca="1" si="1"/>
        <v>8</v>
      </c>
      <c r="H18" s="350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1</v>
      </c>
      <c r="AG18" s="169" t="str">
        <f t="shared" ca="1" si="3"/>
        <v/>
      </c>
      <c r="AH18" s="169" t="str">
        <f t="shared" ca="1" si="19"/>
        <v/>
      </c>
      <c r="AJ18" s="169">
        <f t="shared" ca="1" si="4"/>
        <v>19</v>
      </c>
      <c r="AK18" s="169" t="str">
        <f t="shared" ca="1" si="20"/>
        <v>BBB+</v>
      </c>
      <c r="AL18" s="169">
        <f t="shared" ca="1" si="20"/>
        <v>19</v>
      </c>
      <c r="AM18" s="169" t="str">
        <f t="shared" ca="1" si="5"/>
        <v/>
      </c>
      <c r="AQ18" s="207" t="s">
        <v>259</v>
      </c>
      <c r="AR18" s="207" t="s">
        <v>142</v>
      </c>
      <c r="AS18" s="207">
        <v>17</v>
      </c>
      <c r="AT18" s="207" t="s">
        <v>260</v>
      </c>
      <c r="AV18" s="168">
        <f t="shared" si="21"/>
        <v>40</v>
      </c>
      <c r="AW18" s="168">
        <f>COUNTIF( AV$7:AV18, AV18 )</f>
        <v>4</v>
      </c>
      <c r="AX18" s="208">
        <f t="shared" si="22"/>
        <v>40.4</v>
      </c>
      <c r="AY18" s="168">
        <f t="shared" si="23"/>
        <v>43</v>
      </c>
      <c r="AZ18" s="169"/>
      <c r="BA18" s="169"/>
      <c r="BC18" s="168">
        <f t="shared" ca="1" si="24"/>
        <v>12</v>
      </c>
      <c r="BD18" s="209">
        <f t="shared" ca="1" si="7"/>
        <v>2</v>
      </c>
      <c r="BF18" s="173" t="str">
        <f t="shared" ca="1" si="8"/>
        <v>Alliant Energy Corporation</v>
      </c>
      <c r="BG18" s="173" t="str">
        <f t="shared" ca="1" si="9"/>
        <v>BBB+</v>
      </c>
      <c r="BH18" s="173">
        <f t="shared" ca="1" si="9"/>
        <v>19</v>
      </c>
      <c r="BI18" s="173" t="str">
        <f t="shared" ca="1" si="9"/>
        <v>LNT</v>
      </c>
    </row>
    <row r="19" spans="1:61" ht="13.8" x14ac:dyDescent="0.25">
      <c r="A19" s="223" t="s">
        <v>249</v>
      </c>
      <c r="B19" s="224" t="s">
        <v>140</v>
      </c>
      <c r="C19" s="224">
        <v>19</v>
      </c>
      <c r="D19" s="224" t="s">
        <v>250</v>
      </c>
      <c r="E19" s="225" t="str">
        <f t="shared" ca="1" si="0"/>
        <v>MR</v>
      </c>
      <c r="F19" s="348"/>
      <c r="G19" s="349">
        <f t="shared" ca="1" si="1"/>
        <v>13</v>
      </c>
      <c r="H19" s="350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9"/>
        <v/>
      </c>
      <c r="AJ19" s="169">
        <f t="shared" ca="1" si="4"/>
        <v>20</v>
      </c>
      <c r="AK19" s="169" t="str">
        <f t="shared" ca="1" si="20"/>
        <v>BBB+</v>
      </c>
      <c r="AL19" s="169">
        <f t="shared" ca="1" si="20"/>
        <v>19</v>
      </c>
      <c r="AM19" s="169" t="str">
        <f t="shared" ca="1" si="5"/>
        <v/>
      </c>
      <c r="AQ19" s="207" t="s">
        <v>261</v>
      </c>
      <c r="AR19" s="207" t="s">
        <v>140</v>
      </c>
      <c r="AS19" s="207">
        <v>19</v>
      </c>
      <c r="AT19" s="207" t="s">
        <v>262</v>
      </c>
      <c r="AV19" s="168">
        <f t="shared" si="21"/>
        <v>11</v>
      </c>
      <c r="AW19" s="168">
        <f>COUNTIF( AV$7:AV19, AV19 )</f>
        <v>4</v>
      </c>
      <c r="AX19" s="208">
        <f t="shared" si="22"/>
        <v>11.4</v>
      </c>
      <c r="AY19" s="168">
        <f t="shared" si="23"/>
        <v>14</v>
      </c>
      <c r="AZ19" s="169"/>
      <c r="BA19" s="169"/>
      <c r="BC19" s="168">
        <f t="shared" ca="1" si="24"/>
        <v>13</v>
      </c>
      <c r="BD19" s="209">
        <f t="shared" ca="1" si="7"/>
        <v>7</v>
      </c>
      <c r="BF19" s="173" t="str">
        <f t="shared" ca="1" si="8"/>
        <v>CenterPoint Energy, Inc.</v>
      </c>
      <c r="BG19" s="173" t="str">
        <f t="shared" ca="1" si="9"/>
        <v>BBB+</v>
      </c>
      <c r="BH19" s="173">
        <f t="shared" ca="1" si="9"/>
        <v>19</v>
      </c>
      <c r="BI19" s="173" t="str">
        <f t="shared" ca="1" si="9"/>
        <v>CNP</v>
      </c>
    </row>
    <row r="20" spans="1:61" ht="13.8" x14ac:dyDescent="0.25">
      <c r="A20" s="223" t="s">
        <v>261</v>
      </c>
      <c r="B20" s="224" t="s">
        <v>140</v>
      </c>
      <c r="C20" s="224">
        <v>19</v>
      </c>
      <c r="D20" s="224" t="s">
        <v>262</v>
      </c>
      <c r="E20" s="225" t="str">
        <f t="shared" ca="1" si="0"/>
        <v>R</v>
      </c>
      <c r="F20" s="348"/>
      <c r="G20" s="349">
        <f t="shared" ca="1" si="1"/>
        <v>21</v>
      </c>
      <c r="H20" s="350"/>
      <c r="I20" s="352"/>
      <c r="K20" s="352"/>
      <c r="N20" s="352"/>
      <c r="O20" s="173"/>
      <c r="Q20" s="352"/>
      <c r="T20" s="352"/>
      <c r="W20" s="352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9"/>
        <v/>
      </c>
      <c r="AJ20" s="169">
        <f t="shared" ca="1" si="4"/>
        <v>21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5"/>
        <v/>
      </c>
      <c r="AQ20" s="207" t="s">
        <v>263</v>
      </c>
      <c r="AR20" s="207" t="s">
        <v>139</v>
      </c>
      <c r="AS20" s="207">
        <v>20</v>
      </c>
      <c r="AT20" s="207" t="s">
        <v>264</v>
      </c>
      <c r="AV20" s="168">
        <f t="shared" si="21"/>
        <v>2</v>
      </c>
      <c r="AW20" s="168">
        <f>COUNTIF( AV$7:AV20, AV20 )</f>
        <v>3</v>
      </c>
      <c r="AX20" s="208">
        <f t="shared" si="22"/>
        <v>2.2999999999999998</v>
      </c>
      <c r="AY20" s="168">
        <f t="shared" si="23"/>
        <v>4</v>
      </c>
      <c r="AZ20" s="169"/>
      <c r="BA20" s="169"/>
      <c r="BC20" s="168">
        <f t="shared" ca="1" si="24"/>
        <v>14</v>
      </c>
      <c r="BD20" s="209">
        <f t="shared" ca="1" si="7"/>
        <v>13</v>
      </c>
      <c r="BF20" s="173" t="str">
        <f t="shared" ca="1" si="8"/>
        <v>DTE Energy Company</v>
      </c>
      <c r="BG20" s="173" t="str">
        <f t="shared" ca="1" si="9"/>
        <v>BBB+</v>
      </c>
      <c r="BH20" s="173">
        <f t="shared" ca="1" si="9"/>
        <v>19</v>
      </c>
      <c r="BI20" s="173" t="str">
        <f t="shared" ca="1" si="9"/>
        <v>DTE</v>
      </c>
    </row>
    <row r="21" spans="1:61" ht="13.8" x14ac:dyDescent="0.25">
      <c r="A21" s="223" t="s">
        <v>387</v>
      </c>
      <c r="B21" s="224" t="s">
        <v>140</v>
      </c>
      <c r="C21" s="224">
        <v>19</v>
      </c>
      <c r="D21" s="224" t="s">
        <v>388</v>
      </c>
      <c r="E21" s="225" t="str">
        <f t="shared" ca="1" si="0"/>
        <v>R</v>
      </c>
      <c r="F21" s="348"/>
      <c r="G21" s="349">
        <f t="shared" ca="1" si="1"/>
        <v>63</v>
      </c>
      <c r="H21" s="350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>
        <f t="shared" ca="1" si="19"/>
        <v>1</v>
      </c>
      <c r="AJ21" s="169">
        <f t="shared" ca="1" si="4"/>
        <v>12</v>
      </c>
      <c r="AK21" s="169" t="str">
        <f t="shared" ca="1" si="20"/>
        <v>A-</v>
      </c>
      <c r="AL21" s="169">
        <f t="shared" ca="1" si="20"/>
        <v>20</v>
      </c>
      <c r="AM21" s="169" t="str">
        <f t="shared" ca="1" si="5"/>
        <v>Change</v>
      </c>
      <c r="AQ21" s="207" t="s">
        <v>265</v>
      </c>
      <c r="AR21" s="207" t="s">
        <v>142</v>
      </c>
      <c r="AS21" s="207">
        <v>17</v>
      </c>
      <c r="AT21" s="207" t="s">
        <v>266</v>
      </c>
      <c r="AV21" s="168">
        <f t="shared" si="21"/>
        <v>40</v>
      </c>
      <c r="AW21" s="168">
        <f>COUNTIF( AV$7:AV21, AV21 )</f>
        <v>5</v>
      </c>
      <c r="AX21" s="208">
        <f t="shared" si="22"/>
        <v>40.5</v>
      </c>
      <c r="AY21" s="168">
        <f t="shared" si="23"/>
        <v>44</v>
      </c>
      <c r="AZ21" s="169"/>
      <c r="BA21" s="169"/>
      <c r="BC21" s="168">
        <f t="shared" ca="1" si="24"/>
        <v>15</v>
      </c>
      <c r="BD21" s="209">
        <f t="shared" ca="1" si="7"/>
        <v>24</v>
      </c>
      <c r="BF21" s="173" t="str">
        <f t="shared" ca="1" si="8"/>
        <v>Iberdrola USA</v>
      </c>
      <c r="BG21" s="173" t="str">
        <f t="shared" ca="1" si="9"/>
        <v>BBB+</v>
      </c>
      <c r="BH21" s="173">
        <f t="shared" ca="1" si="9"/>
        <v>19</v>
      </c>
      <c r="BI21" s="173" t="str">
        <f t="shared" ca="1" si="9"/>
        <v>**EAST</v>
      </c>
    </row>
    <row r="22" spans="1:61" ht="13.8" x14ac:dyDescent="0.25">
      <c r="A22" s="223" t="s">
        <v>271</v>
      </c>
      <c r="B22" s="224" t="s">
        <v>140</v>
      </c>
      <c r="C22" s="224">
        <v>19</v>
      </c>
      <c r="D22" s="224" t="s">
        <v>272</v>
      </c>
      <c r="E22" s="225" t="str">
        <f t="shared" ca="1" si="0"/>
        <v>D</v>
      </c>
      <c r="F22" s="348"/>
      <c r="G22" s="349">
        <f t="shared" ca="1" si="1"/>
        <v>33</v>
      </c>
      <c r="H22" s="350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4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5"/>
        <v/>
      </c>
      <c r="AQ22" s="207" t="s">
        <v>328</v>
      </c>
      <c r="AR22" s="207" t="s">
        <v>141</v>
      </c>
      <c r="AS22" s="207">
        <v>18</v>
      </c>
      <c r="AT22" s="207" t="s">
        <v>331</v>
      </c>
      <c r="AV22" s="168">
        <f t="shared" si="21"/>
        <v>24</v>
      </c>
      <c r="AW22" s="168">
        <f>COUNTIF( AV$7:AV22, AV22 )</f>
        <v>4</v>
      </c>
      <c r="AX22" s="208">
        <f t="shared" si="22"/>
        <v>24.4</v>
      </c>
      <c r="AY22" s="168">
        <f t="shared" si="23"/>
        <v>27</v>
      </c>
      <c r="AZ22" s="169"/>
      <c r="BA22" s="169"/>
      <c r="BC22" s="168">
        <f t="shared" ca="1" si="24"/>
        <v>16</v>
      </c>
      <c r="BD22" s="209">
        <f t="shared" ca="1" si="7"/>
        <v>28</v>
      </c>
      <c r="BF22" s="173" t="str">
        <f t="shared" ca="1" si="8"/>
        <v>MDU Resources Group, Inc.</v>
      </c>
      <c r="BG22" s="173" t="str">
        <f t="shared" ca="1" si="9"/>
        <v>BBB+</v>
      </c>
      <c r="BH22" s="173">
        <f t="shared" ca="1" si="9"/>
        <v>19</v>
      </c>
      <c r="BI22" s="173" t="str">
        <f t="shared" ca="1" si="9"/>
        <v>MDU</v>
      </c>
    </row>
    <row r="23" spans="1:61" ht="13.8" x14ac:dyDescent="0.25">
      <c r="A23" s="223" t="s">
        <v>408</v>
      </c>
      <c r="B23" s="224" t="s">
        <v>140</v>
      </c>
      <c r="C23" s="224">
        <v>19</v>
      </c>
      <c r="D23" s="224" t="s">
        <v>216</v>
      </c>
      <c r="E23" s="225" t="str">
        <f t="shared" ca="1" si="0"/>
        <v>MR</v>
      </c>
      <c r="F23" s="348"/>
      <c r="G23" s="349">
        <f t="shared" ca="1" si="1"/>
        <v>67</v>
      </c>
      <c r="H23" s="350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4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5"/>
        <v/>
      </c>
      <c r="AQ23" s="207" t="s">
        <v>367</v>
      </c>
      <c r="AR23" s="207" t="s">
        <v>142</v>
      </c>
      <c r="AS23" s="207">
        <v>17</v>
      </c>
      <c r="AT23" s="207" t="s">
        <v>368</v>
      </c>
      <c r="AV23" s="168">
        <f t="shared" si="21"/>
        <v>40</v>
      </c>
      <c r="AW23" s="168">
        <f>COUNTIF( AV$7:AV23, AV23 )</f>
        <v>6</v>
      </c>
      <c r="AX23" s="208">
        <f t="shared" si="22"/>
        <v>40.6</v>
      </c>
      <c r="AY23" s="168">
        <f t="shared" si="23"/>
        <v>45</v>
      </c>
      <c r="AZ23" s="169"/>
      <c r="BA23" s="169"/>
      <c r="BC23" s="168">
        <f t="shared" ca="1" si="24"/>
        <v>17</v>
      </c>
      <c r="BD23" s="209">
        <f t="shared" ca="1" si="7"/>
        <v>29</v>
      </c>
      <c r="BF23" s="173" t="str">
        <f t="shared" ca="1" si="8"/>
        <v>MidAmerican Energy Holdings Company</v>
      </c>
      <c r="BG23" s="173" t="str">
        <f t="shared" ca="1" si="9"/>
        <v>BBB+</v>
      </c>
      <c r="BH23" s="173">
        <f t="shared" ca="1" si="9"/>
        <v>19</v>
      </c>
      <c r="BI23" s="173" t="str">
        <f t="shared" ca="1" si="9"/>
        <v>**BRK</v>
      </c>
    </row>
    <row r="24" spans="1:61" ht="13.8" x14ac:dyDescent="0.25">
      <c r="A24" s="223" t="s">
        <v>277</v>
      </c>
      <c r="B24" s="224" t="s">
        <v>140</v>
      </c>
      <c r="C24" s="224">
        <v>19</v>
      </c>
      <c r="D24" s="224" t="s">
        <v>278</v>
      </c>
      <c r="E24" s="225" t="str">
        <f t="shared" ca="1" si="0"/>
        <v>MR</v>
      </c>
      <c r="F24" s="348"/>
      <c r="G24" s="349">
        <f t="shared" ca="1" si="1"/>
        <v>41</v>
      </c>
      <c r="H24" s="350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4"/>
        <v>25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5"/>
        <v/>
      </c>
      <c r="AQ24" s="207" t="s">
        <v>371</v>
      </c>
      <c r="AR24" s="207" t="s">
        <v>187</v>
      </c>
      <c r="AS24" s="207">
        <v>9</v>
      </c>
      <c r="AT24" s="207" t="s">
        <v>359</v>
      </c>
      <c r="AV24" s="168">
        <f t="shared" si="21"/>
        <v>54</v>
      </c>
      <c r="AW24" s="168">
        <f>COUNTIF( AV$7:AV24, AV24 )</f>
        <v>1</v>
      </c>
      <c r="AX24" s="208">
        <f t="shared" si="22"/>
        <v>54.1</v>
      </c>
      <c r="AY24" s="168">
        <f t="shared" si="23"/>
        <v>54</v>
      </c>
      <c r="AZ24" s="169"/>
      <c r="BA24" s="169"/>
      <c r="BC24" s="168">
        <f t="shared" ca="1" si="24"/>
        <v>18</v>
      </c>
      <c r="BD24" s="209">
        <f t="shared" ca="1" si="7"/>
        <v>35</v>
      </c>
      <c r="BF24" s="173" t="str">
        <f t="shared" ca="1" si="8"/>
        <v>OGE Energy Corp.</v>
      </c>
      <c r="BG24" s="173" t="str">
        <f t="shared" ca="1" si="9"/>
        <v>BBB+</v>
      </c>
      <c r="BH24" s="173">
        <f t="shared" ca="1" si="9"/>
        <v>19</v>
      </c>
      <c r="BI24" s="173" t="str">
        <f t="shared" ca="1" si="9"/>
        <v>OGE</v>
      </c>
    </row>
    <row r="25" spans="1:61" ht="13.8" x14ac:dyDescent="0.25">
      <c r="A25" s="223" t="s">
        <v>382</v>
      </c>
      <c r="B25" s="224" t="s">
        <v>140</v>
      </c>
      <c r="C25" s="224">
        <v>19</v>
      </c>
      <c r="D25" s="224" t="s">
        <v>383</v>
      </c>
      <c r="E25" s="225" t="str">
        <f t="shared" ca="1" si="0"/>
        <v>MR</v>
      </c>
      <c r="F25" s="348"/>
      <c r="G25" s="349">
        <f t="shared" ca="1" si="1"/>
        <v>43</v>
      </c>
      <c r="H25" s="350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9"/>
        <v/>
      </c>
      <c r="AJ25" s="169">
        <f t="shared" ca="1" si="4"/>
        <v>26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5"/>
        <v/>
      </c>
      <c r="AQ25" s="207" t="s">
        <v>267</v>
      </c>
      <c r="AR25" s="207" t="s">
        <v>141</v>
      </c>
      <c r="AS25" s="207">
        <v>18</v>
      </c>
      <c r="AT25" s="207" t="s">
        <v>268</v>
      </c>
      <c r="AV25" s="168">
        <f t="shared" si="21"/>
        <v>24</v>
      </c>
      <c r="AW25" s="168">
        <f>COUNTIF( AV$7:AV25, AV25 )</f>
        <v>5</v>
      </c>
      <c r="AX25" s="208">
        <f t="shared" si="22"/>
        <v>24.5</v>
      </c>
      <c r="AY25" s="168">
        <f t="shared" si="23"/>
        <v>28</v>
      </c>
      <c r="AZ25" s="169"/>
      <c r="BA25" s="169"/>
      <c r="BC25" s="168">
        <f t="shared" ca="1" si="24"/>
        <v>19</v>
      </c>
      <c r="BD25" s="209">
        <f t="shared" ca="1" si="7"/>
        <v>37</v>
      </c>
      <c r="BF25" s="173" t="str">
        <f t="shared" ca="1" si="8"/>
        <v>Pepco Holdings, Inc.</v>
      </c>
      <c r="BG25" s="173" t="str">
        <f t="shared" ca="1" si="9"/>
        <v>BBB+</v>
      </c>
      <c r="BH25" s="173">
        <f t="shared" ca="1" si="9"/>
        <v>19</v>
      </c>
      <c r="BI25" s="173" t="str">
        <f t="shared" ca="1" si="9"/>
        <v>POM</v>
      </c>
    </row>
    <row r="26" spans="1:61" ht="13.8" x14ac:dyDescent="0.25">
      <c r="A26" s="223" t="s">
        <v>427</v>
      </c>
      <c r="B26" s="224" t="s">
        <v>140</v>
      </c>
      <c r="C26" s="224">
        <v>19</v>
      </c>
      <c r="D26" s="224" t="s">
        <v>428</v>
      </c>
      <c r="E26" s="225" t="str">
        <f t="shared" ca="1" si="0"/>
        <v>R</v>
      </c>
      <c r="F26" s="348"/>
      <c r="G26" s="349">
        <f t="shared" ca="1" si="1"/>
        <v>49</v>
      </c>
      <c r="H26" s="350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9"/>
        <v/>
      </c>
      <c r="AJ26" s="169">
        <f t="shared" ca="1" si="4"/>
        <v>27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5"/>
        <v/>
      </c>
      <c r="AQ26" s="207" t="s">
        <v>269</v>
      </c>
      <c r="AR26" s="207" t="s">
        <v>141</v>
      </c>
      <c r="AS26" s="207">
        <v>18</v>
      </c>
      <c r="AT26" s="207" t="s">
        <v>270</v>
      </c>
      <c r="AV26" s="168">
        <f t="shared" si="21"/>
        <v>24</v>
      </c>
      <c r="AW26" s="168">
        <f>COUNTIF( AV$7:AV26, AV26 )</f>
        <v>6</v>
      </c>
      <c r="AX26" s="208">
        <f t="shared" si="22"/>
        <v>24.6</v>
      </c>
      <c r="AY26" s="168">
        <f t="shared" si="23"/>
        <v>29</v>
      </c>
      <c r="AZ26" s="169"/>
      <c r="BA26" s="169"/>
      <c r="BC26" s="168">
        <f t="shared" ca="1" si="24"/>
        <v>20</v>
      </c>
      <c r="BD26" s="209">
        <f t="shared" ca="1" si="7"/>
        <v>43</v>
      </c>
      <c r="BF26" s="173" t="str">
        <f t="shared" ca="1" si="8"/>
        <v>Progress Energy, Inc.</v>
      </c>
      <c r="BG26" s="173" t="str">
        <f t="shared" ca="1" si="9"/>
        <v>BBB+</v>
      </c>
      <c r="BH26" s="173">
        <f t="shared" ca="1" si="9"/>
        <v>19</v>
      </c>
      <c r="BI26" s="173" t="str">
        <f t="shared" ca="1" si="9"/>
        <v>PGN</v>
      </c>
    </row>
    <row r="27" spans="1:61" ht="13.8" x14ac:dyDescent="0.25">
      <c r="A27" s="223" t="s">
        <v>347</v>
      </c>
      <c r="B27" s="224" t="s">
        <v>140</v>
      </c>
      <c r="C27" s="224">
        <v>19</v>
      </c>
      <c r="D27" s="224" t="s">
        <v>348</v>
      </c>
      <c r="E27" s="225" t="str">
        <f t="shared" ca="1" si="0"/>
        <v>MR</v>
      </c>
      <c r="F27" s="348"/>
      <c r="G27" s="349">
        <f t="shared" ca="1" si="1"/>
        <v>51</v>
      </c>
      <c r="H27" s="350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4"/>
        <v>28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5"/>
        <v/>
      </c>
      <c r="AQ27" s="207" t="s">
        <v>275</v>
      </c>
      <c r="AR27" s="207" t="s">
        <v>142</v>
      </c>
      <c r="AS27" s="207">
        <v>17</v>
      </c>
      <c r="AT27" s="207" t="s">
        <v>276</v>
      </c>
      <c r="AV27" s="168">
        <f t="shared" si="21"/>
        <v>40</v>
      </c>
      <c r="AW27" s="168">
        <f>COUNTIF( AV$7:AV27, AV27 )</f>
        <v>7</v>
      </c>
      <c r="AX27" s="208">
        <f t="shared" si="22"/>
        <v>40.700000000000003</v>
      </c>
      <c r="AY27" s="168">
        <f t="shared" si="23"/>
        <v>46</v>
      </c>
      <c r="AZ27" s="169"/>
      <c r="BA27" s="169"/>
      <c r="BC27" s="168">
        <f t="shared" ca="1" si="24"/>
        <v>21</v>
      </c>
      <c r="BD27" s="209">
        <f t="shared" ca="1" si="7"/>
        <v>46</v>
      </c>
      <c r="BF27" s="173" t="str">
        <f t="shared" ca="1" si="8"/>
        <v>SCANA Corporation</v>
      </c>
      <c r="BG27" s="173" t="str">
        <f t="shared" ca="1" si="9"/>
        <v>BBB+</v>
      </c>
      <c r="BH27" s="173">
        <f t="shared" ca="1" si="9"/>
        <v>19</v>
      </c>
      <c r="BI27" s="173" t="str">
        <f t="shared" ca="1" si="9"/>
        <v>SCG</v>
      </c>
    </row>
    <row r="28" spans="1:61" ht="13.8" x14ac:dyDescent="0.25">
      <c r="A28" s="223" t="s">
        <v>291</v>
      </c>
      <c r="B28" s="224" t="s">
        <v>140</v>
      </c>
      <c r="C28" s="224">
        <v>19</v>
      </c>
      <c r="D28" s="224" t="s">
        <v>292</v>
      </c>
      <c r="E28" s="225" t="str">
        <f t="shared" ca="1" si="0"/>
        <v>MR</v>
      </c>
      <c r="F28" s="348"/>
      <c r="G28" s="349">
        <f t="shared" ca="1" si="1"/>
        <v>52</v>
      </c>
      <c r="H28" s="350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4"/>
        <v>29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5"/>
        <v/>
      </c>
      <c r="AQ28" s="207" t="s">
        <v>352</v>
      </c>
      <c r="AR28" s="207" t="s">
        <v>141</v>
      </c>
      <c r="AS28" s="207">
        <v>18</v>
      </c>
      <c r="AT28" s="207" t="s">
        <v>353</v>
      </c>
      <c r="AV28" s="168">
        <f t="shared" si="21"/>
        <v>24</v>
      </c>
      <c r="AW28" s="168">
        <f>COUNTIF( AV$7:AV28, AV28 )</f>
        <v>7</v>
      </c>
      <c r="AX28" s="208">
        <f t="shared" si="22"/>
        <v>24.7</v>
      </c>
      <c r="AY28" s="168">
        <f t="shared" si="23"/>
        <v>30</v>
      </c>
      <c r="AZ28" s="169"/>
      <c r="BA28" s="169"/>
      <c r="BC28" s="168">
        <f t="shared" ca="1" si="24"/>
        <v>22</v>
      </c>
      <c r="BD28" s="209">
        <f t="shared" ca="1" si="7"/>
        <v>47</v>
      </c>
      <c r="BF28" s="173" t="str">
        <f t="shared" ca="1" si="8"/>
        <v>Sempra Energy</v>
      </c>
      <c r="BG28" s="173" t="str">
        <f t="shared" ca="1" si="9"/>
        <v>BBB+</v>
      </c>
      <c r="BH28" s="173">
        <f t="shared" ca="1" si="9"/>
        <v>19</v>
      </c>
      <c r="BI28" s="173" t="str">
        <f t="shared" ca="1" si="9"/>
        <v>SRE</v>
      </c>
    </row>
    <row r="29" spans="1:61" ht="13.8" x14ac:dyDescent="0.25">
      <c r="A29" s="223" t="s">
        <v>369</v>
      </c>
      <c r="B29" s="224" t="s">
        <v>140</v>
      </c>
      <c r="C29" s="224">
        <v>19</v>
      </c>
      <c r="D29" s="224" t="s">
        <v>375</v>
      </c>
      <c r="E29" s="225" t="str">
        <f t="shared" ca="1" si="0"/>
        <v>R</v>
      </c>
      <c r="F29" s="348"/>
      <c r="G29" s="349">
        <f t="shared" ca="1" si="1"/>
        <v>54</v>
      </c>
      <c r="H29" s="350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9"/>
        <v/>
      </c>
      <c r="AJ29" s="169">
        <f t="shared" ca="1" si="4"/>
        <v>30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5"/>
        <v/>
      </c>
      <c r="AQ29" s="207" t="s">
        <v>279</v>
      </c>
      <c r="AR29" s="207" t="s">
        <v>142</v>
      </c>
      <c r="AS29" s="207">
        <v>17</v>
      </c>
      <c r="AT29" s="207" t="s">
        <v>280</v>
      </c>
      <c r="AV29" s="168">
        <f t="shared" si="21"/>
        <v>40</v>
      </c>
      <c r="AW29" s="168">
        <f>COUNTIF( AV$7:AV29, AV29 )</f>
        <v>8</v>
      </c>
      <c r="AX29" s="208">
        <f t="shared" si="22"/>
        <v>40.799999999999997</v>
      </c>
      <c r="AY29" s="168">
        <f t="shared" si="23"/>
        <v>47</v>
      </c>
      <c r="AZ29" s="169"/>
      <c r="BA29" s="169"/>
      <c r="BC29" s="168">
        <f t="shared" ca="1" si="24"/>
        <v>23</v>
      </c>
      <c r="BD29" s="209">
        <f t="shared" ca="1" si="7"/>
        <v>49</v>
      </c>
      <c r="BF29" s="173" t="str">
        <f t="shared" ca="1" si="8"/>
        <v>TECO Energy, Inc.</v>
      </c>
      <c r="BG29" s="173" t="str">
        <f t="shared" ca="1" si="9"/>
        <v>BBB+</v>
      </c>
      <c r="BH29" s="173">
        <f t="shared" ca="1" si="9"/>
        <v>19</v>
      </c>
      <c r="BI29" s="173" t="str">
        <f t="shared" ca="1" si="9"/>
        <v>TE</v>
      </c>
    </row>
    <row r="30" spans="1:61" ht="13.8" x14ac:dyDescent="0.25">
      <c r="A30" s="223" t="s">
        <v>222</v>
      </c>
      <c r="B30" s="224" t="s">
        <v>141</v>
      </c>
      <c r="C30" s="224">
        <v>18</v>
      </c>
      <c r="D30" s="224" t="s">
        <v>223</v>
      </c>
      <c r="E30" s="225" t="str">
        <f t="shared" ca="1" si="0"/>
        <v>R</v>
      </c>
      <c r="F30" s="348"/>
      <c r="G30" s="349">
        <f t="shared" ca="1" si="1"/>
        <v>10</v>
      </c>
      <c r="H30" s="350"/>
      <c r="I30" s="237"/>
      <c r="J30" s="191"/>
      <c r="K30" s="237"/>
      <c r="N30" s="237"/>
      <c r="Q30" s="237"/>
      <c r="T30" s="237"/>
      <c r="W30" s="237"/>
      <c r="AF30" s="169">
        <f t="shared" si="2"/>
        <v>0</v>
      </c>
      <c r="AG30" s="169" t="str">
        <f t="shared" ca="1" si="3"/>
        <v/>
      </c>
      <c r="AH30" s="169" t="str">
        <f t="shared" ca="1" si="19"/>
        <v/>
      </c>
      <c r="AJ30" s="169">
        <f t="shared" ca="1" si="4"/>
        <v>31</v>
      </c>
      <c r="AK30" s="169" t="str">
        <f t="shared" ca="1" si="20"/>
        <v>BBB</v>
      </c>
      <c r="AL30" s="169">
        <f t="shared" ca="1" si="20"/>
        <v>18</v>
      </c>
      <c r="AM30" s="169" t="str">
        <f t="shared" ca="1" si="5"/>
        <v/>
      </c>
      <c r="AQ30" s="207" t="s">
        <v>387</v>
      </c>
      <c r="AR30" s="207" t="s">
        <v>140</v>
      </c>
      <c r="AS30" s="207">
        <v>19</v>
      </c>
      <c r="AT30" s="207" t="s">
        <v>388</v>
      </c>
      <c r="AV30" s="168">
        <f t="shared" si="21"/>
        <v>11</v>
      </c>
      <c r="AW30" s="168">
        <f>COUNTIF( AV$7:AV30, AV30 )</f>
        <v>5</v>
      </c>
      <c r="AX30" s="208">
        <f t="shared" si="22"/>
        <v>11.5</v>
      </c>
      <c r="AY30" s="168">
        <f t="shared" si="23"/>
        <v>15</v>
      </c>
      <c r="AZ30" s="169"/>
      <c r="BA30" s="169"/>
      <c r="BC30" s="168">
        <f t="shared" ca="1" si="24"/>
        <v>24</v>
      </c>
      <c r="BD30" s="209">
        <f t="shared" ca="1" si="7"/>
        <v>4</v>
      </c>
      <c r="BF30" s="173" t="str">
        <f t="shared" ca="1" si="8"/>
        <v>American Electric Power Company, Inc.</v>
      </c>
      <c r="BG30" s="173" t="str">
        <f t="shared" ca="1" si="9"/>
        <v>BBB</v>
      </c>
      <c r="BH30" s="173">
        <f t="shared" ca="1" si="9"/>
        <v>18</v>
      </c>
      <c r="BI30" s="173" t="str">
        <f t="shared" ca="1" si="9"/>
        <v>AEP</v>
      </c>
    </row>
    <row r="31" spans="1:61" ht="13.8" x14ac:dyDescent="0.25">
      <c r="A31" s="223" t="s">
        <v>238</v>
      </c>
      <c r="B31" s="224" t="s">
        <v>141</v>
      </c>
      <c r="C31" s="224">
        <v>18</v>
      </c>
      <c r="D31" s="224" t="s">
        <v>239</v>
      </c>
      <c r="E31" s="225" t="str">
        <f t="shared" ca="1" si="0"/>
        <v>R</v>
      </c>
      <c r="F31" s="348"/>
      <c r="G31" s="349">
        <f t="shared" ca="1" si="1"/>
        <v>11</v>
      </c>
      <c r="H31" s="350"/>
      <c r="I31" s="237"/>
      <c r="J31" s="191"/>
      <c r="K31" s="237"/>
      <c r="N31" s="237"/>
      <c r="O31" s="351"/>
      <c r="Q31" s="237"/>
      <c r="T31" s="237"/>
      <c r="W31" s="237"/>
      <c r="AF31" s="169">
        <f t="shared" si="2"/>
        <v>0</v>
      </c>
      <c r="AG31" s="169" t="str">
        <f t="shared" ca="1" si="3"/>
        <v/>
      </c>
      <c r="AH31" s="169" t="str">
        <f t="shared" ca="1" si="19"/>
        <v/>
      </c>
      <c r="AJ31" s="169">
        <f t="shared" ca="1" si="4"/>
        <v>32</v>
      </c>
      <c r="AK31" s="169" t="str">
        <f t="shared" ca="1" si="20"/>
        <v>BBB</v>
      </c>
      <c r="AL31" s="169">
        <f t="shared" ca="1" si="20"/>
        <v>18</v>
      </c>
      <c r="AM31" s="169" t="str">
        <f t="shared" ca="1" si="5"/>
        <v/>
      </c>
      <c r="AQ31" s="207" t="s">
        <v>283</v>
      </c>
      <c r="AR31" s="207" t="s">
        <v>141</v>
      </c>
      <c r="AS31" s="207">
        <v>18</v>
      </c>
      <c r="AT31" s="207" t="s">
        <v>284</v>
      </c>
      <c r="AV31" s="168">
        <f t="shared" si="21"/>
        <v>24</v>
      </c>
      <c r="AW31" s="168">
        <f>COUNTIF( AV$7:AV31, AV31 )</f>
        <v>8</v>
      </c>
      <c r="AX31" s="208">
        <f t="shared" si="22"/>
        <v>24.8</v>
      </c>
      <c r="AY31" s="168">
        <f t="shared" si="23"/>
        <v>31</v>
      </c>
      <c r="AZ31" s="169"/>
      <c r="BA31" s="169"/>
      <c r="BC31" s="168">
        <f t="shared" ca="1" si="24"/>
        <v>25</v>
      </c>
      <c r="BD31" s="209">
        <f t="shared" ca="1" si="7"/>
        <v>5</v>
      </c>
      <c r="BF31" s="173" t="str">
        <f t="shared" ca="1" si="8"/>
        <v>Avista Corporation</v>
      </c>
      <c r="BG31" s="173" t="str">
        <f t="shared" ca="1" si="9"/>
        <v>BBB</v>
      </c>
      <c r="BH31" s="173">
        <f t="shared" ca="1" si="9"/>
        <v>18</v>
      </c>
      <c r="BI31" s="173" t="str">
        <f t="shared" ca="1" si="9"/>
        <v>AVA</v>
      </c>
    </row>
    <row r="32" spans="1:61" ht="13.8" x14ac:dyDescent="0.25">
      <c r="A32" s="223" t="s">
        <v>254</v>
      </c>
      <c r="B32" s="224" t="s">
        <v>141</v>
      </c>
      <c r="C32" s="224">
        <v>18</v>
      </c>
      <c r="D32" s="224" t="s">
        <v>378</v>
      </c>
      <c r="E32" s="225" t="str">
        <f t="shared" ca="1" si="0"/>
        <v>R</v>
      </c>
      <c r="F32" s="348"/>
      <c r="G32" s="349">
        <f t="shared" ca="1" si="1"/>
        <v>16</v>
      </c>
      <c r="H32" s="350"/>
      <c r="I32" s="237"/>
      <c r="J32" s="191"/>
      <c r="K32" s="237"/>
      <c r="N32" s="237"/>
      <c r="Q32" s="237"/>
      <c r="T32" s="237"/>
      <c r="W32" s="237"/>
      <c r="AF32" s="169">
        <f t="shared" si="2"/>
        <v>0</v>
      </c>
      <c r="AG32" s="169" t="str">
        <f t="shared" ca="1" si="3"/>
        <v/>
      </c>
      <c r="AH32" s="169" t="str">
        <f t="shared" ca="1" si="19"/>
        <v/>
      </c>
      <c r="AJ32" s="169">
        <f t="shared" ca="1" si="4"/>
        <v>33</v>
      </c>
      <c r="AK32" s="169" t="str">
        <f t="shared" ca="1" si="20"/>
        <v>BBB</v>
      </c>
      <c r="AL32" s="169">
        <f t="shared" ca="1" si="20"/>
        <v>18</v>
      </c>
      <c r="AM32" s="169" t="str">
        <f t="shared" ca="1" si="5"/>
        <v/>
      </c>
      <c r="AQ32" s="207" t="s">
        <v>395</v>
      </c>
      <c r="AR32" s="207" t="s">
        <v>139</v>
      </c>
      <c r="AS32" s="207">
        <v>20</v>
      </c>
      <c r="AT32" s="207" t="s">
        <v>396</v>
      </c>
      <c r="AV32" s="168">
        <f t="shared" si="21"/>
        <v>2</v>
      </c>
      <c r="AW32" s="168">
        <f>COUNTIF( AV$7:AV32, AV32 )</f>
        <v>4</v>
      </c>
      <c r="AX32" s="208">
        <f t="shared" si="22"/>
        <v>2.4</v>
      </c>
      <c r="AY32" s="168">
        <f t="shared" si="23"/>
        <v>5</v>
      </c>
      <c r="AZ32" s="169"/>
      <c r="BA32" s="169"/>
      <c r="BC32" s="168">
        <f t="shared" ca="1" si="24"/>
        <v>26</v>
      </c>
      <c r="BD32" s="209">
        <f t="shared" ca="1" si="7"/>
        <v>8</v>
      </c>
      <c r="BF32" s="173" t="str">
        <f t="shared" ca="1" si="8"/>
        <v>Cleco Corporation</v>
      </c>
      <c r="BG32" s="173" t="str">
        <f t="shared" ca="1" si="9"/>
        <v>BBB</v>
      </c>
      <c r="BH32" s="173">
        <f t="shared" ca="1" si="9"/>
        <v>18</v>
      </c>
      <c r="BI32" s="173" t="str">
        <f t="shared" ca="1" si="9"/>
        <v>CNL</v>
      </c>
    </row>
    <row r="33" spans="1:61" ht="13.8" x14ac:dyDescent="0.25">
      <c r="A33" s="223" t="s">
        <v>328</v>
      </c>
      <c r="B33" s="224" t="s">
        <v>141</v>
      </c>
      <c r="C33" s="224">
        <v>18</v>
      </c>
      <c r="D33" s="224" t="s">
        <v>331</v>
      </c>
      <c r="E33" s="225" t="str">
        <f t="shared" ca="1" si="0"/>
        <v>R</v>
      </c>
      <c r="F33" s="348"/>
      <c r="G33" s="349">
        <f t="shared" ca="1" si="1"/>
        <v>24</v>
      </c>
      <c r="H33" s="350"/>
      <c r="I33" s="237"/>
      <c r="J33" s="191"/>
      <c r="K33" s="237"/>
      <c r="N33" s="237"/>
      <c r="Q33" s="237"/>
      <c r="T33" s="237"/>
      <c r="W33" s="237"/>
      <c r="AF33" s="169">
        <f t="shared" si="2"/>
        <v>0</v>
      </c>
      <c r="AG33" s="169" t="str">
        <f t="shared" ca="1" si="3"/>
        <v/>
      </c>
      <c r="AH33" s="169" t="str">
        <f t="shared" ca="1" si="19"/>
        <v/>
      </c>
      <c r="AJ33" s="169">
        <f t="shared" ca="1" si="4"/>
        <v>34</v>
      </c>
      <c r="AK33" s="169" t="str">
        <f t="shared" ca="1" si="20"/>
        <v>BBB</v>
      </c>
      <c r="AL33" s="169">
        <f t="shared" ca="1" si="20"/>
        <v>18</v>
      </c>
      <c r="AM33" s="169" t="str">
        <f t="shared" ca="1" si="5"/>
        <v/>
      </c>
      <c r="AQ33" s="207" t="s">
        <v>287</v>
      </c>
      <c r="AR33" s="207" t="s">
        <v>142</v>
      </c>
      <c r="AS33" s="207">
        <v>17</v>
      </c>
      <c r="AT33" s="207" t="s">
        <v>288</v>
      </c>
      <c r="AV33" s="168">
        <f t="shared" si="21"/>
        <v>40</v>
      </c>
      <c r="AW33" s="168">
        <f>COUNTIF( AV$7:AV33, AV33 )</f>
        <v>9</v>
      </c>
      <c r="AX33" s="208">
        <f t="shared" si="22"/>
        <v>40.9</v>
      </c>
      <c r="AY33" s="168">
        <f t="shared" si="23"/>
        <v>48</v>
      </c>
      <c r="AZ33" s="169"/>
      <c r="BA33" s="169"/>
      <c r="BC33" s="168">
        <f t="shared" ca="1" si="24"/>
        <v>27</v>
      </c>
      <c r="BD33" s="209">
        <f t="shared" ca="1" si="7"/>
        <v>16</v>
      </c>
      <c r="BF33" s="173" t="str">
        <f t="shared" ca="1" si="8"/>
        <v>El Paso Electric Company</v>
      </c>
      <c r="BG33" s="173" t="str">
        <f t="shared" ca="1" si="9"/>
        <v>BBB</v>
      </c>
      <c r="BH33" s="173">
        <f t="shared" ca="1" si="9"/>
        <v>18</v>
      </c>
      <c r="BI33" s="173" t="str">
        <f t="shared" ca="1" si="9"/>
        <v>EE</v>
      </c>
    </row>
    <row r="34" spans="1:61" ht="13.8" x14ac:dyDescent="0.25">
      <c r="A34" s="223" t="s">
        <v>267</v>
      </c>
      <c r="B34" s="224" t="s">
        <v>141</v>
      </c>
      <c r="C34" s="224">
        <v>18</v>
      </c>
      <c r="D34" s="224" t="s">
        <v>268</v>
      </c>
      <c r="E34" s="225" t="str">
        <f t="shared" ca="1" si="0"/>
        <v>R</v>
      </c>
      <c r="F34" s="348"/>
      <c r="G34" s="349">
        <f t="shared" ca="1" si="1"/>
        <v>26</v>
      </c>
      <c r="H34" s="350"/>
      <c r="I34" s="237"/>
      <c r="J34" s="191"/>
      <c r="K34" s="237"/>
      <c r="N34" s="237"/>
      <c r="Q34" s="237"/>
      <c r="T34" s="237"/>
      <c r="W34" s="237"/>
      <c r="AF34" s="169">
        <f t="shared" si="2"/>
        <v>0</v>
      </c>
      <c r="AG34" s="169" t="str">
        <f t="shared" ca="1" si="3"/>
        <v/>
      </c>
      <c r="AH34" s="169" t="str">
        <f t="shared" ca="1" si="19"/>
        <v/>
      </c>
      <c r="AJ34" s="169">
        <f t="shared" ca="1" si="4"/>
        <v>35</v>
      </c>
      <c r="AK34" s="169" t="str">
        <f t="shared" ca="1" si="20"/>
        <v>BBB</v>
      </c>
      <c r="AL34" s="169">
        <f t="shared" ca="1" si="20"/>
        <v>18</v>
      </c>
      <c r="AM34" s="169" t="str">
        <f t="shared" ca="1" si="5"/>
        <v/>
      </c>
      <c r="AQ34" s="207" t="s">
        <v>271</v>
      </c>
      <c r="AR34" s="207" t="s">
        <v>140</v>
      </c>
      <c r="AS34" s="207">
        <v>19</v>
      </c>
      <c r="AT34" s="207" t="s">
        <v>272</v>
      </c>
      <c r="AV34" s="168">
        <f t="shared" si="21"/>
        <v>11</v>
      </c>
      <c r="AW34" s="168">
        <f>COUNTIF( AV$7:AV34, AV34 )</f>
        <v>6</v>
      </c>
      <c r="AX34" s="208">
        <f t="shared" si="22"/>
        <v>11.6</v>
      </c>
      <c r="AY34" s="168">
        <f t="shared" si="23"/>
        <v>16</v>
      </c>
      <c r="AZ34" s="169"/>
      <c r="BA34" s="169"/>
      <c r="BC34" s="168">
        <f t="shared" ca="1" si="24"/>
        <v>28</v>
      </c>
      <c r="BD34" s="209">
        <f t="shared" ca="1" si="7"/>
        <v>19</v>
      </c>
      <c r="BF34" s="173" t="str">
        <f t="shared" ca="1" si="8"/>
        <v>Entergy Corporation</v>
      </c>
      <c r="BG34" s="173" t="str">
        <f t="shared" ca="1" si="9"/>
        <v>BBB</v>
      </c>
      <c r="BH34" s="173">
        <f t="shared" ca="1" si="9"/>
        <v>18</v>
      </c>
      <c r="BI34" s="173" t="str">
        <f t="shared" ca="1" si="9"/>
        <v>ETR</v>
      </c>
    </row>
    <row r="35" spans="1:61" ht="13.8" x14ac:dyDescent="0.25">
      <c r="A35" s="223" t="s">
        <v>269</v>
      </c>
      <c r="B35" s="224" t="s">
        <v>141</v>
      </c>
      <c r="C35" s="224">
        <v>18</v>
      </c>
      <c r="D35" s="224" t="s">
        <v>270</v>
      </c>
      <c r="E35" s="225" t="str">
        <f t="shared" ca="1" si="0"/>
        <v>MR</v>
      </c>
      <c r="F35" s="348"/>
      <c r="G35" s="349">
        <f t="shared" ca="1" si="1"/>
        <v>27</v>
      </c>
      <c r="H35" s="350"/>
      <c r="I35" s="237"/>
      <c r="K35" s="237"/>
      <c r="N35" s="237"/>
      <c r="Q35" s="237"/>
      <c r="T35" s="237"/>
      <c r="W35" s="237"/>
      <c r="AF35" s="169">
        <f t="shared" si="2"/>
        <v>0</v>
      </c>
      <c r="AG35" s="169" t="str">
        <f t="shared" ca="1" si="3"/>
        <v/>
      </c>
      <c r="AH35" s="169" t="str">
        <f t="shared" ca="1" si="19"/>
        <v/>
      </c>
      <c r="AJ35" s="169">
        <f t="shared" ca="1" si="4"/>
        <v>36</v>
      </c>
      <c r="AK35" s="169" t="str">
        <f t="shared" ca="1" si="20"/>
        <v>BBB</v>
      </c>
      <c r="AL35" s="169">
        <f t="shared" ca="1" si="20"/>
        <v>18</v>
      </c>
      <c r="AM35" s="169" t="str">
        <f t="shared" ca="1" si="5"/>
        <v/>
      </c>
      <c r="AQ35" s="207" t="s">
        <v>408</v>
      </c>
      <c r="AR35" s="207" t="s">
        <v>140</v>
      </c>
      <c r="AS35" s="207">
        <v>19</v>
      </c>
      <c r="AT35" s="207" t="s">
        <v>216</v>
      </c>
      <c r="AV35" s="168">
        <f t="shared" si="21"/>
        <v>11</v>
      </c>
      <c r="AW35" s="168">
        <f>COUNTIF( AV$7:AV35, AV35 )</f>
        <v>7</v>
      </c>
      <c r="AX35" s="208">
        <f t="shared" si="22"/>
        <v>11.7</v>
      </c>
      <c r="AY35" s="168">
        <f t="shared" si="23"/>
        <v>17</v>
      </c>
      <c r="AZ35" s="169"/>
      <c r="BA35" s="169"/>
      <c r="BC35" s="168">
        <f t="shared" ca="1" si="24"/>
        <v>29</v>
      </c>
      <c r="BD35" s="209">
        <f t="shared" ca="1" si="7"/>
        <v>20</v>
      </c>
      <c r="BF35" s="173" t="str">
        <f t="shared" ca="1" si="8"/>
        <v>Exelon Corporation</v>
      </c>
      <c r="BG35" s="173" t="str">
        <f t="shared" ca="1" si="9"/>
        <v>BBB</v>
      </c>
      <c r="BH35" s="173">
        <f t="shared" ca="1" si="9"/>
        <v>18</v>
      </c>
      <c r="BI35" s="173" t="str">
        <f t="shared" ca="1" si="9"/>
        <v>EXC</v>
      </c>
    </row>
    <row r="36" spans="1:61" ht="13.8" x14ac:dyDescent="0.25">
      <c r="A36" s="223" t="s">
        <v>352</v>
      </c>
      <c r="B36" s="224" t="s">
        <v>141</v>
      </c>
      <c r="C36" s="224">
        <v>18</v>
      </c>
      <c r="D36" s="224" t="s">
        <v>353</v>
      </c>
      <c r="E36" s="225" t="str">
        <f t="shared" ca="1" si="0"/>
        <v>R</v>
      </c>
      <c r="F36" s="348"/>
      <c r="G36" s="349">
        <f t="shared" ca="1" si="1"/>
        <v>29</v>
      </c>
      <c r="H36" s="350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9"/>
        <v/>
      </c>
      <c r="AJ36" s="169">
        <f t="shared" ca="1" si="4"/>
        <v>37</v>
      </c>
      <c r="AK36" s="169" t="str">
        <f t="shared" ca="1" si="20"/>
        <v>BBB</v>
      </c>
      <c r="AL36" s="169">
        <f t="shared" ca="1" si="20"/>
        <v>18</v>
      </c>
      <c r="AM36" s="169" t="str">
        <f t="shared" ca="1" si="5"/>
        <v/>
      </c>
      <c r="AQ36" s="207" t="s">
        <v>240</v>
      </c>
      <c r="AR36" s="207" t="s">
        <v>139</v>
      </c>
      <c r="AS36" s="207">
        <v>20</v>
      </c>
      <c r="AT36" s="207" t="s">
        <v>241</v>
      </c>
      <c r="AV36" s="168">
        <f t="shared" si="21"/>
        <v>2</v>
      </c>
      <c r="AW36" s="168">
        <f>COUNTIF( AV$7:AV36, AV36 )</f>
        <v>5</v>
      </c>
      <c r="AX36" s="208">
        <f t="shared" si="22"/>
        <v>2.5</v>
      </c>
      <c r="AY36" s="168">
        <f t="shared" si="23"/>
        <v>6</v>
      </c>
      <c r="AZ36" s="169"/>
      <c r="BA36" s="169"/>
      <c r="BC36" s="168">
        <f t="shared" ca="1" si="24"/>
        <v>30</v>
      </c>
      <c r="BD36" s="209">
        <f t="shared" ca="1" si="7"/>
        <v>22</v>
      </c>
      <c r="BF36" s="173" t="str">
        <f t="shared" ca="1" si="8"/>
        <v>Great Plains Energy Inc.</v>
      </c>
      <c r="BG36" s="173" t="str">
        <f t="shared" ca="1" si="9"/>
        <v>BBB</v>
      </c>
      <c r="BH36" s="173">
        <f t="shared" ca="1" si="9"/>
        <v>18</v>
      </c>
      <c r="BI36" s="173" t="str">
        <f t="shared" ca="1" si="9"/>
        <v>GXP</v>
      </c>
    </row>
    <row r="37" spans="1:61" ht="13.8" x14ac:dyDescent="0.25">
      <c r="A37" s="223" t="s">
        <v>283</v>
      </c>
      <c r="B37" s="224" t="s">
        <v>141</v>
      </c>
      <c r="C37" s="224">
        <v>18</v>
      </c>
      <c r="D37" s="224" t="s">
        <v>284</v>
      </c>
      <c r="E37" s="225" t="str">
        <f t="shared" ca="1" si="0"/>
        <v>R</v>
      </c>
      <c r="F37" s="348"/>
      <c r="G37" s="349">
        <f t="shared" ca="1" si="1"/>
        <v>31</v>
      </c>
      <c r="H37" s="350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4"/>
        <v>38</v>
      </c>
      <c r="AK37" s="169" t="str">
        <f t="shared" ca="1" si="20"/>
        <v>BBB</v>
      </c>
      <c r="AL37" s="169">
        <f t="shared" ca="1" si="20"/>
        <v>18</v>
      </c>
      <c r="AM37" s="169" t="str">
        <f t="shared" ca="1" si="5"/>
        <v/>
      </c>
      <c r="AQ37" s="207" t="s">
        <v>273</v>
      </c>
      <c r="AR37" s="207" t="s">
        <v>142</v>
      </c>
      <c r="AS37" s="207">
        <v>17</v>
      </c>
      <c r="AT37" s="207" t="s">
        <v>274</v>
      </c>
      <c r="AV37" s="168">
        <f t="shared" si="21"/>
        <v>40</v>
      </c>
      <c r="AW37" s="168">
        <f>COUNTIF( AV$7:AV37, AV37 )</f>
        <v>10</v>
      </c>
      <c r="AX37" s="208">
        <f t="shared" si="22"/>
        <v>41</v>
      </c>
      <c r="AY37" s="168">
        <f t="shared" si="23"/>
        <v>49</v>
      </c>
      <c r="AZ37" s="169"/>
      <c r="BA37" s="169"/>
      <c r="BC37" s="168">
        <f t="shared" ca="1" si="24"/>
        <v>31</v>
      </c>
      <c r="BD37" s="209">
        <f t="shared" ca="1" si="7"/>
        <v>25</v>
      </c>
      <c r="BF37" s="173" t="str">
        <f t="shared" ca="1" si="8"/>
        <v>IDACORP, Inc.</v>
      </c>
      <c r="BG37" s="173" t="str">
        <f t="shared" ca="1" si="9"/>
        <v>BBB</v>
      </c>
      <c r="BH37" s="173">
        <f t="shared" ca="1" si="9"/>
        <v>18</v>
      </c>
      <c r="BI37" s="173" t="str">
        <f t="shared" ca="1" si="9"/>
        <v>IDA</v>
      </c>
    </row>
    <row r="38" spans="1:61" ht="13.8" x14ac:dyDescent="0.25">
      <c r="A38" s="223" t="s">
        <v>297</v>
      </c>
      <c r="B38" s="224" t="s">
        <v>141</v>
      </c>
      <c r="C38" s="224">
        <v>18</v>
      </c>
      <c r="D38" s="224" t="s">
        <v>298</v>
      </c>
      <c r="E38" s="225" t="str">
        <f t="shared" ca="1" si="0"/>
        <v>R</v>
      </c>
      <c r="F38" s="348"/>
      <c r="G38" s="349">
        <f t="shared" ca="1" si="1"/>
        <v>38</v>
      </c>
      <c r="H38" s="350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4"/>
        <v>39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5"/>
        <v/>
      </c>
      <c r="AQ38" s="207" t="s">
        <v>394</v>
      </c>
      <c r="AR38" s="207" t="s">
        <v>139</v>
      </c>
      <c r="AS38" s="207">
        <v>20</v>
      </c>
      <c r="AT38" s="207" t="s">
        <v>236</v>
      </c>
      <c r="AV38" s="168">
        <f t="shared" si="21"/>
        <v>2</v>
      </c>
      <c r="AW38" s="168">
        <f>COUNTIF( AV$7:AV38, AV38 )</f>
        <v>6</v>
      </c>
      <c r="AX38" s="208">
        <f t="shared" si="22"/>
        <v>2.6</v>
      </c>
      <c r="AY38" s="168">
        <f t="shared" si="23"/>
        <v>7</v>
      </c>
      <c r="AZ38" s="169"/>
      <c r="BA38" s="169"/>
      <c r="BC38" s="168">
        <f t="shared" ca="1" si="24"/>
        <v>32</v>
      </c>
      <c r="BD38" s="209">
        <f t="shared" ca="1" si="7"/>
        <v>33</v>
      </c>
      <c r="BF38" s="173" t="str">
        <f t="shared" ca="1" si="8"/>
        <v>NorthWestern Corporation</v>
      </c>
      <c r="BG38" s="173" t="str">
        <f t="shared" ca="1" si="9"/>
        <v>BBB</v>
      </c>
      <c r="BH38" s="173">
        <f t="shared" ca="1" si="9"/>
        <v>18</v>
      </c>
      <c r="BI38" s="173" t="str">
        <f t="shared" ca="1" si="9"/>
        <v>NWE</v>
      </c>
    </row>
    <row r="39" spans="1:61" ht="13.8" x14ac:dyDescent="0.25">
      <c r="A39" s="223" t="s">
        <v>301</v>
      </c>
      <c r="B39" s="224" t="s">
        <v>141</v>
      </c>
      <c r="C39" s="224">
        <v>18</v>
      </c>
      <c r="D39" s="224" t="s">
        <v>302</v>
      </c>
      <c r="E39" s="225" t="str">
        <f t="shared" ca="1" si="0"/>
        <v>R</v>
      </c>
      <c r="F39" s="348"/>
      <c r="G39" s="349">
        <f t="shared" ca="1" si="1"/>
        <v>44</v>
      </c>
      <c r="H39" s="350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9"/>
        <v/>
      </c>
      <c r="AJ39" s="169">
        <f t="shared" ca="1" si="4"/>
        <v>40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5"/>
        <v/>
      </c>
      <c r="AQ39" s="207" t="s">
        <v>297</v>
      </c>
      <c r="AR39" s="207" t="s">
        <v>141</v>
      </c>
      <c r="AS39" s="207">
        <v>18</v>
      </c>
      <c r="AT39" s="207" t="s">
        <v>298</v>
      </c>
      <c r="AV39" s="168">
        <f t="shared" si="21"/>
        <v>24</v>
      </c>
      <c r="AW39" s="168">
        <f>COUNTIF( AV$7:AV39, AV39 )</f>
        <v>9</v>
      </c>
      <c r="AX39" s="208">
        <f t="shared" si="22"/>
        <v>24.9</v>
      </c>
      <c r="AY39" s="168">
        <f t="shared" si="23"/>
        <v>32</v>
      </c>
      <c r="AZ39" s="169"/>
      <c r="BA39" s="169"/>
      <c r="BC39" s="168">
        <f t="shared" ca="1" si="24"/>
        <v>33</v>
      </c>
      <c r="BD39" s="209">
        <f t="shared" ca="1" si="7"/>
        <v>38</v>
      </c>
      <c r="BF39" s="173" t="str">
        <f t="shared" ref="BF39:BF63" ca="1" si="25">OFFSET( AQ$6, $BD39, 0 )</f>
        <v>PG&amp;E Corporation</v>
      </c>
      <c r="BG39" s="173" t="str">
        <f t="shared" ca="1" si="9"/>
        <v>BBB</v>
      </c>
      <c r="BH39" s="173">
        <f t="shared" ca="1" si="9"/>
        <v>18</v>
      </c>
      <c r="BI39" s="173" t="str">
        <f t="shared" ca="1" si="9"/>
        <v>PCG</v>
      </c>
    </row>
    <row r="40" spans="1:61" ht="13.8" x14ac:dyDescent="0.25">
      <c r="A40" s="223" t="s">
        <v>281</v>
      </c>
      <c r="B40" s="224" t="s">
        <v>141</v>
      </c>
      <c r="C40" s="224">
        <v>18</v>
      </c>
      <c r="D40" s="224" t="s">
        <v>282</v>
      </c>
      <c r="E40" s="225" t="str">
        <f t="shared" ca="1" si="0"/>
        <v>R</v>
      </c>
      <c r="F40" s="348"/>
      <c r="G40" s="349">
        <f t="shared" ca="1" si="1"/>
        <v>45</v>
      </c>
      <c r="H40" s="350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4"/>
        <v>41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5"/>
        <v/>
      </c>
      <c r="AQ40" s="207" t="s">
        <v>411</v>
      </c>
      <c r="AR40" s="207" t="s">
        <v>173</v>
      </c>
      <c r="AS40" s="207">
        <v>16</v>
      </c>
      <c r="AT40" s="207" t="s">
        <v>412</v>
      </c>
      <c r="AV40" s="168">
        <f t="shared" si="21"/>
        <v>52</v>
      </c>
      <c r="AW40" s="168">
        <f>COUNTIF( AV$7:AV40, AV40 )</f>
        <v>1</v>
      </c>
      <c r="AX40" s="208">
        <f t="shared" si="22"/>
        <v>52.1</v>
      </c>
      <c r="AY40" s="168">
        <f t="shared" si="23"/>
        <v>52</v>
      </c>
      <c r="AZ40" s="169"/>
      <c r="BA40" s="169"/>
      <c r="BC40" s="168">
        <f t="shared" ca="1" si="24"/>
        <v>34</v>
      </c>
      <c r="BD40" s="209">
        <f t="shared" ca="1" si="7"/>
        <v>39</v>
      </c>
      <c r="BF40" s="173" t="str">
        <f t="shared" ca="1" si="25"/>
        <v>Pinnacle West Capital Corporation</v>
      </c>
      <c r="BG40" s="173" t="str">
        <f t="shared" ca="1" si="9"/>
        <v>BBB</v>
      </c>
      <c r="BH40" s="173">
        <f t="shared" ca="1" si="9"/>
        <v>18</v>
      </c>
      <c r="BI40" s="173" t="str">
        <f t="shared" ca="1" si="9"/>
        <v>PNW</v>
      </c>
    </row>
    <row r="41" spans="1:61" ht="13.8" x14ac:dyDescent="0.25">
      <c r="A41" s="223" t="s">
        <v>285</v>
      </c>
      <c r="B41" s="224" t="s">
        <v>141</v>
      </c>
      <c r="C41" s="224">
        <v>18</v>
      </c>
      <c r="D41" s="224" t="s">
        <v>286</v>
      </c>
      <c r="E41" s="225" t="str">
        <f t="shared" ca="1" si="0"/>
        <v>R</v>
      </c>
      <c r="F41" s="348"/>
      <c r="G41" s="349">
        <f t="shared" ca="1" si="1"/>
        <v>47</v>
      </c>
      <c r="H41" s="350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4"/>
        <v>42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5"/>
        <v/>
      </c>
      <c r="AQ41" s="207" t="s">
        <v>277</v>
      </c>
      <c r="AR41" s="207" t="s">
        <v>140</v>
      </c>
      <c r="AS41" s="207">
        <v>19</v>
      </c>
      <c r="AT41" s="207" t="s">
        <v>278</v>
      </c>
      <c r="AV41" s="168">
        <f t="shared" si="21"/>
        <v>11</v>
      </c>
      <c r="AW41" s="168">
        <f>COUNTIF( AV$7:AV41, AV41 )</f>
        <v>8</v>
      </c>
      <c r="AX41" s="208">
        <f t="shared" si="22"/>
        <v>11.8</v>
      </c>
      <c r="AY41" s="168">
        <f t="shared" si="23"/>
        <v>18</v>
      </c>
      <c r="AZ41" s="169"/>
      <c r="BA41" s="169"/>
      <c r="BC41" s="168">
        <f t="shared" ca="1" si="24"/>
        <v>35</v>
      </c>
      <c r="BD41" s="209">
        <f t="shared" ca="1" si="7"/>
        <v>41</v>
      </c>
      <c r="BF41" s="173" t="str">
        <f t="shared" ca="1" si="25"/>
        <v>Portland General Electric Company</v>
      </c>
      <c r="BG41" s="173" t="str">
        <f t="shared" ca="1" si="9"/>
        <v>BBB</v>
      </c>
      <c r="BH41" s="173">
        <f t="shared" ca="1" si="9"/>
        <v>18</v>
      </c>
      <c r="BI41" s="173" t="str">
        <f t="shared" ca="1" si="9"/>
        <v>POR</v>
      </c>
    </row>
    <row r="42" spans="1:61" ht="13.8" x14ac:dyDescent="0.25">
      <c r="A42" s="223" t="s">
        <v>243</v>
      </c>
      <c r="B42" s="224" t="s">
        <v>141</v>
      </c>
      <c r="C42" s="224">
        <v>18</v>
      </c>
      <c r="D42" s="224" t="s">
        <v>244</v>
      </c>
      <c r="E42" s="225" t="str">
        <f t="shared" ca="1" si="0"/>
        <v>MR</v>
      </c>
      <c r="F42" s="348"/>
      <c r="G42" s="349">
        <f t="shared" ca="1" si="1"/>
        <v>48</v>
      </c>
      <c r="H42" s="350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4"/>
        <v>43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5"/>
        <v/>
      </c>
      <c r="AQ42" s="207" t="s">
        <v>299</v>
      </c>
      <c r="AR42" s="207" t="s">
        <v>142</v>
      </c>
      <c r="AS42" s="207">
        <v>17</v>
      </c>
      <c r="AT42" s="207" t="s">
        <v>300</v>
      </c>
      <c r="AV42" s="168">
        <f t="shared" si="21"/>
        <v>40</v>
      </c>
      <c r="AW42" s="168">
        <f>COUNTIF( AV$7:AV42, AV42 )</f>
        <v>11</v>
      </c>
      <c r="AX42" s="208">
        <f t="shared" si="22"/>
        <v>41.1</v>
      </c>
      <c r="AY42" s="168">
        <f t="shared" si="23"/>
        <v>50</v>
      </c>
      <c r="AZ42" s="169"/>
      <c r="BA42" s="169"/>
      <c r="BC42" s="168">
        <f t="shared" ca="1" si="24"/>
        <v>36</v>
      </c>
      <c r="BD42" s="209">
        <f t="shared" ca="1" si="7"/>
        <v>42</v>
      </c>
      <c r="BF42" s="173" t="str">
        <f t="shared" ca="1" si="25"/>
        <v>PPL Corporation</v>
      </c>
      <c r="BG42" s="173" t="str">
        <f t="shared" ca="1" si="9"/>
        <v>BBB</v>
      </c>
      <c r="BH42" s="173">
        <f t="shared" ca="1" si="9"/>
        <v>18</v>
      </c>
      <c r="BI42" s="173" t="str">
        <f t="shared" ca="1" si="9"/>
        <v>PPL</v>
      </c>
    </row>
    <row r="43" spans="1:61" ht="13.8" x14ac:dyDescent="0.25">
      <c r="A43" s="223" t="s">
        <v>289</v>
      </c>
      <c r="B43" s="224" t="s">
        <v>141</v>
      </c>
      <c r="C43" s="224">
        <v>18</v>
      </c>
      <c r="D43" s="224" t="s">
        <v>290</v>
      </c>
      <c r="E43" s="225" t="str">
        <f t="shared" ca="1" si="0"/>
        <v>MR</v>
      </c>
      <c r="F43" s="348"/>
      <c r="G43" s="349">
        <f t="shared" ca="1" si="1"/>
        <v>50</v>
      </c>
      <c r="H43" s="350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9"/>
        <v/>
      </c>
      <c r="AJ43" s="169">
        <f t="shared" ca="1" si="4"/>
        <v>44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5"/>
        <v/>
      </c>
      <c r="AQ43" s="207" t="s">
        <v>382</v>
      </c>
      <c r="AR43" s="207" t="s">
        <v>140</v>
      </c>
      <c r="AS43" s="207">
        <v>19</v>
      </c>
      <c r="AT43" s="207" t="s">
        <v>383</v>
      </c>
      <c r="AV43" s="168">
        <f t="shared" si="21"/>
        <v>11</v>
      </c>
      <c r="AW43" s="168">
        <f>COUNTIF( AV$7:AV43, AV43 )</f>
        <v>9</v>
      </c>
      <c r="AX43" s="208">
        <f t="shared" si="22"/>
        <v>11.9</v>
      </c>
      <c r="AY43" s="168">
        <f t="shared" si="23"/>
        <v>19</v>
      </c>
      <c r="AZ43" s="169"/>
      <c r="BA43" s="169"/>
      <c r="BC43" s="168">
        <f t="shared" ca="1" si="24"/>
        <v>37</v>
      </c>
      <c r="BD43" s="209">
        <f t="shared" ca="1" si="7"/>
        <v>44</v>
      </c>
      <c r="BF43" s="173" t="str">
        <f t="shared" ca="1" si="25"/>
        <v>Public Service Enterprise Group Incorporated</v>
      </c>
      <c r="BG43" s="173" t="str">
        <f t="shared" ca="1" si="9"/>
        <v>BBB</v>
      </c>
      <c r="BH43" s="173">
        <f t="shared" ca="1" si="9"/>
        <v>18</v>
      </c>
      <c r="BI43" s="173" t="str">
        <f t="shared" ca="1" si="9"/>
        <v>PEG</v>
      </c>
    </row>
    <row r="44" spans="1:61" ht="13.8" x14ac:dyDescent="0.25">
      <c r="A44" s="223" t="s">
        <v>389</v>
      </c>
      <c r="B44" s="224" t="s">
        <v>141</v>
      </c>
      <c r="C44" s="224">
        <v>18</v>
      </c>
      <c r="D44" s="224" t="s">
        <v>390</v>
      </c>
      <c r="E44" s="225" t="str">
        <f t="shared" ca="1" si="0"/>
        <v>R</v>
      </c>
      <c r="F44" s="348"/>
      <c r="G44" s="349">
        <f t="shared" ca="1" si="1"/>
        <v>55</v>
      </c>
      <c r="H44" s="350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9"/>
        <v/>
      </c>
      <c r="AJ44" s="169">
        <f t="shared" ca="1" si="4"/>
        <v>45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5"/>
        <v/>
      </c>
      <c r="AQ44" s="207" t="s">
        <v>301</v>
      </c>
      <c r="AR44" s="207" t="s">
        <v>141</v>
      </c>
      <c r="AS44" s="207">
        <v>18</v>
      </c>
      <c r="AT44" s="207" t="s">
        <v>302</v>
      </c>
      <c r="AV44" s="168">
        <f t="shared" si="21"/>
        <v>24</v>
      </c>
      <c r="AW44" s="168">
        <f>COUNTIF( AV$7:AV44, AV44 )</f>
        <v>10</v>
      </c>
      <c r="AX44" s="208">
        <f t="shared" si="22"/>
        <v>25</v>
      </c>
      <c r="AY44" s="168">
        <f t="shared" si="23"/>
        <v>33</v>
      </c>
      <c r="AZ44" s="169"/>
      <c r="BA44" s="169"/>
      <c r="BC44" s="168">
        <f t="shared" ca="1" si="24"/>
        <v>38</v>
      </c>
      <c r="BD44" s="209">
        <f t="shared" ca="1" si="7"/>
        <v>50</v>
      </c>
      <c r="BF44" s="173" t="str">
        <f t="shared" ca="1" si="25"/>
        <v>UIL Holdings Corporation</v>
      </c>
      <c r="BG44" s="173" t="str">
        <f t="shared" ca="1" si="9"/>
        <v>BBB</v>
      </c>
      <c r="BH44" s="173">
        <f t="shared" ca="1" si="9"/>
        <v>18</v>
      </c>
      <c r="BI44" s="173" t="str">
        <f t="shared" ca="1" si="9"/>
        <v>UIL</v>
      </c>
    </row>
    <row r="45" spans="1:61" ht="13.8" x14ac:dyDescent="0.25">
      <c r="A45" s="223" t="s">
        <v>354</v>
      </c>
      <c r="B45" s="224" t="s">
        <v>141</v>
      </c>
      <c r="C45" s="224">
        <v>18</v>
      </c>
      <c r="D45" s="224" t="s">
        <v>355</v>
      </c>
      <c r="E45" s="225" t="str">
        <f t="shared" ca="1" si="0"/>
        <v>R</v>
      </c>
      <c r="F45" s="348"/>
      <c r="G45" s="349">
        <f t="shared" ca="1" si="1"/>
        <v>59</v>
      </c>
      <c r="H45" s="350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9"/>
        <v/>
      </c>
      <c r="AJ45" s="169">
        <f t="shared" ca="1" si="4"/>
        <v>46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5"/>
        <v/>
      </c>
      <c r="AQ45" s="207" t="s">
        <v>281</v>
      </c>
      <c r="AR45" s="207" t="s">
        <v>141</v>
      </c>
      <c r="AS45" s="207">
        <v>18</v>
      </c>
      <c r="AT45" s="207" t="s">
        <v>282</v>
      </c>
      <c r="AV45" s="168">
        <f t="shared" si="21"/>
        <v>24</v>
      </c>
      <c r="AW45" s="168">
        <f>COUNTIF( AV$7:AV45, AV45 )</f>
        <v>11</v>
      </c>
      <c r="AX45" s="208">
        <f t="shared" si="22"/>
        <v>25.1</v>
      </c>
      <c r="AY45" s="168">
        <f t="shared" si="23"/>
        <v>34</v>
      </c>
      <c r="AZ45" s="169"/>
      <c r="BA45" s="169"/>
      <c r="BC45" s="168">
        <f t="shared" ca="1" si="24"/>
        <v>39</v>
      </c>
      <c r="BD45" s="209">
        <f t="shared" ca="1" si="7"/>
        <v>52</v>
      </c>
      <c r="BF45" s="173" t="str">
        <f t="shared" ca="1" si="25"/>
        <v>Westar Energy, Inc.</v>
      </c>
      <c r="BG45" s="173" t="str">
        <f t="shared" ca="1" si="9"/>
        <v>BBB</v>
      </c>
      <c r="BH45" s="173">
        <f t="shared" ca="1" si="9"/>
        <v>18</v>
      </c>
      <c r="BI45" s="173" t="str">
        <f t="shared" ca="1" si="9"/>
        <v>WR</v>
      </c>
    </row>
    <row r="46" spans="1:61" ht="13.8" x14ac:dyDescent="0.25">
      <c r="A46" s="223" t="s">
        <v>225</v>
      </c>
      <c r="B46" s="224" t="s">
        <v>142</v>
      </c>
      <c r="C46" s="224">
        <v>17</v>
      </c>
      <c r="D46" s="224" t="s">
        <v>226</v>
      </c>
      <c r="E46" s="225" t="str">
        <f t="shared" ca="1" si="0"/>
        <v>R</v>
      </c>
      <c r="F46" s="348"/>
      <c r="G46" s="349">
        <f t="shared" ca="1" si="1"/>
        <v>9</v>
      </c>
      <c r="H46" s="350"/>
      <c r="I46" s="191"/>
      <c r="K46" s="191"/>
      <c r="N46" s="351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9"/>
        <v/>
      </c>
      <c r="AJ46" s="169">
        <f t="shared" ca="1" si="4"/>
        <v>47</v>
      </c>
      <c r="AK46" s="169" t="str">
        <f t="shared" ca="1" si="20"/>
        <v>BBB-</v>
      </c>
      <c r="AL46" s="169">
        <f t="shared" ca="1" si="20"/>
        <v>17</v>
      </c>
      <c r="AM46" s="169" t="str">
        <f t="shared" ca="1" si="5"/>
        <v/>
      </c>
      <c r="AQ46" s="207" t="s">
        <v>303</v>
      </c>
      <c r="AR46" s="207" t="s">
        <v>142</v>
      </c>
      <c r="AS46" s="207">
        <v>17</v>
      </c>
      <c r="AT46" s="207" t="s">
        <v>304</v>
      </c>
      <c r="AV46" s="168">
        <f t="shared" si="21"/>
        <v>40</v>
      </c>
      <c r="AW46" s="168">
        <f>COUNTIF( AV$7:AV46, AV46 )</f>
        <v>12</v>
      </c>
      <c r="AX46" s="208">
        <f t="shared" si="22"/>
        <v>41.2</v>
      </c>
      <c r="AY46" s="168">
        <f t="shared" si="23"/>
        <v>51</v>
      </c>
      <c r="AZ46" s="169"/>
      <c r="BA46" s="169"/>
      <c r="BC46" s="168">
        <f t="shared" ca="1" si="24"/>
        <v>40</v>
      </c>
      <c r="BD46" s="209">
        <f t="shared" ca="1" si="7"/>
        <v>3</v>
      </c>
      <c r="BF46" s="173" t="str">
        <f t="shared" ca="1" si="25"/>
        <v>Ameren Corporation</v>
      </c>
      <c r="BG46" s="173" t="str">
        <f t="shared" ca="1" si="9"/>
        <v>BBB-</v>
      </c>
      <c r="BH46" s="173">
        <f t="shared" ca="1" si="9"/>
        <v>17</v>
      </c>
      <c r="BI46" s="173" t="str">
        <f t="shared" ca="1" si="9"/>
        <v>AEE</v>
      </c>
    </row>
    <row r="47" spans="1:61" ht="13.8" x14ac:dyDescent="0.25">
      <c r="A47" s="223" t="s">
        <v>245</v>
      </c>
      <c r="B47" s="224" t="s">
        <v>142</v>
      </c>
      <c r="C47" s="224">
        <v>17</v>
      </c>
      <c r="D47" s="224" t="s">
        <v>246</v>
      </c>
      <c r="E47" s="225" t="str">
        <f t="shared" ca="1" si="0"/>
        <v>MR</v>
      </c>
      <c r="F47" s="348"/>
      <c r="G47" s="349">
        <f t="shared" ca="1" si="1"/>
        <v>12</v>
      </c>
      <c r="H47" s="350"/>
      <c r="I47" s="350"/>
      <c r="J47" s="187" t="s">
        <v>373</v>
      </c>
      <c r="K47" s="191"/>
      <c r="M47" s="351"/>
      <c r="N47" s="351"/>
      <c r="AF47" s="169">
        <f t="shared" si="2"/>
        <v>1</v>
      </c>
      <c r="AG47" s="169" t="str">
        <f t="shared" ca="1" si="3"/>
        <v/>
      </c>
      <c r="AH47" s="169" t="str">
        <f t="shared" ca="1" si="19"/>
        <v/>
      </c>
      <c r="AJ47" s="169">
        <f t="shared" ca="1" si="4"/>
        <v>48</v>
      </c>
      <c r="AK47" s="169" t="str">
        <f t="shared" ca="1" si="20"/>
        <v>BBB-</v>
      </c>
      <c r="AL47" s="169">
        <f t="shared" ca="1" si="20"/>
        <v>17</v>
      </c>
      <c r="AM47" s="169" t="str">
        <f t="shared" ca="1" si="5"/>
        <v/>
      </c>
      <c r="AQ47" s="207" t="s">
        <v>285</v>
      </c>
      <c r="AR47" s="207" t="s">
        <v>141</v>
      </c>
      <c r="AS47" s="207">
        <v>18</v>
      </c>
      <c r="AT47" s="207" t="s">
        <v>286</v>
      </c>
      <c r="AV47" s="168">
        <f t="shared" si="21"/>
        <v>24</v>
      </c>
      <c r="AW47" s="168">
        <f>COUNTIF( AV$7:AV47, AV47 )</f>
        <v>12</v>
      </c>
      <c r="AX47" s="208">
        <f t="shared" si="22"/>
        <v>25.2</v>
      </c>
      <c r="AY47" s="168">
        <f t="shared" si="23"/>
        <v>35</v>
      </c>
      <c r="AZ47" s="169"/>
      <c r="BA47" s="169"/>
      <c r="BC47" s="168">
        <f t="shared" ca="1" si="24"/>
        <v>41</v>
      </c>
      <c r="BD47" s="209">
        <f t="shared" ca="1" si="7"/>
        <v>6</v>
      </c>
      <c r="BF47" s="173" t="str">
        <f t="shared" ca="1" si="25"/>
        <v>Black Hills Corporation</v>
      </c>
      <c r="BG47" s="173" t="str">
        <f t="shared" ca="1" si="9"/>
        <v>BBB-</v>
      </c>
      <c r="BH47" s="173">
        <f t="shared" ca="1" si="9"/>
        <v>17</v>
      </c>
      <c r="BI47" s="173" t="str">
        <f t="shared" ca="1" si="9"/>
        <v>BKH</v>
      </c>
    </row>
    <row r="48" spans="1:61" ht="13.8" x14ac:dyDescent="0.25">
      <c r="A48" s="223" t="s">
        <v>256</v>
      </c>
      <c r="B48" s="224" t="s">
        <v>142</v>
      </c>
      <c r="C48" s="224">
        <v>17</v>
      </c>
      <c r="D48" s="224" t="s">
        <v>257</v>
      </c>
      <c r="E48" s="225" t="str">
        <f t="shared" ca="1" si="0"/>
        <v>R</v>
      </c>
      <c r="F48" s="348"/>
      <c r="G48" s="349">
        <f t="shared" ca="1" si="1"/>
        <v>17</v>
      </c>
      <c r="H48" s="350"/>
      <c r="I48" s="350"/>
      <c r="K48" s="191"/>
      <c r="M48" s="351"/>
      <c r="N48" s="351"/>
      <c r="AF48" s="169">
        <f t="shared" si="2"/>
        <v>1</v>
      </c>
      <c r="AG48" s="169" t="str">
        <f t="shared" ca="1" si="3"/>
        <v/>
      </c>
      <c r="AH48" s="169" t="str">
        <f t="shared" ca="1" si="19"/>
        <v/>
      </c>
      <c r="AJ48" s="169">
        <f t="shared" ca="1" si="4"/>
        <v>49</v>
      </c>
      <c r="AK48" s="169" t="str">
        <f t="shared" ca="1" si="20"/>
        <v>BBB-</v>
      </c>
      <c r="AL48" s="169">
        <f t="shared" ca="1" si="20"/>
        <v>17</v>
      </c>
      <c r="AM48" s="169" t="str">
        <f t="shared" ca="1" si="5"/>
        <v/>
      </c>
      <c r="AQ48" s="207" t="s">
        <v>243</v>
      </c>
      <c r="AR48" s="207" t="s">
        <v>141</v>
      </c>
      <c r="AS48" s="207">
        <v>18</v>
      </c>
      <c r="AT48" s="207" t="s">
        <v>244</v>
      </c>
      <c r="AV48" s="168">
        <f t="shared" si="21"/>
        <v>24</v>
      </c>
      <c r="AW48" s="168">
        <f>COUNTIF( AV$7:AV48, AV48 )</f>
        <v>13</v>
      </c>
      <c r="AX48" s="208">
        <f t="shared" si="22"/>
        <v>25.3</v>
      </c>
      <c r="AY48" s="168">
        <f t="shared" si="23"/>
        <v>36</v>
      </c>
      <c r="AZ48" s="169"/>
      <c r="BA48" s="169"/>
      <c r="BC48" s="168">
        <f t="shared" ca="1" si="24"/>
        <v>42</v>
      </c>
      <c r="BD48" s="209">
        <f t="shared" ca="1" si="7"/>
        <v>9</v>
      </c>
      <c r="BF48" s="173" t="str">
        <f t="shared" ca="1" si="25"/>
        <v>CMS Energy Corporation</v>
      </c>
      <c r="BG48" s="173" t="str">
        <f t="shared" ca="1" si="9"/>
        <v>BBB-</v>
      </c>
      <c r="BH48" s="173">
        <f t="shared" ca="1" si="9"/>
        <v>17</v>
      </c>
      <c r="BI48" s="173" t="str">
        <f t="shared" ca="1" si="9"/>
        <v>CMS</v>
      </c>
    </row>
    <row r="49" spans="1:61" ht="13.8" x14ac:dyDescent="0.25">
      <c r="A49" s="223" t="s">
        <v>259</v>
      </c>
      <c r="B49" s="224" t="s">
        <v>142</v>
      </c>
      <c r="C49" s="224">
        <v>17</v>
      </c>
      <c r="D49" s="224" t="s">
        <v>260</v>
      </c>
      <c r="E49" s="225" t="str">
        <f t="shared" ca="1" si="0"/>
        <v>R</v>
      </c>
      <c r="F49" s="348"/>
      <c r="G49" s="349">
        <f t="shared" ca="1" si="1"/>
        <v>64</v>
      </c>
      <c r="H49" s="350"/>
      <c r="I49" s="350"/>
      <c r="J49" s="191"/>
      <c r="K49" s="191"/>
      <c r="M49" s="351"/>
      <c r="N49" s="351"/>
      <c r="AF49" s="169">
        <f t="shared" si="2"/>
        <v>1</v>
      </c>
      <c r="AG49" s="169" t="str">
        <f t="shared" ca="1" si="3"/>
        <v/>
      </c>
      <c r="AH49" s="169" t="str">
        <f t="shared" ca="1" si="19"/>
        <v/>
      </c>
      <c r="AJ49" s="169">
        <f t="shared" ca="1" si="4"/>
        <v>50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5"/>
        <v/>
      </c>
      <c r="AQ49" s="207" t="s">
        <v>427</v>
      </c>
      <c r="AR49" s="207" t="s">
        <v>140</v>
      </c>
      <c r="AS49" s="207">
        <v>19</v>
      </c>
      <c r="AT49" s="207" t="s">
        <v>428</v>
      </c>
      <c r="AV49" s="168">
        <f t="shared" si="21"/>
        <v>11</v>
      </c>
      <c r="AW49" s="168">
        <f>COUNTIF( AV$7:AV49, AV49 )</f>
        <v>10</v>
      </c>
      <c r="AX49" s="208">
        <f t="shared" si="22"/>
        <v>12</v>
      </c>
      <c r="AY49" s="168">
        <f t="shared" si="23"/>
        <v>20</v>
      </c>
      <c r="AZ49" s="169"/>
      <c r="BA49" s="169"/>
      <c r="BC49" s="168">
        <f t="shared" ca="1" si="24"/>
        <v>43</v>
      </c>
      <c r="BD49" s="209">
        <f t="shared" ca="1" si="7"/>
        <v>12</v>
      </c>
      <c r="BF49" s="173" t="str">
        <f t="shared" ca="1" si="25"/>
        <v>DPL Inc.</v>
      </c>
      <c r="BG49" s="173" t="str">
        <f t="shared" ca="1" si="9"/>
        <v>BBB-</v>
      </c>
      <c r="BH49" s="173">
        <f t="shared" ca="1" si="9"/>
        <v>17</v>
      </c>
      <c r="BI49" s="173" t="str">
        <f t="shared" ca="1" si="9"/>
        <v>**DPL</v>
      </c>
    </row>
    <row r="50" spans="1:61" ht="13.8" x14ac:dyDescent="0.25">
      <c r="A50" s="223" t="s">
        <v>265</v>
      </c>
      <c r="B50" s="224" t="s">
        <v>142</v>
      </c>
      <c r="C50" s="224">
        <v>17</v>
      </c>
      <c r="D50" s="224" t="s">
        <v>266</v>
      </c>
      <c r="E50" s="225" t="str">
        <f t="shared" ca="1" si="0"/>
        <v>R</v>
      </c>
      <c r="F50" s="348"/>
      <c r="G50" s="349">
        <f t="shared" ca="1" si="1"/>
        <v>23</v>
      </c>
      <c r="H50" s="350"/>
      <c r="I50" s="350"/>
      <c r="J50" s="191"/>
      <c r="K50" s="191"/>
      <c r="M50" s="351"/>
      <c r="N50" s="351"/>
      <c r="AF50" s="169">
        <f t="shared" si="2"/>
        <v>1</v>
      </c>
      <c r="AG50" s="169" t="str">
        <f t="shared" ca="1" si="3"/>
        <v/>
      </c>
      <c r="AH50" s="169" t="str">
        <f t="shared" ca="1" si="19"/>
        <v/>
      </c>
      <c r="AJ50" s="169">
        <f t="shared" ca="1" si="4"/>
        <v>51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5"/>
        <v/>
      </c>
      <c r="AQ50" s="207" t="s">
        <v>289</v>
      </c>
      <c r="AR50" s="207" t="s">
        <v>141</v>
      </c>
      <c r="AS50" s="207">
        <v>18</v>
      </c>
      <c r="AT50" s="207" t="s">
        <v>290</v>
      </c>
      <c r="AV50" s="168">
        <f t="shared" si="21"/>
        <v>24</v>
      </c>
      <c r="AW50" s="168">
        <f>COUNTIF( AV$7:AV50, AV50 )</f>
        <v>14</v>
      </c>
      <c r="AX50" s="208">
        <f t="shared" si="22"/>
        <v>25.4</v>
      </c>
      <c r="AY50" s="168">
        <f t="shared" si="23"/>
        <v>37</v>
      </c>
      <c r="AZ50" s="169"/>
      <c r="BA50" s="169"/>
      <c r="BC50" s="168">
        <f t="shared" ca="1" si="24"/>
        <v>44</v>
      </c>
      <c r="BD50" s="209">
        <f t="shared" ca="1" si="7"/>
        <v>15</v>
      </c>
      <c r="BF50" s="173" t="str">
        <f t="shared" ca="1" si="25"/>
        <v>Edison International</v>
      </c>
      <c r="BG50" s="173" t="str">
        <f t="shared" ca="1" si="9"/>
        <v>BBB-</v>
      </c>
      <c r="BH50" s="173">
        <f t="shared" ca="1" si="9"/>
        <v>17</v>
      </c>
      <c r="BI50" s="173" t="str">
        <f t="shared" ca="1" si="9"/>
        <v>EIX</v>
      </c>
    </row>
    <row r="51" spans="1:61" ht="13.8" x14ac:dyDescent="0.25">
      <c r="A51" s="223" t="s">
        <v>367</v>
      </c>
      <c r="B51" s="224" t="s">
        <v>142</v>
      </c>
      <c r="C51" s="224">
        <v>17</v>
      </c>
      <c r="D51" s="224" t="s">
        <v>368</v>
      </c>
      <c r="E51" s="225" t="str">
        <f t="shared" ca="1" si="0"/>
        <v>R</v>
      </c>
      <c r="F51" s="348"/>
      <c r="G51" s="349">
        <f t="shared" ca="1" si="1"/>
        <v>25</v>
      </c>
      <c r="H51" s="350"/>
      <c r="I51" s="350"/>
      <c r="J51" s="191"/>
      <c r="K51" s="191"/>
      <c r="M51" s="351"/>
      <c r="N51" s="351"/>
      <c r="AF51" s="169">
        <f t="shared" si="2"/>
        <v>1</v>
      </c>
      <c r="AG51" s="169" t="str">
        <f t="shared" ca="1" si="3"/>
        <v/>
      </c>
      <c r="AH51" s="169" t="str">
        <f t="shared" ca="1" si="19"/>
        <v/>
      </c>
      <c r="AJ51" s="169">
        <f t="shared" ca="1" si="4"/>
        <v>52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5"/>
        <v/>
      </c>
      <c r="AQ51" s="207" t="s">
        <v>305</v>
      </c>
      <c r="AR51" s="207" t="s">
        <v>173</v>
      </c>
      <c r="AS51" s="207">
        <v>16</v>
      </c>
      <c r="AT51" s="207" t="s">
        <v>306</v>
      </c>
      <c r="AV51" s="168">
        <f t="shared" si="21"/>
        <v>52</v>
      </c>
      <c r="AW51" s="168">
        <f>COUNTIF( AV$7:AV51, AV51 )</f>
        <v>2</v>
      </c>
      <c r="AX51" s="208">
        <f t="shared" si="22"/>
        <v>52.2</v>
      </c>
      <c r="AY51" s="168">
        <f t="shared" si="23"/>
        <v>53</v>
      </c>
      <c r="AZ51" s="169"/>
      <c r="BA51" s="169"/>
      <c r="BC51" s="168">
        <f t="shared" ca="1" si="24"/>
        <v>45</v>
      </c>
      <c r="BD51" s="209">
        <f t="shared" ca="1" si="7"/>
        <v>17</v>
      </c>
      <c r="BF51" s="173" t="str">
        <f t="shared" ca="1" si="25"/>
        <v>Empire District Electric Company</v>
      </c>
      <c r="BG51" s="173" t="str">
        <f t="shared" ca="1" si="9"/>
        <v>BBB-</v>
      </c>
      <c r="BH51" s="173">
        <f t="shared" ca="1" si="9"/>
        <v>17</v>
      </c>
      <c r="BI51" s="173" t="str">
        <f t="shared" ca="1" si="9"/>
        <v>EDE</v>
      </c>
    </row>
    <row r="52" spans="1:61" ht="13.8" x14ac:dyDescent="0.25">
      <c r="A52" s="223" t="s">
        <v>275</v>
      </c>
      <c r="B52" s="224" t="s">
        <v>142</v>
      </c>
      <c r="C52" s="224">
        <v>17</v>
      </c>
      <c r="D52" s="224" t="s">
        <v>276</v>
      </c>
      <c r="E52" s="225" t="str">
        <f t="shared" ca="1" si="0"/>
        <v>MR</v>
      </c>
      <c r="F52" s="348"/>
      <c r="G52" s="349">
        <f t="shared" ca="1" si="1"/>
        <v>28</v>
      </c>
      <c r="H52" s="350"/>
      <c r="I52" s="350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9"/>
        <v/>
      </c>
      <c r="AJ52" s="169">
        <f t="shared" ca="1" si="4"/>
        <v>53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5"/>
        <v/>
      </c>
      <c r="AQ52" s="207" t="s">
        <v>347</v>
      </c>
      <c r="AR52" s="207" t="s">
        <v>140</v>
      </c>
      <c r="AS52" s="207">
        <v>19</v>
      </c>
      <c r="AT52" s="207" t="s">
        <v>348</v>
      </c>
      <c r="AV52" s="168">
        <f t="shared" si="21"/>
        <v>11</v>
      </c>
      <c r="AW52" s="168">
        <f>COUNTIF( AV$7:AV52, AV52 )</f>
        <v>11</v>
      </c>
      <c r="AX52" s="208">
        <f t="shared" si="22"/>
        <v>12.1</v>
      </c>
      <c r="AY52" s="168">
        <f t="shared" si="23"/>
        <v>21</v>
      </c>
      <c r="AZ52" s="169"/>
      <c r="BA52" s="169"/>
      <c r="BC52" s="168">
        <f t="shared" ca="1" si="24"/>
        <v>46</v>
      </c>
      <c r="BD52" s="209">
        <f t="shared" ca="1" si="7"/>
        <v>21</v>
      </c>
      <c r="BF52" s="173" t="str">
        <f t="shared" ca="1" si="25"/>
        <v>FirstEnergy Corp.</v>
      </c>
      <c r="BG52" s="173" t="str">
        <f t="shared" ca="1" si="9"/>
        <v>BBB-</v>
      </c>
      <c r="BH52" s="173">
        <f t="shared" ca="1" si="9"/>
        <v>17</v>
      </c>
      <c r="BI52" s="173" t="str">
        <f t="shared" ca="1" si="9"/>
        <v>FE</v>
      </c>
    </row>
    <row r="53" spans="1:61" ht="13.8" x14ac:dyDescent="0.25">
      <c r="A53" s="223" t="s">
        <v>279</v>
      </c>
      <c r="B53" s="224" t="s">
        <v>142</v>
      </c>
      <c r="C53" s="224">
        <v>17</v>
      </c>
      <c r="D53" s="224" t="s">
        <v>280</v>
      </c>
      <c r="E53" s="225" t="str">
        <f t="shared" ca="1" si="0"/>
        <v>D</v>
      </c>
      <c r="F53" s="348"/>
      <c r="G53" s="349">
        <f t="shared" ca="1" si="1"/>
        <v>30</v>
      </c>
      <c r="H53" s="350"/>
      <c r="I53" s="350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9"/>
        <v/>
      </c>
      <c r="AJ53" s="169">
        <f t="shared" ca="1" si="4"/>
        <v>54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5"/>
        <v/>
      </c>
      <c r="AQ53" s="207" t="s">
        <v>291</v>
      </c>
      <c r="AR53" s="207" t="s">
        <v>140</v>
      </c>
      <c r="AS53" s="207">
        <v>19</v>
      </c>
      <c r="AT53" s="207" t="s">
        <v>292</v>
      </c>
      <c r="AV53" s="168">
        <f t="shared" si="21"/>
        <v>11</v>
      </c>
      <c r="AW53" s="168">
        <f>COUNTIF( AV$7:AV53, AV53 )</f>
        <v>12</v>
      </c>
      <c r="AX53" s="208">
        <f t="shared" si="22"/>
        <v>12.2</v>
      </c>
      <c r="AY53" s="168">
        <f t="shared" si="23"/>
        <v>22</v>
      </c>
      <c r="AZ53" s="169"/>
      <c r="BA53" s="169"/>
      <c r="BC53" s="168">
        <f t="shared" ca="1" si="24"/>
        <v>47</v>
      </c>
      <c r="BD53" s="209">
        <f t="shared" ca="1" si="7"/>
        <v>23</v>
      </c>
      <c r="BF53" s="173" t="str">
        <f t="shared" ca="1" si="25"/>
        <v>Hawaiian Electric Industries, Inc.</v>
      </c>
      <c r="BG53" s="173" t="str">
        <f t="shared" ca="1" si="9"/>
        <v>BBB-</v>
      </c>
      <c r="BH53" s="173">
        <f t="shared" ca="1" si="9"/>
        <v>17</v>
      </c>
      <c r="BI53" s="173" t="str">
        <f t="shared" ca="1" si="9"/>
        <v>HE</v>
      </c>
    </row>
    <row r="54" spans="1:61" ht="13.8" x14ac:dyDescent="0.25">
      <c r="A54" s="223" t="s">
        <v>287</v>
      </c>
      <c r="B54" s="224" t="s">
        <v>142</v>
      </c>
      <c r="C54" s="224">
        <v>17</v>
      </c>
      <c r="D54" s="224" t="s">
        <v>288</v>
      </c>
      <c r="E54" s="225" t="str">
        <f t="shared" ca="1" si="0"/>
        <v>R</v>
      </c>
      <c r="F54" s="348"/>
      <c r="G54" s="349">
        <f t="shared" ca="1" si="1"/>
        <v>66</v>
      </c>
      <c r="H54" s="350"/>
      <c r="I54" s="350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9"/>
        <v/>
      </c>
      <c r="AJ54" s="169">
        <f t="shared" ca="1" si="4"/>
        <v>55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5"/>
        <v/>
      </c>
      <c r="AQ54" s="207" t="s">
        <v>293</v>
      </c>
      <c r="AR54" s="207" t="s">
        <v>166</v>
      </c>
      <c r="AS54" s="207">
        <v>21</v>
      </c>
      <c r="AT54" s="207" t="s">
        <v>294</v>
      </c>
      <c r="AV54" s="168">
        <f t="shared" si="21"/>
        <v>1</v>
      </c>
      <c r="AW54" s="168">
        <f>COUNTIF( AV$7:AV54, AV54 )</f>
        <v>1</v>
      </c>
      <c r="AX54" s="208">
        <f t="shared" si="22"/>
        <v>1.1000000000000001</v>
      </c>
      <c r="AY54" s="168">
        <f t="shared" si="23"/>
        <v>1</v>
      </c>
      <c r="AZ54" s="169"/>
      <c r="BA54" s="169"/>
      <c r="BC54" s="168">
        <f t="shared" ca="1" si="24"/>
        <v>48</v>
      </c>
      <c r="BD54" s="209">
        <f t="shared" ca="1" si="7"/>
        <v>27</v>
      </c>
      <c r="BF54" s="173" t="str">
        <f t="shared" ca="1" si="25"/>
        <v>IPALCO Enterprises, Inc.</v>
      </c>
      <c r="BG54" s="173" t="str">
        <f t="shared" ca="1" si="9"/>
        <v>BBB-</v>
      </c>
      <c r="BH54" s="173">
        <f t="shared" ca="1" si="9"/>
        <v>17</v>
      </c>
      <c r="BI54" s="173" t="str">
        <f t="shared" ca="1" si="9"/>
        <v>**IPALCO</v>
      </c>
    </row>
    <row r="55" spans="1:61" ht="13.8" x14ac:dyDescent="0.25">
      <c r="A55" s="223" t="s">
        <v>273</v>
      </c>
      <c r="B55" s="224" t="s">
        <v>142</v>
      </c>
      <c r="C55" s="224">
        <v>17</v>
      </c>
      <c r="D55" s="224" t="s">
        <v>274</v>
      </c>
      <c r="E55" s="225" t="str">
        <f t="shared" ca="1" si="0"/>
        <v>MR</v>
      </c>
      <c r="F55" s="348"/>
      <c r="G55" s="349">
        <f t="shared" ca="1" si="1"/>
        <v>36</v>
      </c>
      <c r="H55" s="350"/>
      <c r="I55" s="350"/>
      <c r="J55" s="191"/>
      <c r="K55" s="191"/>
      <c r="AF55" s="169">
        <f t="shared" si="2"/>
        <v>1</v>
      </c>
      <c r="AG55" s="169" t="str">
        <f t="shared" ca="1" si="3"/>
        <v/>
      </c>
      <c r="AH55" s="169" t="str">
        <f t="shared" ca="1" si="19"/>
        <v/>
      </c>
      <c r="AJ55" s="169">
        <f t="shared" ca="1" si="4"/>
        <v>56</v>
      </c>
      <c r="AK55" s="169" t="str">
        <f t="shared" ca="1" si="20"/>
        <v>BBB-</v>
      </c>
      <c r="AL55" s="169">
        <f t="shared" ca="1" si="20"/>
        <v>17</v>
      </c>
      <c r="AM55" s="169" t="str">
        <f t="shared" ca="1" si="5"/>
        <v/>
      </c>
      <c r="AQ55" s="207" t="s">
        <v>369</v>
      </c>
      <c r="AR55" s="207" t="s">
        <v>140</v>
      </c>
      <c r="AS55" s="207">
        <v>19</v>
      </c>
      <c r="AT55" s="207" t="s">
        <v>375</v>
      </c>
      <c r="AV55" s="168">
        <f t="shared" si="21"/>
        <v>11</v>
      </c>
      <c r="AW55" s="168">
        <f>COUNTIF( AV$7:AV55, AV55 )</f>
        <v>13</v>
      </c>
      <c r="AX55" s="208">
        <f t="shared" si="22"/>
        <v>12.3</v>
      </c>
      <c r="AY55" s="168">
        <f t="shared" si="23"/>
        <v>23</v>
      </c>
      <c r="AZ55" s="169"/>
      <c r="BA55" s="169"/>
      <c r="BC55" s="168">
        <f t="shared" ca="1" si="24"/>
        <v>49</v>
      </c>
      <c r="BD55" s="209">
        <f t="shared" ca="1" si="7"/>
        <v>31</v>
      </c>
      <c r="BF55" s="173" t="str">
        <f t="shared" ca="1" si="25"/>
        <v>NiSource Inc.</v>
      </c>
      <c r="BG55" s="173" t="str">
        <f t="shared" ca="1" si="9"/>
        <v>BBB-</v>
      </c>
      <c r="BH55" s="173">
        <f t="shared" ca="1" si="9"/>
        <v>17</v>
      </c>
      <c r="BI55" s="173" t="str">
        <f t="shared" ca="1" si="9"/>
        <v>NI</v>
      </c>
    </row>
    <row r="56" spans="1:61" ht="13.8" x14ac:dyDescent="0.25">
      <c r="A56" s="223" t="s">
        <v>299</v>
      </c>
      <c r="B56" s="224" t="s">
        <v>142</v>
      </c>
      <c r="C56" s="224">
        <v>17</v>
      </c>
      <c r="D56" s="224" t="s">
        <v>300</v>
      </c>
      <c r="E56" s="225" t="str">
        <f t="shared" ca="1" si="0"/>
        <v>MR</v>
      </c>
      <c r="F56" s="348"/>
      <c r="G56" s="349">
        <f t="shared" ca="1" si="1"/>
        <v>42</v>
      </c>
      <c r="H56" s="350"/>
      <c r="I56" s="350"/>
      <c r="J56" s="191"/>
      <c r="K56" s="191"/>
      <c r="AF56" s="169">
        <f t="shared" si="2"/>
        <v>1</v>
      </c>
      <c r="AG56" s="169" t="str">
        <f t="shared" ca="1" si="3"/>
        <v/>
      </c>
      <c r="AH56" s="169" t="str">
        <f t="shared" ca="1" si="19"/>
        <v/>
      </c>
      <c r="AJ56" s="169">
        <f t="shared" ca="1" si="4"/>
        <v>57</v>
      </c>
      <c r="AK56" s="169" t="str">
        <f t="shared" ca="1" si="20"/>
        <v>BBB-</v>
      </c>
      <c r="AL56" s="169">
        <f t="shared" ca="1" si="20"/>
        <v>17</v>
      </c>
      <c r="AM56" s="169" t="str">
        <f t="shared" ca="1" si="5"/>
        <v/>
      </c>
      <c r="AQ56" s="207" t="s">
        <v>389</v>
      </c>
      <c r="AR56" s="207" t="s">
        <v>141</v>
      </c>
      <c r="AS56" s="207">
        <v>18</v>
      </c>
      <c r="AT56" s="207" t="s">
        <v>390</v>
      </c>
      <c r="AV56" s="168">
        <f t="shared" si="21"/>
        <v>24</v>
      </c>
      <c r="AW56" s="168">
        <f>COUNTIF( AV$7:AV56, AV56 )</f>
        <v>15</v>
      </c>
      <c r="AX56" s="208">
        <f t="shared" si="22"/>
        <v>25.5</v>
      </c>
      <c r="AY56" s="168">
        <f t="shared" si="23"/>
        <v>38</v>
      </c>
      <c r="AZ56" s="169"/>
      <c r="BA56" s="169"/>
      <c r="BC56" s="168">
        <f t="shared" ca="1" si="24"/>
        <v>50</v>
      </c>
      <c r="BD56" s="209">
        <f t="shared" ca="1" si="7"/>
        <v>36</v>
      </c>
      <c r="BF56" s="173" t="str">
        <f t="shared" ca="1" si="25"/>
        <v>Otter Tail Corporation</v>
      </c>
      <c r="BG56" s="173" t="str">
        <f t="shared" ca="1" si="9"/>
        <v>BBB-</v>
      </c>
      <c r="BH56" s="173">
        <f t="shared" ca="1" si="9"/>
        <v>17</v>
      </c>
      <c r="BI56" s="173" t="str">
        <f t="shared" ca="1" si="9"/>
        <v>OTTR</v>
      </c>
    </row>
    <row r="57" spans="1:61" ht="13.8" x14ac:dyDescent="0.25">
      <c r="A57" s="223" t="s">
        <v>303</v>
      </c>
      <c r="B57" s="224" t="s">
        <v>142</v>
      </c>
      <c r="C57" s="224">
        <v>17</v>
      </c>
      <c r="D57" s="224" t="s">
        <v>304</v>
      </c>
      <c r="E57" s="225" t="str">
        <f t="shared" ca="1" si="0"/>
        <v>R</v>
      </c>
      <c r="F57" s="348"/>
      <c r="G57" s="349">
        <f t="shared" ca="1" si="1"/>
        <v>46</v>
      </c>
      <c r="H57" s="350"/>
      <c r="I57" s="350"/>
      <c r="J57" s="191"/>
      <c r="K57" s="191"/>
      <c r="AF57" s="169">
        <f t="shared" si="2"/>
        <v>1</v>
      </c>
      <c r="AG57" s="169">
        <f t="shared" ca="1" si="3"/>
        <v>1</v>
      </c>
      <c r="AH57" s="169" t="str">
        <f t="shared" ca="1" si="19"/>
        <v/>
      </c>
      <c r="AJ57" s="169">
        <f t="shared" ca="1" si="4"/>
        <v>60</v>
      </c>
      <c r="AK57" s="169" t="str">
        <f t="shared" ca="1" si="20"/>
        <v>BB</v>
      </c>
      <c r="AL57" s="169">
        <f t="shared" ca="1" si="20"/>
        <v>15</v>
      </c>
      <c r="AM57" s="169" t="str">
        <f t="shared" ca="1" si="5"/>
        <v>Change</v>
      </c>
      <c r="AQ57" s="207" t="s">
        <v>345</v>
      </c>
      <c r="AR57" s="207" t="s">
        <v>139</v>
      </c>
      <c r="AS57" s="207">
        <v>20</v>
      </c>
      <c r="AT57" s="207" t="s">
        <v>346</v>
      </c>
      <c r="AV57" s="168">
        <f t="shared" si="21"/>
        <v>2</v>
      </c>
      <c r="AW57" s="168">
        <f>COUNTIF( AV$7:AV57, AV57 )</f>
        <v>7</v>
      </c>
      <c r="AX57" s="208">
        <f t="shared" si="22"/>
        <v>2.7</v>
      </c>
      <c r="AY57" s="168">
        <f t="shared" si="23"/>
        <v>8</v>
      </c>
      <c r="AZ57" s="169"/>
      <c r="BA57" s="169"/>
      <c r="BC57" s="168">
        <f t="shared" ca="1" si="24"/>
        <v>51</v>
      </c>
      <c r="BD57" s="209">
        <f t="shared" ca="1" si="7"/>
        <v>40</v>
      </c>
      <c r="BF57" s="173" t="str">
        <f t="shared" ca="1" si="25"/>
        <v>PNM Resources, Inc.</v>
      </c>
      <c r="BG57" s="173" t="str">
        <f t="shared" ca="1" si="9"/>
        <v>BBB-</v>
      </c>
      <c r="BH57" s="173">
        <f t="shared" ca="1" si="9"/>
        <v>17</v>
      </c>
      <c r="BI57" s="173" t="str">
        <f t="shared" ca="1" si="9"/>
        <v>PNM</v>
      </c>
    </row>
    <row r="58" spans="1:61" ht="13.8" x14ac:dyDescent="0.25">
      <c r="A58" s="223" t="s">
        <v>411</v>
      </c>
      <c r="B58" s="224" t="s">
        <v>173</v>
      </c>
      <c r="C58" s="224">
        <v>16</v>
      </c>
      <c r="D58" s="224" t="s">
        <v>412</v>
      </c>
      <c r="E58" s="225" t="str">
        <f t="shared" ca="1" si="0"/>
        <v>R</v>
      </c>
      <c r="F58" s="348"/>
      <c r="G58" s="349">
        <f t="shared" ca="1" si="1"/>
        <v>40</v>
      </c>
      <c r="H58" s="350"/>
      <c r="I58" s="350"/>
      <c r="J58" s="191"/>
      <c r="K58" s="191"/>
      <c r="AF58" s="169">
        <f t="shared" si="2"/>
        <v>0</v>
      </c>
      <c r="AG58" s="169" t="str">
        <f t="shared" ca="1" si="3"/>
        <v/>
      </c>
      <c r="AH58" s="169" t="str">
        <f t="shared" ca="1" si="19"/>
        <v/>
      </c>
      <c r="AJ58" s="169">
        <f t="shared" ca="1" si="4"/>
        <v>58</v>
      </c>
      <c r="AK58" s="169" t="str">
        <f t="shared" ca="1" si="20"/>
        <v>BB+</v>
      </c>
      <c r="AL58" s="169">
        <f t="shared" ca="1" si="20"/>
        <v>16</v>
      </c>
      <c r="AM58" s="169" t="str">
        <f t="shared" ca="1" si="5"/>
        <v/>
      </c>
      <c r="AQ58" s="207" t="s">
        <v>354</v>
      </c>
      <c r="AR58" s="207" t="s">
        <v>141</v>
      </c>
      <c r="AS58" s="207">
        <v>18</v>
      </c>
      <c r="AT58" s="207" t="s">
        <v>355</v>
      </c>
      <c r="AV58" s="168">
        <f t="shared" si="21"/>
        <v>24</v>
      </c>
      <c r="AW58" s="168">
        <f>COUNTIF( AV$7:AV58, AV58 )</f>
        <v>16</v>
      </c>
      <c r="AX58" s="208">
        <f t="shared" si="22"/>
        <v>25.6</v>
      </c>
      <c r="AY58" s="168">
        <f t="shared" si="23"/>
        <v>39</v>
      </c>
      <c r="AZ58" s="169"/>
      <c r="BA58" s="169"/>
      <c r="BC58" s="168">
        <f t="shared" ca="1" si="24"/>
        <v>52</v>
      </c>
      <c r="BD58" s="209">
        <f t="shared" ca="1" si="7"/>
        <v>34</v>
      </c>
      <c r="BF58" s="173" t="str">
        <f t="shared" ca="1" si="25"/>
        <v>NV Energy, Inc.</v>
      </c>
      <c r="BG58" s="173" t="str">
        <f t="shared" ca="1" si="9"/>
        <v>BB+</v>
      </c>
      <c r="BH58" s="173">
        <f t="shared" ca="1" si="9"/>
        <v>16</v>
      </c>
      <c r="BI58" s="173" t="str">
        <f t="shared" ca="1" si="9"/>
        <v>NVE</v>
      </c>
    </row>
    <row r="59" spans="1:61" ht="13.8" x14ac:dyDescent="0.25">
      <c r="A59" s="223" t="s">
        <v>305</v>
      </c>
      <c r="B59" s="224" t="s">
        <v>173</v>
      </c>
      <c r="C59" s="224">
        <v>16</v>
      </c>
      <c r="D59" s="224" t="s">
        <v>306</v>
      </c>
      <c r="E59" s="225" t="str">
        <f t="shared" ca="1" si="0"/>
        <v>R</v>
      </c>
      <c r="F59" s="348"/>
      <c r="G59" s="349">
        <f t="shared" ca="1" si="1"/>
        <v>68</v>
      </c>
      <c r="H59" s="350"/>
      <c r="I59" s="350"/>
      <c r="J59" s="191"/>
      <c r="K59" s="191"/>
      <c r="AF59" s="169">
        <f t="shared" si="2"/>
        <v>0</v>
      </c>
      <c r="AG59" s="169" t="str">
        <f t="shared" ca="1" si="3"/>
        <v/>
      </c>
      <c r="AH59" s="169" t="str">
        <f t="shared" ca="1" si="19"/>
        <v/>
      </c>
      <c r="AJ59" s="169">
        <f t="shared" ca="1" si="4"/>
        <v>59</v>
      </c>
      <c r="AK59" s="169" t="str">
        <f t="shared" ca="1" si="20"/>
        <v>BB+</v>
      </c>
      <c r="AL59" s="169">
        <f t="shared" ca="1" si="20"/>
        <v>16</v>
      </c>
      <c r="AM59" s="169" t="str">
        <f t="shared" ca="1" si="5"/>
        <v/>
      </c>
      <c r="AQ59" s="207" t="s">
        <v>247</v>
      </c>
      <c r="AR59" s="207" t="s">
        <v>139</v>
      </c>
      <c r="AS59" s="207">
        <v>20</v>
      </c>
      <c r="AT59" s="207" t="s">
        <v>248</v>
      </c>
      <c r="AV59" s="168">
        <f t="shared" si="21"/>
        <v>2</v>
      </c>
      <c r="AW59" s="168">
        <f>COUNTIF( AV$7:AV59, AV59 )</f>
        <v>8</v>
      </c>
      <c r="AX59" s="208">
        <f t="shared" si="22"/>
        <v>2.8</v>
      </c>
      <c r="AY59" s="168">
        <f t="shared" si="23"/>
        <v>9</v>
      </c>
      <c r="AZ59" s="169"/>
      <c r="BA59" s="169"/>
      <c r="BC59" s="168">
        <f t="shared" ca="1" si="24"/>
        <v>53</v>
      </c>
      <c r="BD59" s="209">
        <f t="shared" ca="1" si="7"/>
        <v>45</v>
      </c>
      <c r="BF59" s="173" t="str">
        <f t="shared" ca="1" si="25"/>
        <v>Puget Energy, Inc.</v>
      </c>
      <c r="BG59" s="173" t="str">
        <f t="shared" ca="1" si="9"/>
        <v>BB+</v>
      </c>
      <c r="BH59" s="173">
        <f t="shared" ca="1" si="9"/>
        <v>16</v>
      </c>
      <c r="BI59" s="173" t="str">
        <f t="shared" ca="1" si="9"/>
        <v>**PSD</v>
      </c>
    </row>
    <row r="60" spans="1:61" ht="13.8" x14ac:dyDescent="0.25">
      <c r="A60" s="180" t="s">
        <v>371</v>
      </c>
      <c r="B60" s="181" t="s">
        <v>187</v>
      </c>
      <c r="C60" s="181">
        <v>9</v>
      </c>
      <c r="D60" s="181" t="s">
        <v>359</v>
      </c>
      <c r="E60" s="182"/>
      <c r="F60" s="350"/>
      <c r="G60" s="353">
        <f t="shared" ca="1" si="1"/>
        <v>65</v>
      </c>
      <c r="H60" s="350"/>
      <c r="I60" s="350"/>
      <c r="AF60" s="169">
        <f t="shared" si="2"/>
        <v>1</v>
      </c>
      <c r="AG60" s="169" t="str">
        <f t="shared" ca="1" si="3"/>
        <v/>
      </c>
      <c r="AH60" s="169" t="str">
        <f t="shared" ca="1" si="19"/>
        <v/>
      </c>
      <c r="AJ60" s="169">
        <f t="shared" ca="1" si="4"/>
        <v>61</v>
      </c>
      <c r="AK60" s="169" t="str">
        <f t="shared" ca="1" si="20"/>
        <v>CCC</v>
      </c>
      <c r="AL60" s="169">
        <f t="shared" ca="1" si="20"/>
        <v>9</v>
      </c>
      <c r="AM60" s="169" t="str">
        <f t="shared" ca="1" si="5"/>
        <v/>
      </c>
      <c r="AQ60" s="207" t="s">
        <v>251</v>
      </c>
      <c r="AR60" s="207" t="s">
        <v>139</v>
      </c>
      <c r="AS60" s="207">
        <v>20</v>
      </c>
      <c r="AT60" s="207" t="s">
        <v>252</v>
      </c>
      <c r="AV60" s="168">
        <f t="shared" si="21"/>
        <v>2</v>
      </c>
      <c r="AW60" s="168">
        <f>COUNTIF( AV$7:AV60, AV60 )</f>
        <v>9</v>
      </c>
      <c r="AX60" s="208">
        <f t="shared" si="22"/>
        <v>2.9</v>
      </c>
      <c r="AY60" s="168">
        <f t="shared" si="23"/>
        <v>10</v>
      </c>
      <c r="AZ60" s="169"/>
      <c r="BA60" s="169"/>
      <c r="BC60" s="168">
        <f t="shared" ca="1" si="24"/>
        <v>54</v>
      </c>
      <c r="BD60" s="209">
        <f t="shared" ca="1" si="7"/>
        <v>18</v>
      </c>
      <c r="BF60" s="173" t="str">
        <f t="shared" ca="1" si="25"/>
        <v>Energy Future Holdings Corp.</v>
      </c>
      <c r="BG60" s="173" t="str">
        <f t="shared" ca="1" si="9"/>
        <v>CCC</v>
      </c>
      <c r="BH60" s="173">
        <f t="shared" ca="1" si="9"/>
        <v>9</v>
      </c>
      <c r="BI60" s="173" t="str">
        <f t="shared" ca="1" si="9"/>
        <v>**EFH</v>
      </c>
    </row>
    <row r="61" spans="1:61" ht="14.4" thickBot="1" x14ac:dyDescent="0.3">
      <c r="A61" s="192"/>
      <c r="B61" s="193"/>
      <c r="C61" s="193"/>
      <c r="D61" s="193"/>
      <c r="E61" s="194"/>
      <c r="F61" s="350"/>
      <c r="G61" s="353" t="str">
        <f t="shared" ca="1" si="1"/>
        <v/>
      </c>
      <c r="H61" s="350"/>
      <c r="I61" s="350"/>
      <c r="AF61" s="169">
        <f t="shared" si="2"/>
        <v>0</v>
      </c>
      <c r="AG61" s="169" t="str">
        <f t="shared" si="3"/>
        <v/>
      </c>
      <c r="AH61" s="169" t="str">
        <f t="shared" si="19"/>
        <v/>
      </c>
      <c r="AJ61" s="169" t="e">
        <f t="shared" ca="1" si="4"/>
        <v>#N/A</v>
      </c>
      <c r="AK61" s="169" t="str">
        <f t="shared" ca="1" si="20"/>
        <v/>
      </c>
      <c r="AL61" s="169" t="str">
        <f t="shared" ca="1" si="20"/>
        <v/>
      </c>
      <c r="AM61" s="169" t="str">
        <f t="shared" ca="1" si="5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1</v>
      </c>
      <c r="AX61" s="208">
        <f t="shared" si="22"/>
        <v>99.1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7"/>
        <v>55</v>
      </c>
      <c r="BF61" s="173">
        <f t="shared" ca="1" si="25"/>
        <v>0</v>
      </c>
      <c r="BG61" s="173">
        <f t="shared" ca="1" si="9"/>
        <v>0</v>
      </c>
      <c r="BH61" s="173">
        <f t="shared" ca="1" si="9"/>
        <v>0</v>
      </c>
      <c r="BI61" s="173">
        <f t="shared" ca="1" si="9"/>
        <v>0</v>
      </c>
    </row>
    <row r="62" spans="1:61" ht="13.8" x14ac:dyDescent="0.25">
      <c r="A62" s="226" t="s">
        <v>384</v>
      </c>
      <c r="B62" s="227" t="s">
        <v>162</v>
      </c>
      <c r="C62" s="227">
        <v>23</v>
      </c>
      <c r="D62" s="227" t="s">
        <v>309</v>
      </c>
      <c r="E62" s="228" t="str">
        <f ca="1">OFFSET( INDIRECT( E$3 &amp; E$4 ), $G62 - 1, 0 )</f>
        <v>MR</v>
      </c>
      <c r="F62" s="354"/>
      <c r="G62" s="355">
        <f t="shared" ca="1" si="1"/>
        <v>34</v>
      </c>
      <c r="H62" s="350"/>
      <c r="I62" s="350"/>
      <c r="AF62" s="169">
        <f t="shared" si="2"/>
        <v>1</v>
      </c>
      <c r="AG62" s="169" t="str">
        <f t="shared" ca="1" si="3"/>
        <v/>
      </c>
      <c r="AH62" s="169" t="str">
        <f t="shared" ca="1" si="19"/>
        <v/>
      </c>
      <c r="AJ62" s="169">
        <f t="shared" ca="1" si="4"/>
        <v>63</v>
      </c>
      <c r="AK62" s="169" t="str">
        <f t="shared" ca="1" si="20"/>
        <v>AA-</v>
      </c>
      <c r="AL62" s="169">
        <f t="shared" ca="1" si="20"/>
        <v>23</v>
      </c>
      <c r="AM62" s="169" t="str">
        <f t="shared" ca="1" si="5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2</v>
      </c>
      <c r="AX62" s="208">
        <f t="shared" si="22"/>
        <v>99.2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7"/>
        <v>56</v>
      </c>
      <c r="BF62" s="173">
        <f t="shared" ca="1" si="25"/>
        <v>0</v>
      </c>
      <c r="BG62" s="173">
        <f t="shared" ca="1" si="9"/>
        <v>0</v>
      </c>
      <c r="BH62" s="173">
        <f t="shared" ca="1" si="9"/>
        <v>0</v>
      </c>
      <c r="BI62" s="173">
        <f t="shared" ca="1" si="9"/>
        <v>0</v>
      </c>
    </row>
    <row r="63" spans="1:61" ht="13.8" x14ac:dyDescent="0.25">
      <c r="A63" s="223" t="s">
        <v>416</v>
      </c>
      <c r="B63" s="224" t="s">
        <v>166</v>
      </c>
      <c r="C63" s="224">
        <v>21</v>
      </c>
      <c r="D63" s="224" t="s">
        <v>417</v>
      </c>
      <c r="E63" s="225" t="str">
        <f ca="1">OFFSET( INDIRECT( E$3 &amp; E$4 ), $G63 - 1, 0 )</f>
        <v>R</v>
      </c>
      <c r="F63" s="348"/>
      <c r="G63" s="349">
        <f t="shared" ca="1" si="1"/>
        <v>15</v>
      </c>
      <c r="H63" s="350"/>
      <c r="I63" s="350"/>
      <c r="AF63" s="169">
        <f t="shared" si="2"/>
        <v>0</v>
      </c>
      <c r="AG63" s="169" t="str">
        <f t="shared" ca="1" si="3"/>
        <v/>
      </c>
      <c r="AH63" s="169" t="str">
        <f t="shared" ca="1" si="19"/>
        <v/>
      </c>
      <c r="AJ63" s="169">
        <f t="shared" ca="1" si="4"/>
        <v>64</v>
      </c>
      <c r="AK63" s="169" t="str">
        <f t="shared" ca="1" si="20"/>
        <v>A</v>
      </c>
      <c r="AL63" s="169">
        <f t="shared" ca="1" si="20"/>
        <v>21</v>
      </c>
      <c r="AM63" s="169" t="str">
        <f t="shared" ca="1" si="5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3</v>
      </c>
      <c r="AX63" s="208">
        <f t="shared" si="22"/>
        <v>99.3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ref="BG63:BI63" ca="1" si="26">OFFSET( AR$6, $BD63, 0 )</f>
        <v>0</v>
      </c>
      <c r="BH63" s="173">
        <f t="shared" ca="1" si="26"/>
        <v>0</v>
      </c>
      <c r="BI63" s="173">
        <f t="shared" ca="1" si="26"/>
        <v>0</v>
      </c>
    </row>
    <row r="64" spans="1:61" ht="13.8" x14ac:dyDescent="0.25">
      <c r="A64" s="223" t="s">
        <v>399</v>
      </c>
      <c r="B64" s="224" t="s">
        <v>173</v>
      </c>
      <c r="C64" s="224">
        <v>16</v>
      </c>
      <c r="D64" s="224" t="s">
        <v>400</v>
      </c>
      <c r="E64" s="225" t="str">
        <f ca="1">OFFSET( INDIRECT( E$3 &amp; E$4 ), $G64 - 1, 0 )</f>
        <v>R</v>
      </c>
      <c r="F64" s="348"/>
      <c r="G64" s="349">
        <f t="shared" ca="1" si="1"/>
        <v>57</v>
      </c>
      <c r="H64" s="350"/>
      <c r="I64" s="350"/>
      <c r="AF64" s="169">
        <f t="shared" si="2"/>
        <v>1</v>
      </c>
      <c r="AG64" s="169" t="str">
        <f t="shared" ca="1" si="3"/>
        <v/>
      </c>
      <c r="AH64" s="169" t="str">
        <f t="shared" ca="1" si="19"/>
        <v/>
      </c>
      <c r="AJ64" s="169">
        <f t="shared" ca="1" si="4"/>
        <v>65</v>
      </c>
      <c r="AK64" s="169" t="str">
        <f t="shared" ca="1" si="20"/>
        <v>BB+</v>
      </c>
      <c r="AL64" s="169">
        <f t="shared" ca="1" si="20"/>
        <v>16</v>
      </c>
      <c r="AM64" s="169" t="str">
        <f t="shared" ca="1" si="5"/>
        <v/>
      </c>
      <c r="AQ64" s="207" t="s">
        <v>384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58" ht="13.8" x14ac:dyDescent="0.25">
      <c r="A65" s="223" t="s">
        <v>401</v>
      </c>
      <c r="B65" s="229"/>
      <c r="C65" s="224"/>
      <c r="D65" s="224" t="s">
        <v>376</v>
      </c>
      <c r="E65" s="225" t="str">
        <f ca="1">OFFSET( INDIRECT( E$3 &amp; E$4 ), $G65 - 1, 0 )</f>
        <v>R</v>
      </c>
      <c r="F65" s="348"/>
      <c r="G65" s="349">
        <f t="shared" ca="1" si="1"/>
        <v>56</v>
      </c>
      <c r="H65" s="350"/>
      <c r="I65" s="350"/>
      <c r="N65" s="168" t="s">
        <v>310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9"/>
        <v/>
      </c>
      <c r="AJ65" s="169">
        <f t="shared" ca="1" si="4"/>
        <v>66</v>
      </c>
      <c r="AK65" s="169">
        <f t="shared" ca="1" si="20"/>
        <v>0</v>
      </c>
      <c r="AL65" s="169">
        <f t="shared" ca="1" si="20"/>
        <v>0</v>
      </c>
      <c r="AM65" s="169" t="str">
        <f t="shared" ca="1" si="5"/>
        <v/>
      </c>
      <c r="AQ65" s="207" t="s">
        <v>416</v>
      </c>
      <c r="AR65" s="207" t="s">
        <v>166</v>
      </c>
      <c r="AS65" s="207">
        <v>21</v>
      </c>
      <c r="AT65" s="207" t="s">
        <v>417</v>
      </c>
      <c r="AU65" s="207"/>
      <c r="AZ65" s="169"/>
      <c r="BA65" s="169"/>
      <c r="BF65" s="169"/>
    </row>
    <row r="66" spans="1:58" ht="13.8" x14ac:dyDescent="0.25">
      <c r="A66" s="195"/>
      <c r="B66" s="196"/>
      <c r="C66" s="185"/>
      <c r="D66" s="185"/>
      <c r="E66" s="182"/>
      <c r="F66" s="350"/>
      <c r="H66" s="350"/>
      <c r="I66" s="350"/>
      <c r="AF66" s="169">
        <f t="shared" si="2"/>
        <v>0</v>
      </c>
      <c r="AG66" s="169" t="str">
        <f t="shared" ref="AG66:AG67" si="27">IF( LEN( $C66 ) = 0, "", IF( $C66 &gt; $AL66, 1, "" ) )</f>
        <v/>
      </c>
      <c r="AH66" s="169" t="str">
        <f t="shared" si="19"/>
        <v/>
      </c>
      <c r="AJ66" s="169" t="e">
        <f t="shared" ca="1" si="4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5"/>
        <v/>
      </c>
      <c r="AQ66" s="207" t="s">
        <v>399</v>
      </c>
      <c r="AR66" s="207" t="s">
        <v>173</v>
      </c>
      <c r="AS66" s="207">
        <v>16</v>
      </c>
      <c r="AT66" s="207" t="s">
        <v>400</v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50"/>
      <c r="H67" s="350"/>
      <c r="I67" s="350"/>
      <c r="AF67" s="169">
        <f t="shared" si="2"/>
        <v>0</v>
      </c>
      <c r="AG67" s="169" t="str">
        <f t="shared" si="27"/>
        <v/>
      </c>
      <c r="AH67" s="169" t="str">
        <f t="shared" si="19"/>
        <v/>
      </c>
      <c r="AJ67" s="169" t="e">
        <f t="shared" ca="1" si="4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5"/>
        <v/>
      </c>
      <c r="AQ67" s="207" t="s">
        <v>295</v>
      </c>
      <c r="AR67" s="207" t="s">
        <v>423</v>
      </c>
      <c r="AS67" s="207"/>
      <c r="AT67" s="207" t="s">
        <v>376</v>
      </c>
      <c r="AX67" s="208"/>
      <c r="AZ67" s="169"/>
      <c r="BA67" s="169"/>
      <c r="BD67" s="209"/>
      <c r="BF67" s="169"/>
    </row>
    <row r="68" spans="1:58" ht="13.8" x14ac:dyDescent="0.25">
      <c r="A68" s="200" t="s">
        <v>311</v>
      </c>
      <c r="B68" s="189" t="s">
        <v>141</v>
      </c>
      <c r="C68" s="201">
        <f>AVERAGE(C7:C65)</f>
        <v>18.263157894736842</v>
      </c>
      <c r="D68" s="201"/>
      <c r="E68" s="201"/>
      <c r="F68" s="350"/>
      <c r="H68" s="350"/>
      <c r="I68" s="350"/>
      <c r="J68" s="351"/>
      <c r="K68" s="351"/>
      <c r="AQ68" s="207"/>
      <c r="AR68" s="207"/>
      <c r="AS68" s="207"/>
      <c r="AT68" s="207"/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50"/>
      <c r="H69" s="350"/>
      <c r="I69" s="350"/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1"/>
      <c r="K70" s="351"/>
    </row>
    <row r="71" spans="1:58" x14ac:dyDescent="0.25">
      <c r="A71" s="203" t="s">
        <v>312</v>
      </c>
      <c r="F71" s="173"/>
      <c r="H71" s="173"/>
      <c r="I71" s="173"/>
    </row>
    <row r="72" spans="1:58" x14ac:dyDescent="0.25">
      <c r="A72" s="203" t="s">
        <v>313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419</v>
      </c>
      <c r="B73" s="173"/>
      <c r="D73" s="173"/>
      <c r="E73" s="173"/>
      <c r="F73" s="204"/>
      <c r="H73" s="204"/>
      <c r="I73" s="204"/>
    </row>
    <row r="74" spans="1:58" x14ac:dyDescent="0.25">
      <c r="A74" s="205" t="s">
        <v>314</v>
      </c>
      <c r="B74" s="173"/>
      <c r="D74" s="173"/>
      <c r="E74" s="173"/>
      <c r="F74" s="204"/>
      <c r="H74" s="204"/>
      <c r="I74" s="204"/>
    </row>
    <row r="75" spans="1:58" x14ac:dyDescent="0.25">
      <c r="A75" s="205" t="s">
        <v>403</v>
      </c>
      <c r="D75" s="204"/>
      <c r="F75" s="206"/>
      <c r="H75" s="206"/>
      <c r="I75" s="206"/>
    </row>
    <row r="76" spans="1:58" x14ac:dyDescent="0.25">
      <c r="A76" s="203" t="s">
        <v>315</v>
      </c>
      <c r="D76" s="204"/>
      <c r="F76" s="206"/>
      <c r="H76" s="206"/>
      <c r="I76" s="206"/>
      <c r="AQ76" s="207"/>
      <c r="AR76" s="207"/>
      <c r="AS76" s="207"/>
    </row>
    <row r="77" spans="1:58" x14ac:dyDescent="0.25">
      <c r="A77" s="203"/>
      <c r="D77" s="204"/>
      <c r="F77" s="206"/>
      <c r="H77" s="206"/>
      <c r="I77" s="206"/>
      <c r="AQ77" s="207"/>
      <c r="AR77" s="207"/>
      <c r="AS77" s="207"/>
    </row>
    <row r="78" spans="1:58" x14ac:dyDescent="0.25">
      <c r="A78" s="203"/>
      <c r="AQ78" s="207"/>
      <c r="AR78" s="207"/>
      <c r="AS78" s="207"/>
    </row>
    <row r="79" spans="1:58" x14ac:dyDescent="0.25">
      <c r="C79" s="190">
        <f>SUMPRODUCT( L8:L13, Y8:Y13 ) / L14</f>
        <v>18.350877192982455</v>
      </c>
      <c r="E79" s="191"/>
      <c r="G79" s="353"/>
      <c r="J79" s="173"/>
      <c r="K79" s="173"/>
      <c r="AQ79" s="207"/>
      <c r="AR79" s="207"/>
      <c r="AS79" s="207"/>
    </row>
    <row r="80" spans="1:58" s="173" customFormat="1" ht="13.8" x14ac:dyDescent="0.25">
      <c r="A80" s="195"/>
      <c r="B80" s="185"/>
      <c r="C80" s="185"/>
      <c r="D80" s="185"/>
      <c r="E80" s="182"/>
      <c r="F80" s="168"/>
      <c r="G80" s="169"/>
      <c r="H80" s="168"/>
      <c r="I80" s="168"/>
      <c r="Q80" s="168"/>
      <c r="T80" s="169"/>
      <c r="U80" s="169"/>
      <c r="V80" s="169"/>
      <c r="AF80" s="169"/>
      <c r="AG80" s="169"/>
      <c r="AH80" s="169"/>
      <c r="AJ80" s="169"/>
      <c r="AK80" s="169"/>
      <c r="AL80" s="169"/>
      <c r="AM80" s="169"/>
      <c r="AN80" s="169"/>
      <c r="AQ80" s="207"/>
      <c r="AR80" s="207"/>
      <c r="AS80" s="207"/>
    </row>
    <row r="81" spans="43:45" x14ac:dyDescent="0.25">
      <c r="AQ81" s="207"/>
      <c r="AR81" s="207"/>
      <c r="AS81" s="207"/>
    </row>
    <row r="82" spans="43:45" x14ac:dyDescent="0.25">
      <c r="AQ82" s="207"/>
      <c r="AR82" s="207"/>
      <c r="AS82" s="207"/>
    </row>
  </sheetData>
  <sortState ref="AQ7:AT60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B61">
    <cfRule type="expression" dxfId="131" priority="61" stopIfTrue="1">
      <formula>IF( $AH60 = 1, TRUE, FALSE )</formula>
    </cfRule>
    <cfRule type="expression" dxfId="130" priority="62" stopIfTrue="1">
      <formula>IF( $AG60 = 1, TRUE, FALSE )</formula>
    </cfRule>
    <cfRule type="expression" dxfId="129" priority="63" stopIfTrue="1">
      <formula>IF( $AF60 = 1, TRUE, FALSE )</formula>
    </cfRule>
  </conditionalFormatting>
  <conditionalFormatting sqref="A67:B67">
    <cfRule type="expression" dxfId="128" priority="64" stopIfTrue="1">
      <formula>IF( $AH67 = 1, TRUE, FALSE )</formula>
    </cfRule>
    <cfRule type="expression" dxfId="127" priority="65" stopIfTrue="1">
      <formula>IF( $AG67 = 1, TRUE, FALSE )</formula>
    </cfRule>
    <cfRule type="expression" dxfId="126" priority="66" stopIfTrue="1">
      <formula>IF( $AF67 = 1, TRUE, FALSE )</formula>
    </cfRule>
  </conditionalFormatting>
  <conditionalFormatting sqref="A66:B66">
    <cfRule type="expression" dxfId="125" priority="58" stopIfTrue="1">
      <formula>IF( $AH66 = 1, TRUE, FALSE )</formula>
    </cfRule>
    <cfRule type="expression" dxfId="124" priority="59" stopIfTrue="1">
      <formula>IF( $AG66 = 1, TRUE, FALSE )</formula>
    </cfRule>
    <cfRule type="expression" dxfId="123" priority="60" stopIfTrue="1">
      <formula>IF( $AF66 = 1, TRUE, FALSE )</formula>
    </cfRule>
  </conditionalFormatting>
  <conditionalFormatting sqref="A7:B58">
    <cfRule type="expression" dxfId="122" priority="55" stopIfTrue="1">
      <formula>IF( $AH7 = 1, TRUE, FALSE )</formula>
    </cfRule>
    <cfRule type="expression" dxfId="121" priority="56" stopIfTrue="1">
      <formula>IF( $AG7 = 1, TRUE, FALSE )</formula>
    </cfRule>
    <cfRule type="expression" dxfId="120" priority="57" stopIfTrue="1">
      <formula>IF( $AF7 = 1, TRUE, FALSE )</formula>
    </cfRule>
  </conditionalFormatting>
  <conditionalFormatting sqref="A59:B59">
    <cfRule type="expression" dxfId="119" priority="52" stopIfTrue="1">
      <formula>IF( $AH59 = 1, TRUE, FALSE )</formula>
    </cfRule>
    <cfRule type="expression" dxfId="118" priority="53" stopIfTrue="1">
      <formula>IF( $AG59 = 1, TRUE, FALSE )</formula>
    </cfRule>
    <cfRule type="expression" dxfId="117" priority="54" stopIfTrue="1">
      <formula>IF( $AF59 = 1, TRUE, FALSE )</formula>
    </cfRule>
  </conditionalFormatting>
  <conditionalFormatting sqref="A62:B65">
    <cfRule type="expression" dxfId="116" priority="49" stopIfTrue="1">
      <formula>IF( $AH62 = 1, TRUE, FALSE )</formula>
    </cfRule>
    <cfRule type="expression" dxfId="115" priority="50" stopIfTrue="1">
      <formula>IF( $AG62 = 1, TRUE, FALSE )</formula>
    </cfRule>
    <cfRule type="expression" dxfId="114" priority="51" stopIfTrue="1">
      <formula>IF( $AF62 = 1, TRUE, FALSE )</formula>
    </cfRule>
  </conditionalFormatting>
  <conditionalFormatting sqref="U8:U12">
    <cfRule type="cellIs" dxfId="113" priority="48" operator="equal">
      <formula>0</formula>
    </cfRule>
  </conditionalFormatting>
  <conditionalFormatting sqref="O8:O12 Q8:Q12">
    <cfRule type="cellIs" dxfId="112" priority="47" operator="equal">
      <formula>0</formula>
    </cfRule>
  </conditionalFormatting>
  <conditionalFormatting sqref="V8:V12">
    <cfRule type="cellIs" dxfId="111" priority="46" operator="equal">
      <formula>0</formula>
    </cfRule>
  </conditionalFormatting>
  <conditionalFormatting sqref="S8:S12">
    <cfRule type="cellIs" dxfId="110" priority="44" operator="equal">
      <formula>0</formula>
    </cfRule>
  </conditionalFormatting>
  <conditionalFormatting sqref="R8:R12">
    <cfRule type="cellIs" dxfId="109" priority="45" operator="equal">
      <formula>0</formula>
    </cfRule>
  </conditionalFormatting>
  <conditionalFormatting sqref="P8:P12">
    <cfRule type="cellIs" dxfId="108" priority="43" operator="equal">
      <formula>0</formula>
    </cfRule>
  </conditionalFormatting>
  <conditionalFormatting sqref="M8:M12">
    <cfRule type="cellIs" dxfId="107" priority="42" operator="equal">
      <formula>0</formula>
    </cfRule>
  </conditionalFormatting>
  <conditionalFormatting sqref="T8:T12">
    <cfRule type="cellIs" dxfId="106" priority="41" operator="equal">
      <formula>0</formula>
    </cfRule>
  </conditionalFormatting>
  <conditionalFormatting sqref="N8:N12">
    <cfRule type="cellIs" dxfId="105" priority="40" operator="equal">
      <formula>0</formula>
    </cfRule>
  </conditionalFormatting>
  <conditionalFormatting sqref="K8:K12">
    <cfRule type="cellIs" dxfId="104" priority="39" operator="equal">
      <formula>0</formula>
    </cfRule>
  </conditionalFormatting>
  <conditionalFormatting sqref="W8:W12">
    <cfRule type="cellIs" dxfId="103" priority="38" operator="equal">
      <formula>0</formula>
    </cfRule>
  </conditionalFormatting>
  <conditionalFormatting sqref="C60:C61">
    <cfRule type="expression" dxfId="102" priority="32" stopIfTrue="1">
      <formula>IF( $AH60 = 1, TRUE, FALSE )</formula>
    </cfRule>
    <cfRule type="expression" dxfId="101" priority="33" stopIfTrue="1">
      <formula>IF( $AG60 = 1, TRUE, FALSE )</formula>
    </cfRule>
    <cfRule type="expression" dxfId="100" priority="34" stopIfTrue="1">
      <formula>IF( $AF60 = 1, TRUE, FALSE )</formula>
    </cfRule>
  </conditionalFormatting>
  <conditionalFormatting sqref="C67">
    <cfRule type="expression" dxfId="99" priority="35" stopIfTrue="1">
      <formula>IF( $AH67 = 1, TRUE, FALSE )</formula>
    </cfRule>
    <cfRule type="expression" dxfId="98" priority="36" stopIfTrue="1">
      <formula>IF( $AG67 = 1, TRUE, FALSE )</formula>
    </cfRule>
    <cfRule type="expression" dxfId="97" priority="37" stopIfTrue="1">
      <formula>IF( $AF67 = 1, TRUE, FALSE )</formula>
    </cfRule>
  </conditionalFormatting>
  <conditionalFormatting sqref="C66">
    <cfRule type="expression" dxfId="96" priority="29" stopIfTrue="1">
      <formula>IF( $AH66 = 1, TRUE, FALSE )</formula>
    </cfRule>
    <cfRule type="expression" dxfId="95" priority="30" stopIfTrue="1">
      <formula>IF( $AG66 = 1, TRUE, FALSE )</formula>
    </cfRule>
    <cfRule type="expression" dxfId="94" priority="31" stopIfTrue="1">
      <formula>IF( $AF66 = 1, TRUE, FALSE )</formula>
    </cfRule>
  </conditionalFormatting>
  <conditionalFormatting sqref="C7:C58">
    <cfRule type="expression" dxfId="93" priority="26" stopIfTrue="1">
      <formula>IF( $AH7 = 1, TRUE, FALSE )</formula>
    </cfRule>
    <cfRule type="expression" dxfId="92" priority="27" stopIfTrue="1">
      <formula>IF( $AG7 = 1, TRUE, FALSE )</formula>
    </cfRule>
    <cfRule type="expression" dxfId="91" priority="28" stopIfTrue="1">
      <formula>IF( $AF7 = 1, TRUE, FALSE )</formula>
    </cfRule>
  </conditionalFormatting>
  <conditionalFormatting sqref="C59">
    <cfRule type="expression" dxfId="90" priority="23" stopIfTrue="1">
      <formula>IF( $AH59 = 1, TRUE, FALSE )</formula>
    </cfRule>
    <cfRule type="expression" dxfId="89" priority="24" stopIfTrue="1">
      <formula>IF( $AG59 = 1, TRUE, FALSE )</formula>
    </cfRule>
    <cfRule type="expression" dxfId="88" priority="25" stopIfTrue="1">
      <formula>IF( $AF59 = 1, TRUE, FALSE )</formula>
    </cfRule>
  </conditionalFormatting>
  <conditionalFormatting sqref="C62:C65">
    <cfRule type="expression" dxfId="87" priority="20" stopIfTrue="1">
      <formula>IF( $AH62 = 1, TRUE, FALSE )</formula>
    </cfRule>
    <cfRule type="expression" dxfId="86" priority="21" stopIfTrue="1">
      <formula>IF( $AG62 = 1, TRUE, FALSE )</formula>
    </cfRule>
    <cfRule type="expression" dxfId="85" priority="22" stopIfTrue="1">
      <formula>IF( $AF62 = 1, TRUE, FALSE )</formula>
    </cfRule>
  </conditionalFormatting>
  <conditionalFormatting sqref="D60:E61 E7:E59 E62:E65">
    <cfRule type="expression" dxfId="84" priority="14" stopIfTrue="1">
      <formula>IF( $AH7 = 1, TRUE, FALSE )</formula>
    </cfRule>
    <cfRule type="expression" dxfId="83" priority="15" stopIfTrue="1">
      <formula>IF( $AG7 = 1, TRUE, FALSE )</formula>
    </cfRule>
    <cfRule type="expression" dxfId="82" priority="16" stopIfTrue="1">
      <formula>IF( $AF7 = 1, TRUE, FALSE )</formula>
    </cfRule>
  </conditionalFormatting>
  <conditionalFormatting sqref="D67:E67">
    <cfRule type="expression" dxfId="81" priority="17" stopIfTrue="1">
      <formula>IF( $AH67 = 1, TRUE, FALSE )</formula>
    </cfRule>
    <cfRule type="expression" dxfId="80" priority="18" stopIfTrue="1">
      <formula>IF( $AG67 = 1, TRUE, FALSE )</formula>
    </cfRule>
    <cfRule type="expression" dxfId="79" priority="19" stopIfTrue="1">
      <formula>IF( $AF67 = 1, TRUE, FALSE )</formula>
    </cfRule>
  </conditionalFormatting>
  <conditionalFormatting sqref="D66:E66">
    <cfRule type="expression" dxfId="78" priority="11" stopIfTrue="1">
      <formula>IF( $AH66 = 1, TRUE, FALSE )</formula>
    </cfRule>
    <cfRule type="expression" dxfId="77" priority="12" stopIfTrue="1">
      <formula>IF( $AG66 = 1, TRUE, FALSE )</formula>
    </cfRule>
    <cfRule type="expression" dxfId="76" priority="13" stopIfTrue="1">
      <formula>IF( $AF66 = 1, TRUE, FALSE )</formula>
    </cfRule>
  </conditionalFormatting>
  <conditionalFormatting sqref="D7:D58">
    <cfRule type="expression" dxfId="75" priority="8" stopIfTrue="1">
      <formula>IF( $AH7 = 1, TRUE, FALSE )</formula>
    </cfRule>
    <cfRule type="expression" dxfId="74" priority="9" stopIfTrue="1">
      <formula>IF( $AG7 = 1, TRUE, FALSE )</formula>
    </cfRule>
    <cfRule type="expression" dxfId="73" priority="10" stopIfTrue="1">
      <formula>IF( $AF7 = 1, TRUE, FALSE )</formula>
    </cfRule>
  </conditionalFormatting>
  <conditionalFormatting sqref="D59">
    <cfRule type="expression" dxfId="72" priority="5" stopIfTrue="1">
      <formula>IF( $AH59 = 1, TRUE, FALSE )</formula>
    </cfRule>
    <cfRule type="expression" dxfId="71" priority="6" stopIfTrue="1">
      <formula>IF( $AG59 = 1, TRUE, FALSE )</formula>
    </cfRule>
    <cfRule type="expression" dxfId="70" priority="7" stopIfTrue="1">
      <formula>IF( $AF59 = 1, TRUE, FALSE )</formula>
    </cfRule>
  </conditionalFormatting>
  <conditionalFormatting sqref="D62:D65">
    <cfRule type="expression" dxfId="69" priority="2" stopIfTrue="1">
      <formula>IF( $AH62 = 1, TRUE, FALSE )</formula>
    </cfRule>
    <cfRule type="expression" dxfId="68" priority="3" stopIfTrue="1">
      <formula>IF( $AG62 = 1, TRUE, FALSE )</formula>
    </cfRule>
    <cfRule type="expression" dxfId="67" priority="4" stopIfTrue="1">
      <formula>IF( $AF62 = 1, TRUE, FALSE )</formula>
    </cfRule>
  </conditionalFormatting>
  <conditionalFormatting sqref="I8:I12">
    <cfRule type="cellIs" dxfId="66" priority="1" operator="equal">
      <formula>0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BJ82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customWidth="1"/>
    <col min="23" max="23" width="2" style="168" customWidth="1"/>
    <col min="24" max="24" width="4.109375" style="168" bestFit="1" customWidth="1"/>
    <col min="25" max="25" width="5.5546875" style="168" bestFit="1" customWidth="1"/>
    <col min="26" max="26" width="2.44140625" style="168" bestFit="1" customWidth="1"/>
    <col min="27" max="27" width="4.33203125" style="168" bestFit="1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7.88671875" style="169" hidden="1" customWidth="1" outlineLevel="1" collapsed="1"/>
    <col min="37" max="38" width="9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3.441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style="168" collapsed="1"/>
    <col min="63" max="16384" width="9.109375" style="168"/>
  </cols>
  <sheetData>
    <row r="1" spans="1:61" ht="18" x14ac:dyDescent="0.25">
      <c r="A1" s="238" t="str">
        <f>"I.  S&amp;P Utility Credit Ratings Distribution -- " &amp; B6</f>
        <v>I.  S&amp;P Utility Credit Ratings Distribution -- 2012 Q1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</row>
    <row r="2" spans="1:61" ht="18" hidden="1" outlineLevel="1" x14ac:dyDescent="0.25">
      <c r="A2" s="167"/>
      <c r="E2" s="171" t="str">
        <f>G2</f>
        <v>Reg_Percent_2010</v>
      </c>
      <c r="G2" s="172" t="s">
        <v>429</v>
      </c>
      <c r="AJ2" s="173" t="str">
        <f>AJ4 &amp; AJ3</f>
        <v>'Credit_2011Q4'!a:a</v>
      </c>
      <c r="AK2" s="173" t="str">
        <f>AK4 &amp; AK3</f>
        <v>'Credit_2011Q4'!b1</v>
      </c>
      <c r="AL2" s="173" t="str">
        <f>AL4 &amp; AL3</f>
        <v>'Credit_2011Q4'!c1</v>
      </c>
    </row>
    <row r="3" spans="1:61" ht="18" hidden="1" outlineLevel="1" x14ac:dyDescent="0.25">
      <c r="A3" s="167"/>
      <c r="E3" s="174" t="str">
        <f>"'" &amp; E2 &amp; "'!"</f>
        <v>'Reg_Percent_2010'!</v>
      </c>
      <c r="G3" s="168" t="str">
        <f>"'" &amp; G2 &amp; "'!"</f>
        <v>'Reg_Percent_2010'!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406</v>
      </c>
      <c r="AK3" s="149" t="s">
        <v>206</v>
      </c>
      <c r="AL3" s="149" t="s">
        <v>207</v>
      </c>
    </row>
    <row r="4" spans="1:61" ht="18" hidden="1" outlineLevel="1" x14ac:dyDescent="0.25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6" t="s">
        <v>430</v>
      </c>
      <c r="AK4" s="169" t="str">
        <f>AJ4</f>
        <v>'Credit_2011Q4'!</v>
      </c>
      <c r="AL4" s="169" t="str">
        <f>AK4</f>
        <v>'Credit_2011Q4'!</v>
      </c>
    </row>
    <row r="5" spans="1:61" ht="13.8" collapsed="1" x14ac:dyDescent="0.25">
      <c r="E5" s="176" t="s">
        <v>209</v>
      </c>
      <c r="G5" s="170" t="s">
        <v>199</v>
      </c>
      <c r="I5" s="230"/>
      <c r="J5" s="389" t="s">
        <v>210</v>
      </c>
      <c r="K5" s="230"/>
      <c r="L5" s="391" t="str">
        <f>"All Companies" &amp; CHAR( 10 ) &amp; "("&amp; L14 &amp; ")"</f>
        <v>All Companies
(58)</v>
      </c>
      <c r="M5" s="391"/>
      <c r="N5" s="230"/>
      <c r="O5" s="389" t="str">
        <f ca="1">"Regulated" &amp; CHAR( 10 ) &amp; "(" &amp; O14 &amp; ")"</f>
        <v>Regulated
(37)</v>
      </c>
      <c r="P5" s="393"/>
      <c r="Q5" s="230"/>
      <c r="R5" s="389" t="str">
        <f ca="1">"Mostly Regulated" &amp; CHAR( 10 ) &amp; "(" &amp; R14 &amp; ")"</f>
        <v>Mostly Regulated
(18)</v>
      </c>
      <c r="S5" s="393"/>
      <c r="T5" s="230"/>
      <c r="U5" s="389" t="str">
        <f ca="1">"Diversified" &amp; CHAR( 10 ) &amp; "(" &amp; U14 &amp; ")"</f>
        <v>Diversified
(3)</v>
      </c>
      <c r="V5" s="393"/>
      <c r="W5" s="230"/>
      <c r="AE5" s="177"/>
      <c r="AF5" s="168"/>
      <c r="AG5" s="168"/>
      <c r="AH5" s="168"/>
      <c r="AJ5" s="168"/>
      <c r="AK5" s="168"/>
      <c r="AL5" s="168"/>
      <c r="AM5" s="168"/>
      <c r="AN5" s="168"/>
    </row>
    <row r="6" spans="1:61" ht="28.5" customHeight="1" x14ac:dyDescent="0.25">
      <c r="A6" s="219" t="s">
        <v>212</v>
      </c>
      <c r="B6" s="220" t="s">
        <v>48</v>
      </c>
      <c r="C6" s="249" t="s">
        <v>214</v>
      </c>
      <c r="D6" s="221"/>
      <c r="E6" s="222">
        <v>40543</v>
      </c>
      <c r="I6" s="231"/>
      <c r="J6" s="390"/>
      <c r="K6" s="231"/>
      <c r="L6" s="392"/>
      <c r="M6" s="392"/>
      <c r="N6" s="231"/>
      <c r="O6" s="390"/>
      <c r="P6" s="390"/>
      <c r="Q6" s="231"/>
      <c r="R6" s="390" t="s">
        <v>136</v>
      </c>
      <c r="S6" s="390"/>
      <c r="T6" s="231"/>
      <c r="U6" s="390"/>
      <c r="V6" s="390"/>
      <c r="W6" s="231"/>
      <c r="AE6" s="178"/>
      <c r="AJ6" s="179"/>
    </row>
    <row r="7" spans="1:61" ht="13.8" x14ac:dyDescent="0.25">
      <c r="A7" s="223" t="s">
        <v>431</v>
      </c>
      <c r="B7" s="224" t="s">
        <v>164</v>
      </c>
      <c r="C7" s="224">
        <v>22</v>
      </c>
      <c r="D7" s="224" t="s">
        <v>432</v>
      </c>
      <c r="E7" s="225" t="str">
        <f t="shared" ref="E7:E61" ca="1" si="0">OFFSET( INDIRECT( E$3 &amp; E$4 ), $G7 - 1, 0 )</f>
        <v>R</v>
      </c>
      <c r="F7" s="348"/>
      <c r="G7" s="349">
        <f t="shared" ref="G7:G66" ca="1" si="1">IF( LEN( $D7 ) = 0, "", MATCH( $D7, INDIRECT( G$3 &amp; G$4 ), 0 ) )</f>
        <v>39</v>
      </c>
      <c r="H7" s="350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t="shared" ref="AJ7:AJ67" ca="1" si="4">MATCH( $A7, INDIRECT( AJ$2 ), 0 )</f>
        <v>7</v>
      </c>
      <c r="AK7" s="169" t="str">
        <f ca="1">IF( ISNA( $AJ7 ), "", OFFSET( INDIRECT( AK$2 ), $AJ7-1, 0 ) )</f>
        <v>A+</v>
      </c>
      <c r="AL7" s="169">
        <f ca="1">IF( ISNA( $AJ7 ), "", OFFSET( INDIRECT( AL$2 ), $AJ7-1, 0 ) )</f>
        <v>22</v>
      </c>
      <c r="AM7" s="169" t="str">
        <f t="shared" ref="AM7:AM67" ca="1" si="5">IF( B7 = AK7, "", "Change" )</f>
        <v/>
      </c>
      <c r="AQ7" s="207" t="s">
        <v>217</v>
      </c>
      <c r="AR7" s="207" t="s">
        <v>140</v>
      </c>
      <c r="AS7" s="207">
        <v>19</v>
      </c>
      <c r="AT7" s="207" t="s">
        <v>218</v>
      </c>
      <c r="AV7" s="168">
        <f>IF( LEN( AS7 ) = 0, 99, RANK( AS7, $AS$7:$AS$63 ) )</f>
        <v>12</v>
      </c>
      <c r="AW7" s="168">
        <f>COUNTIF( AV7:AV$7, AV7 )</f>
        <v>1</v>
      </c>
      <c r="AX7" s="208">
        <f>AV7 + AW7 / 10</f>
        <v>12.1</v>
      </c>
      <c r="AY7" s="168">
        <f>RANK( AX7, $AX$7:$AX$63, 1 )</f>
        <v>12</v>
      </c>
      <c r="AZ7" s="169"/>
      <c r="BA7" s="169"/>
      <c r="BC7" s="168">
        <f t="shared" ref="BC7" ca="1" si="6">OFFSET( BC7, -1, 0 ) + 1</f>
        <v>1</v>
      </c>
      <c r="BD7" s="209">
        <f t="shared" ref="BD7:BD62" ca="1" si="7">MATCH( BC7, $AY$7:$AY$63, 0 )</f>
        <v>34</v>
      </c>
      <c r="BF7" s="173" t="str">
        <f t="shared" ref="BF7:BF38" ca="1" si="8">OFFSET( AQ$6, $BD7, 0 )</f>
        <v>NSTAR</v>
      </c>
      <c r="BG7" s="173" t="str">
        <f t="shared" ref="BG7:BI62" ca="1" si="9">OFFSET( AR$6, $BD7, 0 )</f>
        <v>A+</v>
      </c>
      <c r="BH7" s="173">
        <f t="shared" ca="1" si="9"/>
        <v>22</v>
      </c>
      <c r="BI7" s="173" t="str">
        <f t="shared" ca="1" si="9"/>
        <v>NST</v>
      </c>
    </row>
    <row r="8" spans="1:61" ht="13.8" x14ac:dyDescent="0.25">
      <c r="A8" s="223" t="s">
        <v>293</v>
      </c>
      <c r="B8" s="224" t="s">
        <v>166</v>
      </c>
      <c r="C8" s="224">
        <v>21</v>
      </c>
      <c r="D8" s="224" t="s">
        <v>294</v>
      </c>
      <c r="E8" s="225" t="str">
        <f t="shared" ca="1" si="0"/>
        <v>R</v>
      </c>
      <c r="F8" s="348"/>
      <c r="G8" s="349">
        <f t="shared" ca="1" si="1"/>
        <v>53</v>
      </c>
      <c r="H8" s="350"/>
      <c r="I8" s="233"/>
      <c r="J8" s="213" t="s">
        <v>137</v>
      </c>
      <c r="K8" s="233"/>
      <c r="L8" s="213">
        <f t="shared" ref="L8:L13" si="10">COUNTIF($C$7:$C$67,$X8)</f>
        <v>4</v>
      </c>
      <c r="M8" s="214">
        <f t="shared" ref="M8:M13" si="11">IF( L8 = 0, "", L8/L$14 )</f>
        <v>6.8965517241379309E-2</v>
      </c>
      <c r="N8" s="233"/>
      <c r="O8" s="213">
        <f t="shared" ref="O8:O13" ca="1" si="12">COUNTIFS( $E$7:$E$66, O$3, $C$7:$C$66, $X8 )</f>
        <v>3</v>
      </c>
      <c r="P8" s="214">
        <f t="shared" ref="P8:P13" ca="1" si="13">IF( O8 = 0, "", O8/O$14 )</f>
        <v>8.1081081081081086E-2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5.5555555555555552E-2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8">SUM(O8, R8, U8)</f>
        <v>4</v>
      </c>
      <c r="AC8" s="351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ca="1" si="4"/>
        <v>8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5"/>
        <v/>
      </c>
      <c r="AQ8" s="207" t="s">
        <v>219</v>
      </c>
      <c r="AR8" s="207" t="s">
        <v>140</v>
      </c>
      <c r="AS8" s="207">
        <v>19</v>
      </c>
      <c r="AT8" s="207" t="s">
        <v>220</v>
      </c>
      <c r="AV8" s="168">
        <f t="shared" ref="AV8:AV63" si="21">IF( LEN( AS8 ) = 0, 99, RANK( AS8, $AS$7:$AS$63 ) )</f>
        <v>12</v>
      </c>
      <c r="AW8" s="168">
        <f>COUNTIF( AV$7:AV8, AV8 )</f>
        <v>2</v>
      </c>
      <c r="AX8" s="208">
        <f t="shared" ref="AX8:AX63" si="22">AV8 + AW8 / 10</f>
        <v>12.2</v>
      </c>
      <c r="AY8" s="168">
        <f t="shared" ref="AY8:AY63" si="23">RANK( AX8, $AX$7:$AX$63, 1 )</f>
        <v>13</v>
      </c>
      <c r="AZ8" s="169"/>
      <c r="BA8" s="169"/>
      <c r="BC8" s="168">
        <f ca="1">OFFSET( BC8, -1, 0 ) + 1</f>
        <v>2</v>
      </c>
      <c r="BD8" s="209">
        <f t="shared" ca="1" si="7"/>
        <v>49</v>
      </c>
      <c r="BF8" s="173" t="str">
        <f t="shared" ca="1" si="8"/>
        <v>Southern Company</v>
      </c>
      <c r="BG8" s="173" t="str">
        <f t="shared" ca="1" si="9"/>
        <v>A</v>
      </c>
      <c r="BH8" s="173">
        <f t="shared" ca="1" si="9"/>
        <v>21</v>
      </c>
      <c r="BI8" s="173" t="str">
        <f t="shared" ca="1" si="9"/>
        <v>SO</v>
      </c>
    </row>
    <row r="9" spans="1:61" ht="13.8" x14ac:dyDescent="0.25">
      <c r="A9" s="223" t="s">
        <v>227</v>
      </c>
      <c r="B9" s="224" t="s">
        <v>139</v>
      </c>
      <c r="C9" s="224">
        <v>20</v>
      </c>
      <c r="D9" s="224" t="s">
        <v>228</v>
      </c>
      <c r="E9" s="225" t="str">
        <f t="shared" ca="1" si="0"/>
        <v>R</v>
      </c>
      <c r="F9" s="348"/>
      <c r="G9" s="349">
        <f t="shared" ca="1" si="1"/>
        <v>18</v>
      </c>
      <c r="H9" s="350"/>
      <c r="I9" s="234"/>
      <c r="J9" s="215" t="s">
        <v>139</v>
      </c>
      <c r="K9" s="234"/>
      <c r="L9" s="215">
        <f t="shared" si="10"/>
        <v>9</v>
      </c>
      <c r="M9" s="216">
        <f t="shared" si="11"/>
        <v>0.15517241379310345</v>
      </c>
      <c r="N9" s="234"/>
      <c r="O9" s="215">
        <f t="shared" ca="1" si="12"/>
        <v>6</v>
      </c>
      <c r="P9" s="216">
        <f t="shared" ca="1" si="13"/>
        <v>0.16216216216216217</v>
      </c>
      <c r="Q9" s="234"/>
      <c r="R9" s="215">
        <f t="shared" ca="1" si="14"/>
        <v>3</v>
      </c>
      <c r="S9" s="216">
        <f t="shared" ca="1" si="15"/>
        <v>0.16666666666666666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8"/>
        <v>9</v>
      </c>
      <c r="AC9" s="351"/>
      <c r="AE9" s="184"/>
      <c r="AF9" s="169">
        <f t="shared" si="2"/>
        <v>1</v>
      </c>
      <c r="AG9" s="169" t="str">
        <f t="shared" ca="1" si="3"/>
        <v/>
      </c>
      <c r="AH9" s="169" t="str">
        <f t="shared" ca="1" si="19"/>
        <v/>
      </c>
      <c r="AJ9" s="169">
        <f t="shared" ca="1" si="4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5"/>
        <v/>
      </c>
      <c r="AQ9" s="207" t="s">
        <v>225</v>
      </c>
      <c r="AR9" s="207" t="s">
        <v>142</v>
      </c>
      <c r="AS9" s="207">
        <v>17</v>
      </c>
      <c r="AT9" s="207" t="s">
        <v>226</v>
      </c>
      <c r="AV9" s="168">
        <f t="shared" si="21"/>
        <v>41</v>
      </c>
      <c r="AW9" s="168">
        <f>COUNTIF( AV$7:AV9, AV9 )</f>
        <v>1</v>
      </c>
      <c r="AX9" s="208">
        <f t="shared" si="22"/>
        <v>41.1</v>
      </c>
      <c r="AY9" s="168">
        <f t="shared" si="23"/>
        <v>41</v>
      </c>
      <c r="AZ9" s="169"/>
      <c r="BA9" s="169"/>
      <c r="BC9" s="168">
        <f t="shared" ref="BC9:BC63" ca="1" si="24">OFFSET( BC9, -1, 0 ) + 1</f>
        <v>3</v>
      </c>
      <c r="BD9" s="209">
        <f t="shared" ca="1" si="7"/>
        <v>10</v>
      </c>
      <c r="BF9" s="173" t="str">
        <f t="shared" ca="1" si="8"/>
        <v>Consolidated Edison, Inc.</v>
      </c>
      <c r="BG9" s="173" t="str">
        <f t="shared" ca="1" si="9"/>
        <v>A-</v>
      </c>
      <c r="BH9" s="173">
        <f t="shared" ca="1" si="9"/>
        <v>20</v>
      </c>
      <c r="BI9" s="173" t="str">
        <f t="shared" ca="1" si="9"/>
        <v>ED</v>
      </c>
    </row>
    <row r="10" spans="1:61" ht="13.8" x14ac:dyDescent="0.25">
      <c r="A10" s="223" t="s">
        <v>361</v>
      </c>
      <c r="B10" s="224" t="s">
        <v>139</v>
      </c>
      <c r="C10" s="224">
        <v>20</v>
      </c>
      <c r="D10" s="224" t="s">
        <v>194</v>
      </c>
      <c r="E10" s="225" t="str">
        <f t="shared" ca="1" si="0"/>
        <v>MR</v>
      </c>
      <c r="F10" s="348"/>
      <c r="G10" s="349">
        <f t="shared" ca="1" si="1"/>
        <v>20</v>
      </c>
      <c r="H10" s="350"/>
      <c r="I10" s="234"/>
      <c r="J10" s="215" t="s">
        <v>140</v>
      </c>
      <c r="K10" s="234"/>
      <c r="L10" s="215">
        <f t="shared" si="10"/>
        <v>13</v>
      </c>
      <c r="M10" s="216">
        <f t="shared" si="11"/>
        <v>0.22413793103448276</v>
      </c>
      <c r="N10" s="234"/>
      <c r="O10" s="215">
        <f t="shared" ca="1" si="12"/>
        <v>6</v>
      </c>
      <c r="P10" s="216">
        <f t="shared" ca="1" si="13"/>
        <v>0.16216216216216217</v>
      </c>
      <c r="Q10" s="234"/>
      <c r="R10" s="215">
        <f t="shared" ca="1" si="14"/>
        <v>6</v>
      </c>
      <c r="S10" s="216">
        <f t="shared" ca="1" si="15"/>
        <v>0.33333333333333331</v>
      </c>
      <c r="T10" s="234"/>
      <c r="U10" s="215">
        <f t="shared" ca="1" si="16"/>
        <v>1</v>
      </c>
      <c r="V10" s="216">
        <f t="shared" ca="1" si="17"/>
        <v>0.33333333333333331</v>
      </c>
      <c r="W10" s="234"/>
      <c r="X10" s="186" t="s">
        <v>229</v>
      </c>
      <c r="Y10" s="186">
        <v>19</v>
      </c>
      <c r="Z10" s="186">
        <v>1</v>
      </c>
      <c r="AA10" s="185">
        <f t="shared" ca="1" si="18"/>
        <v>13</v>
      </c>
      <c r="AE10" s="184"/>
      <c r="AF10" s="169">
        <f t="shared" si="2"/>
        <v>1</v>
      </c>
      <c r="AG10" s="169" t="str">
        <f t="shared" ca="1" si="3"/>
        <v/>
      </c>
      <c r="AH10" s="169" t="str">
        <f t="shared" ca="1" si="19"/>
        <v/>
      </c>
      <c r="AJ10" s="169">
        <f t="shared" ca="1" si="4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5"/>
        <v/>
      </c>
      <c r="AQ10" s="207" t="s">
        <v>222</v>
      </c>
      <c r="AR10" s="207" t="s">
        <v>141</v>
      </c>
      <c r="AS10" s="207">
        <v>18</v>
      </c>
      <c r="AT10" s="207" t="s">
        <v>223</v>
      </c>
      <c r="AV10" s="168">
        <f t="shared" si="21"/>
        <v>25</v>
      </c>
      <c r="AW10" s="168">
        <f>COUNTIF( AV$7:AV10, AV10 )</f>
        <v>1</v>
      </c>
      <c r="AX10" s="208">
        <f t="shared" si="22"/>
        <v>25.1</v>
      </c>
      <c r="AY10" s="168">
        <f t="shared" si="23"/>
        <v>25</v>
      </c>
      <c r="AZ10" s="169"/>
      <c r="BA10" s="169"/>
      <c r="BC10" s="168">
        <f t="shared" ca="1" si="24"/>
        <v>4</v>
      </c>
      <c r="BD10" s="209">
        <f t="shared" ca="1" si="7"/>
        <v>11</v>
      </c>
      <c r="BF10" s="173" t="str">
        <f t="shared" ca="1" si="8"/>
        <v>Dominion Resources, Inc.</v>
      </c>
      <c r="BG10" s="173" t="str">
        <f t="shared" ca="1" si="9"/>
        <v>A-</v>
      </c>
      <c r="BH10" s="173">
        <f t="shared" ca="1" si="9"/>
        <v>20</v>
      </c>
      <c r="BI10" s="173" t="str">
        <f t="shared" ca="1" si="9"/>
        <v>D</v>
      </c>
    </row>
    <row r="11" spans="1:61" ht="13.8" x14ac:dyDescent="0.25">
      <c r="A11" s="223" t="s">
        <v>263</v>
      </c>
      <c r="B11" s="224" t="s">
        <v>139</v>
      </c>
      <c r="C11" s="224">
        <v>20</v>
      </c>
      <c r="D11" s="224" t="s">
        <v>264</v>
      </c>
      <c r="E11" s="225" t="str">
        <f t="shared" ca="1" si="0"/>
        <v>MR</v>
      </c>
      <c r="F11" s="348"/>
      <c r="G11" s="349">
        <f t="shared" ca="1" si="1"/>
        <v>22</v>
      </c>
      <c r="H11" s="350"/>
      <c r="I11" s="234"/>
      <c r="J11" s="215" t="s">
        <v>141</v>
      </c>
      <c r="K11" s="234"/>
      <c r="L11" s="215">
        <f t="shared" si="10"/>
        <v>16</v>
      </c>
      <c r="M11" s="216">
        <f t="shared" si="11"/>
        <v>0.27586206896551724</v>
      </c>
      <c r="N11" s="234"/>
      <c r="O11" s="215">
        <f t="shared" ca="1" si="12"/>
        <v>13</v>
      </c>
      <c r="P11" s="216">
        <f t="shared" ca="1" si="13"/>
        <v>0.35135135135135137</v>
      </c>
      <c r="Q11" s="234"/>
      <c r="R11" s="215">
        <f t="shared" ca="1" si="14"/>
        <v>3</v>
      </c>
      <c r="S11" s="216">
        <f t="shared" ca="1" si="15"/>
        <v>0.16666666666666666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8"/>
        <v>16</v>
      </c>
      <c r="AE11" s="184"/>
      <c r="AF11" s="169">
        <f t="shared" si="2"/>
        <v>1</v>
      </c>
      <c r="AG11" s="169" t="str">
        <f t="shared" ca="1" si="3"/>
        <v/>
      </c>
      <c r="AH11" s="169" t="str">
        <f t="shared" ca="1" si="19"/>
        <v/>
      </c>
      <c r="AJ11" s="169">
        <f t="shared" ca="1" si="4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5"/>
        <v/>
      </c>
      <c r="AQ11" s="207" t="s">
        <v>238</v>
      </c>
      <c r="AR11" s="207" t="s">
        <v>141</v>
      </c>
      <c r="AS11" s="207">
        <v>18</v>
      </c>
      <c r="AT11" s="207" t="s">
        <v>239</v>
      </c>
      <c r="AV11" s="168">
        <f t="shared" si="21"/>
        <v>25</v>
      </c>
      <c r="AW11" s="168">
        <f>COUNTIF( AV$7:AV11, AV11 )</f>
        <v>2</v>
      </c>
      <c r="AX11" s="208">
        <f t="shared" si="22"/>
        <v>25.2</v>
      </c>
      <c r="AY11" s="168">
        <f t="shared" si="23"/>
        <v>26</v>
      </c>
      <c r="AZ11" s="169"/>
      <c r="BA11" s="169"/>
      <c r="BC11" s="168">
        <f t="shared" ca="1" si="24"/>
        <v>5</v>
      </c>
      <c r="BD11" s="209">
        <f t="shared" ca="1" si="7"/>
        <v>14</v>
      </c>
      <c r="BF11" s="173" t="str">
        <f t="shared" ca="1" si="8"/>
        <v>Duke Energy Corporation</v>
      </c>
      <c r="BG11" s="173" t="str">
        <f t="shared" ca="1" si="9"/>
        <v>A-</v>
      </c>
      <c r="BH11" s="173">
        <f t="shared" ca="1" si="9"/>
        <v>20</v>
      </c>
      <c r="BI11" s="173" t="str">
        <f t="shared" ca="1" si="9"/>
        <v>DUK</v>
      </c>
    </row>
    <row r="12" spans="1:61" ht="13.8" x14ac:dyDescent="0.25">
      <c r="A12" s="223" t="s">
        <v>387</v>
      </c>
      <c r="B12" s="224" t="s">
        <v>139</v>
      </c>
      <c r="C12" s="224">
        <v>20</v>
      </c>
      <c r="D12" s="224" t="s">
        <v>388</v>
      </c>
      <c r="E12" s="225" t="str">
        <f t="shared" ca="1" si="0"/>
        <v>R</v>
      </c>
      <c r="F12" s="348"/>
      <c r="G12" s="349">
        <f t="shared" ca="1" si="1"/>
        <v>65</v>
      </c>
      <c r="H12" s="350"/>
      <c r="I12" s="234"/>
      <c r="J12" s="215" t="s">
        <v>142</v>
      </c>
      <c r="K12" s="234"/>
      <c r="L12" s="215">
        <f t="shared" si="10"/>
        <v>11</v>
      </c>
      <c r="M12" s="216">
        <f t="shared" si="11"/>
        <v>0.18965517241379309</v>
      </c>
      <c r="N12" s="234"/>
      <c r="O12" s="215">
        <f t="shared" ca="1" si="12"/>
        <v>5</v>
      </c>
      <c r="P12" s="216">
        <f t="shared" ca="1" si="13"/>
        <v>0.13513513513513514</v>
      </c>
      <c r="Q12" s="234"/>
      <c r="R12" s="215">
        <f t="shared" ca="1" si="14"/>
        <v>5</v>
      </c>
      <c r="S12" s="216">
        <f t="shared" ca="1" si="15"/>
        <v>0.27777777777777779</v>
      </c>
      <c r="T12" s="234"/>
      <c r="U12" s="215">
        <f t="shared" ca="1" si="16"/>
        <v>1</v>
      </c>
      <c r="V12" s="216">
        <f t="shared" ca="1" si="17"/>
        <v>0.33333333333333331</v>
      </c>
      <c r="W12" s="234"/>
      <c r="X12" s="186" t="s">
        <v>237</v>
      </c>
      <c r="Y12" s="186">
        <v>17</v>
      </c>
      <c r="Z12" s="186">
        <v>1</v>
      </c>
      <c r="AA12" s="185">
        <f t="shared" ca="1" si="18"/>
        <v>11</v>
      </c>
      <c r="AE12" s="184"/>
      <c r="AF12" s="169">
        <f t="shared" si="2"/>
        <v>1</v>
      </c>
      <c r="AG12" s="169" t="str">
        <f t="shared" ca="1" si="3"/>
        <v/>
      </c>
      <c r="AH12" s="169" t="str">
        <f t="shared" ca="1" si="19"/>
        <v/>
      </c>
      <c r="AJ12" s="169">
        <f t="shared" ca="1" si="4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5"/>
        <v/>
      </c>
      <c r="AQ12" s="207" t="s">
        <v>245</v>
      </c>
      <c r="AR12" s="207" t="s">
        <v>142</v>
      </c>
      <c r="AS12" s="207">
        <v>17</v>
      </c>
      <c r="AT12" s="207" t="s">
        <v>246</v>
      </c>
      <c r="AV12" s="168">
        <f t="shared" si="21"/>
        <v>41</v>
      </c>
      <c r="AW12" s="168">
        <f>COUNTIF( AV$7:AV12, AV12 )</f>
        <v>2</v>
      </c>
      <c r="AX12" s="208">
        <f t="shared" si="22"/>
        <v>41.2</v>
      </c>
      <c r="AY12" s="168">
        <f t="shared" si="23"/>
        <v>42</v>
      </c>
      <c r="AZ12" s="169"/>
      <c r="BA12" s="169"/>
      <c r="BC12" s="168">
        <f t="shared" ca="1" si="24"/>
        <v>6</v>
      </c>
      <c r="BD12" s="209">
        <f t="shared" ca="1" si="7"/>
        <v>24</v>
      </c>
      <c r="BF12" s="173" t="str">
        <f t="shared" ca="1" si="8"/>
        <v>Iberdrola USA</v>
      </c>
      <c r="BG12" s="173" t="str">
        <f t="shared" ca="1" si="9"/>
        <v>A-</v>
      </c>
      <c r="BH12" s="173">
        <f t="shared" ca="1" si="9"/>
        <v>20</v>
      </c>
      <c r="BI12" s="173" t="str">
        <f t="shared" ca="1" si="9"/>
        <v>**EAST</v>
      </c>
    </row>
    <row r="13" spans="1:61" ht="13.8" x14ac:dyDescent="0.25">
      <c r="A13" s="223" t="s">
        <v>395</v>
      </c>
      <c r="B13" s="224" t="s">
        <v>139</v>
      </c>
      <c r="C13" s="224">
        <v>20</v>
      </c>
      <c r="D13" s="224" t="s">
        <v>396</v>
      </c>
      <c r="E13" s="225" t="str">
        <f t="shared" ca="1" si="0"/>
        <v>R</v>
      </c>
      <c r="F13" s="348"/>
      <c r="G13" s="349">
        <f t="shared" ca="1" si="1"/>
        <v>32</v>
      </c>
      <c r="H13" s="350"/>
      <c r="I13" s="235"/>
      <c r="J13" s="217" t="s">
        <v>143</v>
      </c>
      <c r="K13" s="235"/>
      <c r="L13" s="217">
        <f t="shared" si="10"/>
        <v>5</v>
      </c>
      <c r="M13" s="218">
        <f t="shared" si="11"/>
        <v>8.6206896551724144E-2</v>
      </c>
      <c r="N13" s="235"/>
      <c r="O13" s="217">
        <f t="shared" ca="1" si="12"/>
        <v>4</v>
      </c>
      <c r="P13" s="218">
        <f t="shared" ca="1" si="13"/>
        <v>0.10810810810810811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1</v>
      </c>
      <c r="V13" s="218">
        <f t="shared" ca="1" si="17"/>
        <v>0.33333333333333331</v>
      </c>
      <c r="W13" s="235"/>
      <c r="X13" s="186" t="s">
        <v>242</v>
      </c>
      <c r="Y13" s="186">
        <v>16</v>
      </c>
      <c r="Z13" s="186">
        <v>1</v>
      </c>
      <c r="AA13" s="188">
        <f t="shared" ca="1" si="18"/>
        <v>5</v>
      </c>
      <c r="AE13" s="184"/>
      <c r="AF13" s="169">
        <f t="shared" si="2"/>
        <v>1</v>
      </c>
      <c r="AG13" s="169">
        <f t="shared" ca="1" si="3"/>
        <v>1</v>
      </c>
      <c r="AH13" s="169" t="str">
        <f t="shared" ca="1" si="19"/>
        <v/>
      </c>
      <c r="AJ13" s="169">
        <f t="shared" ca="1" si="4"/>
        <v>21</v>
      </c>
      <c r="AK13" s="169" t="str">
        <f t="shared" ca="1" si="20"/>
        <v>BBB+</v>
      </c>
      <c r="AL13" s="169">
        <f t="shared" ca="1" si="20"/>
        <v>19</v>
      </c>
      <c r="AM13" s="169" t="str">
        <f t="shared" ca="1" si="5"/>
        <v>Change</v>
      </c>
      <c r="AQ13" s="207" t="s">
        <v>249</v>
      </c>
      <c r="AR13" s="207" t="s">
        <v>140</v>
      </c>
      <c r="AS13" s="207">
        <v>19</v>
      </c>
      <c r="AT13" s="207" t="s">
        <v>250</v>
      </c>
      <c r="AV13" s="168">
        <f t="shared" si="21"/>
        <v>12</v>
      </c>
      <c r="AW13" s="168">
        <f>COUNTIF( AV$7:AV13, AV13 )</f>
        <v>3</v>
      </c>
      <c r="AX13" s="208">
        <f t="shared" si="22"/>
        <v>12.3</v>
      </c>
      <c r="AY13" s="168">
        <f t="shared" si="23"/>
        <v>14</v>
      </c>
      <c r="AZ13" s="169"/>
      <c r="BA13" s="169"/>
      <c r="BC13" s="168">
        <f t="shared" ca="1" si="24"/>
        <v>7</v>
      </c>
      <c r="BD13" s="209">
        <f t="shared" ca="1" si="7"/>
        <v>26</v>
      </c>
      <c r="BF13" s="173" t="str">
        <f t="shared" ca="1" si="8"/>
        <v>Integrys Energy Group, Inc.</v>
      </c>
      <c r="BG13" s="173" t="str">
        <f t="shared" ca="1" si="9"/>
        <v>A-</v>
      </c>
      <c r="BH13" s="173">
        <f t="shared" ca="1" si="9"/>
        <v>20</v>
      </c>
      <c r="BI13" s="173" t="str">
        <f t="shared" ca="1" si="9"/>
        <v>TEG</v>
      </c>
    </row>
    <row r="14" spans="1:61" ht="13.8" x14ac:dyDescent="0.25">
      <c r="A14" s="223" t="s">
        <v>240</v>
      </c>
      <c r="B14" s="224" t="s">
        <v>139</v>
      </c>
      <c r="C14" s="224">
        <v>20</v>
      </c>
      <c r="D14" s="224" t="s">
        <v>241</v>
      </c>
      <c r="E14" s="225" t="str">
        <f t="shared" ca="1" si="0"/>
        <v>MR</v>
      </c>
      <c r="F14" s="348"/>
      <c r="G14" s="349">
        <f t="shared" ca="1" si="1"/>
        <v>35</v>
      </c>
      <c r="H14" s="350"/>
      <c r="I14" s="236"/>
      <c r="J14" s="211" t="s">
        <v>144</v>
      </c>
      <c r="K14" s="236"/>
      <c r="L14" s="211">
        <f>SUM(L8:L13)</f>
        <v>58</v>
      </c>
      <c r="M14" s="212">
        <f>L14/L$14</f>
        <v>1</v>
      </c>
      <c r="N14" s="236"/>
      <c r="O14" s="211">
        <f ca="1">SUM(O8:O13)</f>
        <v>37</v>
      </c>
      <c r="P14" s="212">
        <f ca="1">O14/O$14</f>
        <v>1</v>
      </c>
      <c r="Q14" s="236"/>
      <c r="R14" s="211">
        <f ca="1">SUM(R8:R13)</f>
        <v>18</v>
      </c>
      <c r="S14" s="212">
        <f ca="1">R14/R$14</f>
        <v>1</v>
      </c>
      <c r="T14" s="236"/>
      <c r="U14" s="211">
        <f ca="1">SUM(U8:U13)</f>
        <v>3</v>
      </c>
      <c r="V14" s="212">
        <f ca="1">U14/U$14</f>
        <v>1</v>
      </c>
      <c r="W14" s="236"/>
      <c r="Y14" s="190">
        <f>SUMPRODUCT( L8:L13, Y8:Y13 ) / L14</f>
        <v>18.379310344827587</v>
      </c>
      <c r="Z14" s="190"/>
      <c r="AA14" s="189">
        <f ca="1">SUM(AA8:AA13)</f>
        <v>58</v>
      </c>
      <c r="AE14" s="184"/>
      <c r="AF14" s="169">
        <f t="shared" si="2"/>
        <v>1</v>
      </c>
      <c r="AG14" s="169" t="str">
        <f t="shared" ca="1" si="3"/>
        <v/>
      </c>
      <c r="AH14" s="169" t="str">
        <f t="shared" ca="1" si="19"/>
        <v/>
      </c>
      <c r="AJ14" s="169">
        <f t="shared" ca="1" si="4"/>
        <v>13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5"/>
        <v/>
      </c>
      <c r="AQ14" s="207" t="s">
        <v>254</v>
      </c>
      <c r="AR14" s="207" t="s">
        <v>141</v>
      </c>
      <c r="AS14" s="207">
        <v>18</v>
      </c>
      <c r="AT14" s="207" t="s">
        <v>378</v>
      </c>
      <c r="AV14" s="168">
        <f>IF( LEN( AS14 ) = 0, 99, RANK( AS14, $AS$7:$AS$63 ) )</f>
        <v>25</v>
      </c>
      <c r="AW14" s="168">
        <f>COUNTIF( AV$7:AV14, AV14 )</f>
        <v>3</v>
      </c>
      <c r="AX14" s="208">
        <f t="shared" si="22"/>
        <v>25.3</v>
      </c>
      <c r="AY14" s="168">
        <f t="shared" si="23"/>
        <v>27</v>
      </c>
      <c r="AZ14" s="169"/>
      <c r="BA14" s="169"/>
      <c r="BC14" s="168">
        <f t="shared" ca="1" si="24"/>
        <v>8</v>
      </c>
      <c r="BD14" s="209">
        <f t="shared" ca="1" si="7"/>
        <v>30</v>
      </c>
      <c r="BF14" s="173" t="str">
        <f t="shared" ca="1" si="8"/>
        <v>NextEra Energy, Inc.</v>
      </c>
      <c r="BG14" s="173" t="str">
        <f t="shared" ca="1" si="9"/>
        <v>A-</v>
      </c>
      <c r="BH14" s="173">
        <f t="shared" ca="1" si="9"/>
        <v>20</v>
      </c>
      <c r="BI14" s="173" t="str">
        <f t="shared" ca="1" si="9"/>
        <v>NEE</v>
      </c>
    </row>
    <row r="15" spans="1:61" ht="13.8" x14ac:dyDescent="0.25">
      <c r="A15" s="223" t="s">
        <v>345</v>
      </c>
      <c r="B15" s="224" t="s">
        <v>139</v>
      </c>
      <c r="C15" s="224">
        <v>20</v>
      </c>
      <c r="D15" s="224" t="s">
        <v>346</v>
      </c>
      <c r="E15" s="225" t="str">
        <f t="shared" ca="1" si="0"/>
        <v>R</v>
      </c>
      <c r="F15" s="348"/>
      <c r="G15" s="349">
        <f t="shared" ca="1" si="1"/>
        <v>58</v>
      </c>
      <c r="H15" s="350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1</v>
      </c>
      <c r="AG15" s="169" t="str">
        <f t="shared" ca="1" si="3"/>
        <v/>
      </c>
      <c r="AH15" s="169" t="str">
        <f t="shared" ca="1" si="19"/>
        <v/>
      </c>
      <c r="AJ15" s="169">
        <f t="shared" ca="1" si="4"/>
        <v>14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5"/>
        <v/>
      </c>
      <c r="AQ15" s="207" t="s">
        <v>256</v>
      </c>
      <c r="AR15" s="207" t="s">
        <v>142</v>
      </c>
      <c r="AS15" s="207">
        <v>17</v>
      </c>
      <c r="AT15" s="207" t="s">
        <v>257</v>
      </c>
      <c r="AV15" s="168">
        <f t="shared" si="21"/>
        <v>41</v>
      </c>
      <c r="AW15" s="168">
        <f>COUNTIF( AV$7:AV15, AV15 )</f>
        <v>3</v>
      </c>
      <c r="AX15" s="208">
        <f t="shared" si="22"/>
        <v>41.3</v>
      </c>
      <c r="AY15" s="168">
        <f t="shared" si="23"/>
        <v>43</v>
      </c>
      <c r="AZ15" s="169"/>
      <c r="BA15" s="169"/>
      <c r="BC15" s="168">
        <f t="shared" ca="1" si="24"/>
        <v>9</v>
      </c>
      <c r="BD15" s="209">
        <f t="shared" ca="1" si="7"/>
        <v>52</v>
      </c>
      <c r="BF15" s="173" t="str">
        <f t="shared" ca="1" si="8"/>
        <v>Vectren Corporation</v>
      </c>
      <c r="BG15" s="173" t="str">
        <f t="shared" ca="1" si="9"/>
        <v>A-</v>
      </c>
      <c r="BH15" s="173">
        <f t="shared" ca="1" si="9"/>
        <v>20</v>
      </c>
      <c r="BI15" s="173" t="str">
        <f t="shared" ca="1" si="9"/>
        <v>VVC</v>
      </c>
    </row>
    <row r="16" spans="1:61" ht="13.8" x14ac:dyDescent="0.25">
      <c r="A16" s="223" t="s">
        <v>247</v>
      </c>
      <c r="B16" s="224" t="s">
        <v>139</v>
      </c>
      <c r="C16" s="224">
        <v>20</v>
      </c>
      <c r="D16" s="224" t="s">
        <v>248</v>
      </c>
      <c r="E16" s="225" t="str">
        <f t="shared" ca="1" si="0"/>
        <v>R</v>
      </c>
      <c r="F16" s="348"/>
      <c r="G16" s="349">
        <f t="shared" ca="1" si="1"/>
        <v>60</v>
      </c>
      <c r="H16" s="350"/>
      <c r="I16" s="232"/>
      <c r="J16" s="210" t="s">
        <v>253</v>
      </c>
      <c r="K16" s="232"/>
      <c r="L16" s="386">
        <f t="array" ref="L16">SUM( IF( LEN( $C$7:$C$65 ) = 0, 0, $C$7:$C$65 ) ) / SUM( IF( LEN( $C$7:$C$65 ) = 0, 0, 1  ) )</f>
        <v>18.293103448275861</v>
      </c>
      <c r="M16" s="387"/>
      <c r="N16" s="232"/>
      <c r="O16" s="386">
        <f t="array" aca="1" ref="O16" ca="1">SUM( IF( LEN( $C$7:$C$65 ) = 0, 0, IF( $E$7:$E$65 = O3, $C$7:$C$65, 0 ) ) ) / SUM( IF( LEN( $C$7:$C$65 ) = 0, 0, IF( $E$7:$E$65 = O3, 1, 0 ) ) )</f>
        <v>18.378378378378379</v>
      </c>
      <c r="P16" s="387"/>
      <c r="Q16" s="232"/>
      <c r="R16" s="386">
        <f t="array" aca="1" ref="R16" ca="1">SUM( IF( LEN( $C$7:$C$65 ) = 0, 0, IF( $E$7:$E$65 = R3, $C$7:$C$65, 0 ) ) ) / SUM( IF( LEN( $C$7:$C$65 ) = 0, 0, IF( $E$7:$E$65 = R3, 1, 0 ) ) )</f>
        <v>18.666666666666668</v>
      </c>
      <c r="S16" s="387"/>
      <c r="T16" s="232"/>
      <c r="U16" s="386">
        <f t="array" aca="1" ref="U16" ca="1">SUM( IF( LEN( $C$7:$C$65 ) = 0, 0, IF( $E$7:$E$65 = U3, $C$7:$C$65, 0 ) ) ) / SUM( IF( LEN( $C$7:$C$65 ) = 0, 0, IF( $E$7:$E$65 = U3, 1, 0 ) ) )</f>
        <v>15</v>
      </c>
      <c r="V16" s="388"/>
      <c r="W16" s="232"/>
      <c r="AE16" s="184"/>
      <c r="AF16" s="169">
        <f t="shared" si="2"/>
        <v>1</v>
      </c>
      <c r="AG16" s="169" t="str">
        <f t="shared" ca="1" si="3"/>
        <v/>
      </c>
      <c r="AH16" s="169" t="str">
        <f t="shared" ca="1" si="19"/>
        <v/>
      </c>
      <c r="AJ16" s="169">
        <f t="shared" ca="1" si="4"/>
        <v>15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5"/>
        <v/>
      </c>
      <c r="AQ16" s="207" t="s">
        <v>227</v>
      </c>
      <c r="AR16" s="207" t="s">
        <v>139</v>
      </c>
      <c r="AS16" s="207">
        <v>20</v>
      </c>
      <c r="AT16" s="207" t="s">
        <v>228</v>
      </c>
      <c r="AV16" s="168">
        <f t="shared" si="21"/>
        <v>3</v>
      </c>
      <c r="AW16" s="168">
        <f>COUNTIF( AV$7:AV16, AV16 )</f>
        <v>1</v>
      </c>
      <c r="AX16" s="208">
        <f t="shared" si="22"/>
        <v>3.1</v>
      </c>
      <c r="AY16" s="168">
        <f t="shared" si="23"/>
        <v>3</v>
      </c>
      <c r="AZ16" s="169"/>
      <c r="BA16" s="169"/>
      <c r="BC16" s="168">
        <f t="shared" ca="1" si="24"/>
        <v>10</v>
      </c>
      <c r="BD16" s="209">
        <f t="shared" ca="1" si="7"/>
        <v>54</v>
      </c>
      <c r="BF16" s="173" t="str">
        <f t="shared" ca="1" si="8"/>
        <v>Wisconsin Energy Corporation</v>
      </c>
      <c r="BG16" s="173" t="str">
        <f t="shared" ca="1" si="9"/>
        <v>A-</v>
      </c>
      <c r="BH16" s="173">
        <f t="shared" ca="1" si="9"/>
        <v>20</v>
      </c>
      <c r="BI16" s="173" t="str">
        <f t="shared" ca="1" si="9"/>
        <v>WEC</v>
      </c>
    </row>
    <row r="17" spans="1:61" ht="13.8" x14ac:dyDescent="0.25">
      <c r="A17" s="223" t="s">
        <v>251</v>
      </c>
      <c r="B17" s="224" t="s">
        <v>139</v>
      </c>
      <c r="C17" s="224">
        <v>20</v>
      </c>
      <c r="D17" s="224" t="s">
        <v>252</v>
      </c>
      <c r="E17" s="225" t="str">
        <f t="shared" ca="1" si="0"/>
        <v>R</v>
      </c>
      <c r="F17" s="348"/>
      <c r="G17" s="349">
        <f t="shared" ca="1" si="1"/>
        <v>61</v>
      </c>
      <c r="H17" s="350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1</v>
      </c>
      <c r="AG17" s="169" t="str">
        <f t="shared" ca="1" si="3"/>
        <v/>
      </c>
      <c r="AH17" s="169" t="str">
        <f t="shared" ca="1" si="19"/>
        <v/>
      </c>
      <c r="AJ17" s="169">
        <f t="shared" ca="1" si="4"/>
        <v>16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5"/>
        <v/>
      </c>
      <c r="AQ17" s="207" t="s">
        <v>361</v>
      </c>
      <c r="AR17" s="207" t="s">
        <v>139</v>
      </c>
      <c r="AS17" s="207">
        <v>20</v>
      </c>
      <c r="AT17" s="207" t="s">
        <v>194</v>
      </c>
      <c r="AV17" s="168">
        <f t="shared" si="21"/>
        <v>3</v>
      </c>
      <c r="AW17" s="168">
        <f>COUNTIF( AV$7:AV17, AV17 )</f>
        <v>2</v>
      </c>
      <c r="AX17" s="208">
        <f t="shared" si="22"/>
        <v>3.2</v>
      </c>
      <c r="AY17" s="168">
        <f t="shared" si="23"/>
        <v>4</v>
      </c>
      <c r="AZ17" s="169"/>
      <c r="BA17" s="169"/>
      <c r="BC17" s="168">
        <f t="shared" ca="1" si="24"/>
        <v>11</v>
      </c>
      <c r="BD17" s="209">
        <f t="shared" ca="1" si="7"/>
        <v>55</v>
      </c>
      <c r="BF17" s="173" t="str">
        <f t="shared" ca="1" si="8"/>
        <v>Xcel Energy Inc.</v>
      </c>
      <c r="BG17" s="173" t="str">
        <f t="shared" ca="1" si="9"/>
        <v>A-</v>
      </c>
      <c r="BH17" s="173">
        <f t="shared" ca="1" si="9"/>
        <v>20</v>
      </c>
      <c r="BI17" s="173" t="str">
        <f t="shared" ca="1" si="9"/>
        <v>XEL</v>
      </c>
    </row>
    <row r="18" spans="1:61" ht="13.8" x14ac:dyDescent="0.25">
      <c r="A18" s="223" t="s">
        <v>217</v>
      </c>
      <c r="B18" s="224" t="s">
        <v>140</v>
      </c>
      <c r="C18" s="224">
        <v>19</v>
      </c>
      <c r="D18" s="224" t="s">
        <v>218</v>
      </c>
      <c r="E18" s="225" t="str">
        <f t="shared" ca="1" si="0"/>
        <v>R</v>
      </c>
      <c r="F18" s="348"/>
      <c r="G18" s="349">
        <f t="shared" ca="1" si="1"/>
        <v>7</v>
      </c>
      <c r="H18" s="350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9"/>
        <v/>
      </c>
      <c r="AJ18" s="169">
        <f t="shared" ca="1" si="4"/>
        <v>17</v>
      </c>
      <c r="AK18" s="169" t="str">
        <f t="shared" ca="1" si="20"/>
        <v>BBB+</v>
      </c>
      <c r="AL18" s="169">
        <f t="shared" ca="1" si="20"/>
        <v>19</v>
      </c>
      <c r="AM18" s="169" t="str">
        <f t="shared" ca="1" si="5"/>
        <v/>
      </c>
      <c r="AQ18" s="207" t="s">
        <v>259</v>
      </c>
      <c r="AR18" s="207" t="s">
        <v>142</v>
      </c>
      <c r="AS18" s="207">
        <v>17</v>
      </c>
      <c r="AT18" s="207" t="s">
        <v>260</v>
      </c>
      <c r="AV18" s="168">
        <f t="shared" si="21"/>
        <v>41</v>
      </c>
      <c r="AW18" s="168">
        <f>COUNTIF( AV$7:AV18, AV18 )</f>
        <v>4</v>
      </c>
      <c r="AX18" s="208">
        <f t="shared" si="22"/>
        <v>41.4</v>
      </c>
      <c r="AY18" s="168">
        <f t="shared" si="23"/>
        <v>44</v>
      </c>
      <c r="AZ18" s="169"/>
      <c r="BA18" s="169"/>
      <c r="BC18" s="168">
        <f t="shared" ca="1" si="24"/>
        <v>12</v>
      </c>
      <c r="BD18" s="209">
        <f t="shared" ca="1" si="7"/>
        <v>1</v>
      </c>
      <c r="BF18" s="173" t="str">
        <f t="shared" ca="1" si="8"/>
        <v>ALLETE, Inc.</v>
      </c>
      <c r="BG18" s="173" t="str">
        <f t="shared" ca="1" si="9"/>
        <v>BBB+</v>
      </c>
      <c r="BH18" s="173">
        <f t="shared" ca="1" si="9"/>
        <v>19</v>
      </c>
      <c r="BI18" s="173" t="str">
        <f t="shared" ca="1" si="9"/>
        <v>ALE</v>
      </c>
    </row>
    <row r="19" spans="1:61" ht="13.8" x14ac:dyDescent="0.25">
      <c r="A19" s="223" t="s">
        <v>219</v>
      </c>
      <c r="B19" s="224" t="s">
        <v>140</v>
      </c>
      <c r="C19" s="224">
        <v>19</v>
      </c>
      <c r="D19" s="224" t="s">
        <v>220</v>
      </c>
      <c r="E19" s="225" t="str">
        <f t="shared" ca="1" si="0"/>
        <v>R</v>
      </c>
      <c r="F19" s="348"/>
      <c r="G19" s="349">
        <f t="shared" ca="1" si="1"/>
        <v>8</v>
      </c>
      <c r="H19" s="350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9"/>
        <v/>
      </c>
      <c r="AJ19" s="169">
        <f t="shared" ca="1" si="4"/>
        <v>18</v>
      </c>
      <c r="AK19" s="169" t="str">
        <f t="shared" ca="1" si="20"/>
        <v>BBB+</v>
      </c>
      <c r="AL19" s="169">
        <f t="shared" ca="1" si="20"/>
        <v>19</v>
      </c>
      <c r="AM19" s="169" t="str">
        <f t="shared" ca="1" si="5"/>
        <v/>
      </c>
      <c r="AQ19" s="207" t="s">
        <v>261</v>
      </c>
      <c r="AR19" s="207" t="s">
        <v>140</v>
      </c>
      <c r="AS19" s="207">
        <v>19</v>
      </c>
      <c r="AT19" s="207" t="s">
        <v>262</v>
      </c>
      <c r="AV19" s="168">
        <f t="shared" si="21"/>
        <v>12</v>
      </c>
      <c r="AW19" s="168">
        <f>COUNTIF( AV$7:AV19, AV19 )</f>
        <v>4</v>
      </c>
      <c r="AX19" s="208">
        <f t="shared" si="22"/>
        <v>12.4</v>
      </c>
      <c r="AY19" s="168">
        <f t="shared" si="23"/>
        <v>15</v>
      </c>
      <c r="AZ19" s="169"/>
      <c r="BA19" s="169"/>
      <c r="BC19" s="168">
        <f t="shared" ca="1" si="24"/>
        <v>13</v>
      </c>
      <c r="BD19" s="209">
        <f t="shared" ca="1" si="7"/>
        <v>2</v>
      </c>
      <c r="BF19" s="173" t="str">
        <f t="shared" ca="1" si="8"/>
        <v>Alliant Energy Corporation</v>
      </c>
      <c r="BG19" s="173" t="str">
        <f t="shared" ca="1" si="9"/>
        <v>BBB+</v>
      </c>
      <c r="BH19" s="173">
        <f t="shared" ca="1" si="9"/>
        <v>19</v>
      </c>
      <c r="BI19" s="173" t="str">
        <f t="shared" ca="1" si="9"/>
        <v>LNT</v>
      </c>
    </row>
    <row r="20" spans="1:61" ht="13.8" x14ac:dyDescent="0.25">
      <c r="A20" s="223" t="s">
        <v>249</v>
      </c>
      <c r="B20" s="224" t="s">
        <v>140</v>
      </c>
      <c r="C20" s="224">
        <v>19</v>
      </c>
      <c r="D20" s="224" t="s">
        <v>250</v>
      </c>
      <c r="E20" s="225" t="str">
        <f t="shared" ca="1" si="0"/>
        <v>MR</v>
      </c>
      <c r="F20" s="348"/>
      <c r="G20" s="349">
        <f t="shared" ca="1" si="1"/>
        <v>13</v>
      </c>
      <c r="H20" s="350"/>
      <c r="I20" s="352"/>
      <c r="K20" s="352"/>
      <c r="N20" s="352"/>
      <c r="O20" s="173"/>
      <c r="Q20" s="352"/>
      <c r="T20" s="352"/>
      <c r="W20" s="352"/>
      <c r="AE20" s="184"/>
      <c r="AF20" s="169">
        <f t="shared" si="2"/>
        <v>0</v>
      </c>
      <c r="AG20" s="169" t="str">
        <f t="shared" ca="1" si="3"/>
        <v/>
      </c>
      <c r="AH20" s="169" t="str">
        <f t="shared" ca="1" si="19"/>
        <v/>
      </c>
      <c r="AJ20" s="169">
        <f t="shared" ca="1" si="4"/>
        <v>19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5"/>
        <v/>
      </c>
      <c r="AQ20" s="207" t="s">
        <v>263</v>
      </c>
      <c r="AR20" s="207" t="s">
        <v>139</v>
      </c>
      <c r="AS20" s="207">
        <v>20</v>
      </c>
      <c r="AT20" s="207" t="s">
        <v>264</v>
      </c>
      <c r="AV20" s="168">
        <f t="shared" si="21"/>
        <v>3</v>
      </c>
      <c r="AW20" s="168">
        <f>COUNTIF( AV$7:AV20, AV20 )</f>
        <v>3</v>
      </c>
      <c r="AX20" s="208">
        <f t="shared" si="22"/>
        <v>3.3</v>
      </c>
      <c r="AY20" s="168">
        <f t="shared" si="23"/>
        <v>5</v>
      </c>
      <c r="AZ20" s="169"/>
      <c r="BA20" s="169"/>
      <c r="BC20" s="168">
        <f t="shared" ca="1" si="24"/>
        <v>14</v>
      </c>
      <c r="BD20" s="209">
        <f t="shared" ca="1" si="7"/>
        <v>7</v>
      </c>
      <c r="BF20" s="173" t="str">
        <f t="shared" ca="1" si="8"/>
        <v>CenterPoint Energy, Inc.</v>
      </c>
      <c r="BG20" s="173" t="str">
        <f t="shared" ca="1" si="9"/>
        <v>BBB+</v>
      </c>
      <c r="BH20" s="173">
        <f t="shared" ca="1" si="9"/>
        <v>19</v>
      </c>
      <c r="BI20" s="173" t="str">
        <f t="shared" ca="1" si="9"/>
        <v>CNP</v>
      </c>
    </row>
    <row r="21" spans="1:61" ht="13.8" x14ac:dyDescent="0.25">
      <c r="A21" s="223" t="s">
        <v>261</v>
      </c>
      <c r="B21" s="224" t="s">
        <v>140</v>
      </c>
      <c r="C21" s="224">
        <v>19</v>
      </c>
      <c r="D21" s="224" t="s">
        <v>262</v>
      </c>
      <c r="E21" s="225" t="str">
        <f t="shared" ca="1" si="0"/>
        <v>R</v>
      </c>
      <c r="F21" s="348"/>
      <c r="G21" s="349">
        <f t="shared" ca="1" si="1"/>
        <v>21</v>
      </c>
      <c r="H21" s="350"/>
      <c r="I21" s="237"/>
      <c r="K21" s="237"/>
      <c r="N21" s="237"/>
      <c r="Q21" s="237"/>
      <c r="T21" s="237"/>
      <c r="W21" s="237"/>
      <c r="AE21" s="184"/>
      <c r="AF21" s="169">
        <f t="shared" si="2"/>
        <v>0</v>
      </c>
      <c r="AG21" s="169" t="str">
        <f t="shared" ca="1" si="3"/>
        <v/>
      </c>
      <c r="AH21" s="169" t="str">
        <f t="shared" ca="1" si="19"/>
        <v/>
      </c>
      <c r="AJ21" s="169">
        <f t="shared" ca="1" si="4"/>
        <v>20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5"/>
        <v/>
      </c>
      <c r="AQ21" s="207" t="s">
        <v>265</v>
      </c>
      <c r="AR21" s="207" t="s">
        <v>142</v>
      </c>
      <c r="AS21" s="207">
        <v>17</v>
      </c>
      <c r="AT21" s="207" t="s">
        <v>266</v>
      </c>
      <c r="AV21" s="168">
        <f t="shared" si="21"/>
        <v>41</v>
      </c>
      <c r="AW21" s="168">
        <f>COUNTIF( AV$7:AV21, AV21 )</f>
        <v>5</v>
      </c>
      <c r="AX21" s="208">
        <f t="shared" si="22"/>
        <v>41.5</v>
      </c>
      <c r="AY21" s="168">
        <f t="shared" si="23"/>
        <v>45</v>
      </c>
      <c r="AZ21" s="169"/>
      <c r="BA21" s="169"/>
      <c r="BC21" s="168">
        <f t="shared" ca="1" si="24"/>
        <v>15</v>
      </c>
      <c r="BD21" s="209">
        <f t="shared" ca="1" si="7"/>
        <v>13</v>
      </c>
      <c r="BF21" s="173" t="str">
        <f t="shared" ca="1" si="8"/>
        <v>DTE Energy Company</v>
      </c>
      <c r="BG21" s="173" t="str">
        <f t="shared" ca="1" si="9"/>
        <v>BBB+</v>
      </c>
      <c r="BH21" s="173">
        <f t="shared" ca="1" si="9"/>
        <v>19</v>
      </c>
      <c r="BI21" s="173" t="str">
        <f t="shared" ca="1" si="9"/>
        <v>DTE</v>
      </c>
    </row>
    <row r="22" spans="1:61" ht="13.8" x14ac:dyDescent="0.25">
      <c r="A22" s="223" t="s">
        <v>271</v>
      </c>
      <c r="B22" s="224" t="s">
        <v>140</v>
      </c>
      <c r="C22" s="224">
        <v>19</v>
      </c>
      <c r="D22" s="224" t="s">
        <v>272</v>
      </c>
      <c r="E22" s="225" t="str">
        <f t="shared" ca="1" si="0"/>
        <v>D</v>
      </c>
      <c r="F22" s="348"/>
      <c r="G22" s="349">
        <f t="shared" ca="1" si="1"/>
        <v>33</v>
      </c>
      <c r="H22" s="350"/>
      <c r="I22" s="237"/>
      <c r="K22" s="237"/>
      <c r="N22" s="237"/>
      <c r="Q22" s="237"/>
      <c r="T22" s="237"/>
      <c r="W22" s="237"/>
      <c r="AE22" s="184"/>
      <c r="AF22" s="169">
        <f t="shared" si="2"/>
        <v>0</v>
      </c>
      <c r="AG22" s="169" t="str">
        <f t="shared" ca="1" si="3"/>
        <v/>
      </c>
      <c r="AH22" s="169" t="str">
        <f t="shared" ca="1" si="19"/>
        <v/>
      </c>
      <c r="AJ22" s="169">
        <f t="shared" ca="1" si="4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5"/>
        <v/>
      </c>
      <c r="AQ22" s="207" t="s">
        <v>328</v>
      </c>
      <c r="AR22" s="207" t="s">
        <v>141</v>
      </c>
      <c r="AS22" s="207">
        <v>18</v>
      </c>
      <c r="AT22" s="207" t="s">
        <v>331</v>
      </c>
      <c r="AV22" s="168">
        <f t="shared" si="21"/>
        <v>25</v>
      </c>
      <c r="AW22" s="168">
        <f>COUNTIF( AV$7:AV22, AV22 )</f>
        <v>4</v>
      </c>
      <c r="AX22" s="208">
        <f t="shared" si="22"/>
        <v>25.4</v>
      </c>
      <c r="AY22" s="168">
        <f t="shared" si="23"/>
        <v>28</v>
      </c>
      <c r="AZ22" s="169"/>
      <c r="BA22" s="169"/>
      <c r="BC22" s="168">
        <f t="shared" ca="1" si="24"/>
        <v>16</v>
      </c>
      <c r="BD22" s="209">
        <f t="shared" ca="1" si="7"/>
        <v>28</v>
      </c>
      <c r="BF22" s="173" t="str">
        <f t="shared" ca="1" si="8"/>
        <v>MDU Resources Group, Inc.</v>
      </c>
      <c r="BG22" s="173" t="str">
        <f t="shared" ca="1" si="9"/>
        <v>BBB+</v>
      </c>
      <c r="BH22" s="173">
        <f t="shared" ca="1" si="9"/>
        <v>19</v>
      </c>
      <c r="BI22" s="173" t="str">
        <f t="shared" ca="1" si="9"/>
        <v>MDU</v>
      </c>
    </row>
    <row r="23" spans="1:61" ht="13.8" x14ac:dyDescent="0.25">
      <c r="A23" s="223" t="s">
        <v>408</v>
      </c>
      <c r="B23" s="224" t="s">
        <v>140</v>
      </c>
      <c r="C23" s="224">
        <v>19</v>
      </c>
      <c r="D23" s="224" t="s">
        <v>216</v>
      </c>
      <c r="E23" s="225" t="str">
        <f t="shared" ca="1" si="0"/>
        <v>MR</v>
      </c>
      <c r="F23" s="348"/>
      <c r="G23" s="349">
        <f t="shared" ca="1" si="1"/>
        <v>67</v>
      </c>
      <c r="H23" s="350"/>
      <c r="I23" s="237"/>
      <c r="K23" s="237"/>
      <c r="N23" s="237"/>
      <c r="Q23" s="237"/>
      <c r="T23" s="237"/>
      <c r="W23" s="237"/>
      <c r="AE23" s="184"/>
      <c r="AF23" s="169">
        <f t="shared" si="2"/>
        <v>0</v>
      </c>
      <c r="AG23" s="169" t="str">
        <f t="shared" ca="1" si="3"/>
        <v/>
      </c>
      <c r="AH23" s="169" t="str">
        <f t="shared" ca="1" si="19"/>
        <v/>
      </c>
      <c r="AJ23" s="169">
        <f t="shared" ca="1" si="4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5"/>
        <v/>
      </c>
      <c r="AQ23" s="207" t="s">
        <v>367</v>
      </c>
      <c r="AR23" s="207" t="s">
        <v>142</v>
      </c>
      <c r="AS23" s="207">
        <v>17</v>
      </c>
      <c r="AT23" s="207" t="s">
        <v>368</v>
      </c>
      <c r="AV23" s="168">
        <f t="shared" si="21"/>
        <v>41</v>
      </c>
      <c r="AW23" s="168">
        <f>COUNTIF( AV$7:AV23, AV23 )</f>
        <v>6</v>
      </c>
      <c r="AX23" s="208">
        <f t="shared" si="22"/>
        <v>41.6</v>
      </c>
      <c r="AY23" s="168">
        <f t="shared" si="23"/>
        <v>46</v>
      </c>
      <c r="AZ23" s="169"/>
      <c r="BA23" s="169"/>
      <c r="BC23" s="168">
        <f t="shared" ca="1" si="24"/>
        <v>17</v>
      </c>
      <c r="BD23" s="209">
        <f t="shared" ca="1" si="7"/>
        <v>29</v>
      </c>
      <c r="BF23" s="173" t="str">
        <f t="shared" ca="1" si="8"/>
        <v>MidAmerican Energy Holdings Company</v>
      </c>
      <c r="BG23" s="173" t="str">
        <f t="shared" ca="1" si="9"/>
        <v>BBB+</v>
      </c>
      <c r="BH23" s="173">
        <f t="shared" ca="1" si="9"/>
        <v>19</v>
      </c>
      <c r="BI23" s="173" t="str">
        <f t="shared" ca="1" si="9"/>
        <v>**BRK</v>
      </c>
    </row>
    <row r="24" spans="1:61" ht="13.8" x14ac:dyDescent="0.25">
      <c r="A24" s="223" t="s">
        <v>394</v>
      </c>
      <c r="B24" s="224" t="s">
        <v>140</v>
      </c>
      <c r="C24" s="224">
        <v>19</v>
      </c>
      <c r="D24" s="224" t="s">
        <v>236</v>
      </c>
      <c r="E24" s="225" t="str">
        <f t="shared" ca="1" si="0"/>
        <v>R</v>
      </c>
      <c r="F24" s="348"/>
      <c r="G24" s="349">
        <f t="shared" ca="1" si="1"/>
        <v>37</v>
      </c>
      <c r="H24" s="350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0</v>
      </c>
      <c r="AG24" s="169" t="str">
        <f t="shared" ca="1" si="3"/>
        <v/>
      </c>
      <c r="AH24" s="169" t="str">
        <f t="shared" ca="1" si="19"/>
        <v/>
      </c>
      <c r="AJ24" s="169">
        <f t="shared" ca="1" si="4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5"/>
        <v/>
      </c>
      <c r="AQ24" s="207" t="s">
        <v>371</v>
      </c>
      <c r="AR24" s="207" t="s">
        <v>187</v>
      </c>
      <c r="AS24" s="207">
        <v>9</v>
      </c>
      <c r="AT24" s="207" t="s">
        <v>359</v>
      </c>
      <c r="AV24" s="168">
        <f t="shared" si="21"/>
        <v>55</v>
      </c>
      <c r="AW24" s="168">
        <f>COUNTIF( AV$7:AV24, AV24 )</f>
        <v>1</v>
      </c>
      <c r="AX24" s="208">
        <f t="shared" si="22"/>
        <v>55.1</v>
      </c>
      <c r="AY24" s="168">
        <f t="shared" si="23"/>
        <v>55</v>
      </c>
      <c r="AZ24" s="169"/>
      <c r="BA24" s="169"/>
      <c r="BC24" s="168">
        <f t="shared" ca="1" si="24"/>
        <v>18</v>
      </c>
      <c r="BD24" s="209">
        <f t="shared" ca="1" si="7"/>
        <v>32</v>
      </c>
      <c r="BF24" s="173" t="str">
        <f t="shared" ca="1" si="8"/>
        <v>Eversource</v>
      </c>
      <c r="BG24" s="173" t="str">
        <f t="shared" ca="1" si="9"/>
        <v>BBB+</v>
      </c>
      <c r="BH24" s="173">
        <f t="shared" ca="1" si="9"/>
        <v>19</v>
      </c>
      <c r="BI24" s="173" t="str">
        <f t="shared" ca="1" si="9"/>
        <v>ES</v>
      </c>
    </row>
    <row r="25" spans="1:61" ht="13.8" x14ac:dyDescent="0.25">
      <c r="A25" s="223" t="s">
        <v>277</v>
      </c>
      <c r="B25" s="224" t="s">
        <v>140</v>
      </c>
      <c r="C25" s="224">
        <v>19</v>
      </c>
      <c r="D25" s="224" t="s">
        <v>278</v>
      </c>
      <c r="E25" s="225" t="str">
        <f t="shared" ca="1" si="0"/>
        <v>MR</v>
      </c>
      <c r="F25" s="348"/>
      <c r="G25" s="349">
        <f t="shared" ca="1" si="1"/>
        <v>41</v>
      </c>
      <c r="H25" s="350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0</v>
      </c>
      <c r="AG25" s="169" t="str">
        <f t="shared" ca="1" si="3"/>
        <v/>
      </c>
      <c r="AH25" s="169" t="str">
        <f t="shared" ca="1" si="19"/>
        <v/>
      </c>
      <c r="AJ25" s="169">
        <f t="shared" ca="1" si="4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5"/>
        <v/>
      </c>
      <c r="AQ25" s="207" t="s">
        <v>267</v>
      </c>
      <c r="AR25" s="207" t="s">
        <v>141</v>
      </c>
      <c r="AS25" s="207">
        <v>18</v>
      </c>
      <c r="AT25" s="207" t="s">
        <v>268</v>
      </c>
      <c r="AV25" s="168">
        <f t="shared" si="21"/>
        <v>25</v>
      </c>
      <c r="AW25" s="168">
        <f>COUNTIF( AV$7:AV25, AV25 )</f>
        <v>5</v>
      </c>
      <c r="AX25" s="208">
        <f t="shared" si="22"/>
        <v>25.5</v>
      </c>
      <c r="AY25" s="168">
        <f t="shared" si="23"/>
        <v>29</v>
      </c>
      <c r="AZ25" s="169"/>
      <c r="BA25" s="169"/>
      <c r="BC25" s="168">
        <f t="shared" ca="1" si="24"/>
        <v>19</v>
      </c>
      <c r="BD25" s="209">
        <f t="shared" ca="1" si="7"/>
        <v>36</v>
      </c>
      <c r="BF25" s="173" t="str">
        <f t="shared" ca="1" si="8"/>
        <v>OGE Energy Corp.</v>
      </c>
      <c r="BG25" s="173" t="str">
        <f t="shared" ca="1" si="9"/>
        <v>BBB+</v>
      </c>
      <c r="BH25" s="173">
        <f t="shared" ca="1" si="9"/>
        <v>19</v>
      </c>
      <c r="BI25" s="173" t="str">
        <f t="shared" ca="1" si="9"/>
        <v>OGE</v>
      </c>
    </row>
    <row r="26" spans="1:61" ht="13.8" x14ac:dyDescent="0.25">
      <c r="A26" s="223" t="s">
        <v>382</v>
      </c>
      <c r="B26" s="224" t="s">
        <v>140</v>
      </c>
      <c r="C26" s="224">
        <v>19</v>
      </c>
      <c r="D26" s="224" t="s">
        <v>383</v>
      </c>
      <c r="E26" s="225" t="str">
        <f t="shared" ca="1" si="0"/>
        <v>MR</v>
      </c>
      <c r="F26" s="348"/>
      <c r="G26" s="349">
        <f t="shared" ca="1" si="1"/>
        <v>43</v>
      </c>
      <c r="H26" s="350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0</v>
      </c>
      <c r="AG26" s="169" t="str">
        <f t="shared" ca="1" si="3"/>
        <v/>
      </c>
      <c r="AH26" s="169" t="str">
        <f t="shared" ca="1" si="19"/>
        <v/>
      </c>
      <c r="AJ26" s="169">
        <f t="shared" ca="1" si="4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5"/>
        <v/>
      </c>
      <c r="AQ26" s="207" t="s">
        <v>269</v>
      </c>
      <c r="AR26" s="207" t="s">
        <v>141</v>
      </c>
      <c r="AS26" s="207">
        <v>18</v>
      </c>
      <c r="AT26" s="207" t="s">
        <v>270</v>
      </c>
      <c r="AV26" s="168">
        <f t="shared" si="21"/>
        <v>25</v>
      </c>
      <c r="AW26" s="168">
        <f>COUNTIF( AV$7:AV26, AV26 )</f>
        <v>6</v>
      </c>
      <c r="AX26" s="208">
        <f t="shared" si="22"/>
        <v>25.6</v>
      </c>
      <c r="AY26" s="168">
        <f t="shared" si="23"/>
        <v>30</v>
      </c>
      <c r="AZ26" s="169"/>
      <c r="BA26" s="169"/>
      <c r="BC26" s="168">
        <f t="shared" ca="1" si="24"/>
        <v>20</v>
      </c>
      <c r="BD26" s="209">
        <f t="shared" ca="1" si="7"/>
        <v>38</v>
      </c>
      <c r="BF26" s="173" t="str">
        <f t="shared" ca="1" si="8"/>
        <v>Pepco Holdings, Inc.</v>
      </c>
      <c r="BG26" s="173" t="str">
        <f t="shared" ca="1" si="9"/>
        <v>BBB+</v>
      </c>
      <c r="BH26" s="173">
        <f t="shared" ca="1" si="9"/>
        <v>19</v>
      </c>
      <c r="BI26" s="173" t="str">
        <f t="shared" ca="1" si="9"/>
        <v>POM</v>
      </c>
    </row>
    <row r="27" spans="1:61" ht="13.8" x14ac:dyDescent="0.25">
      <c r="A27" s="223" t="s">
        <v>427</v>
      </c>
      <c r="B27" s="224" t="s">
        <v>140</v>
      </c>
      <c r="C27" s="224">
        <v>19</v>
      </c>
      <c r="D27" s="224" t="s">
        <v>428</v>
      </c>
      <c r="E27" s="225" t="str">
        <f t="shared" ca="1" si="0"/>
        <v>R</v>
      </c>
      <c r="F27" s="348"/>
      <c r="G27" s="349">
        <f t="shared" ca="1" si="1"/>
        <v>49</v>
      </c>
      <c r="H27" s="350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0</v>
      </c>
      <c r="AG27" s="169" t="str">
        <f t="shared" ca="1" si="3"/>
        <v/>
      </c>
      <c r="AH27" s="169" t="str">
        <f t="shared" ca="1" si="19"/>
        <v/>
      </c>
      <c r="AJ27" s="169">
        <f t="shared" ca="1" si="4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5"/>
        <v/>
      </c>
      <c r="AQ27" s="207" t="s">
        <v>275</v>
      </c>
      <c r="AR27" s="207" t="s">
        <v>142</v>
      </c>
      <c r="AS27" s="207">
        <v>17</v>
      </c>
      <c r="AT27" s="207" t="s">
        <v>276</v>
      </c>
      <c r="AV27" s="168">
        <f t="shared" si="21"/>
        <v>41</v>
      </c>
      <c r="AW27" s="168">
        <f>COUNTIF( AV$7:AV27, AV27 )</f>
        <v>7</v>
      </c>
      <c r="AX27" s="208">
        <f t="shared" si="22"/>
        <v>41.7</v>
      </c>
      <c r="AY27" s="168">
        <f t="shared" si="23"/>
        <v>47</v>
      </c>
      <c r="AZ27" s="169"/>
      <c r="BA27" s="169"/>
      <c r="BC27" s="168">
        <f t="shared" ca="1" si="24"/>
        <v>21</v>
      </c>
      <c r="BD27" s="209">
        <f t="shared" ca="1" si="7"/>
        <v>44</v>
      </c>
      <c r="BF27" s="173" t="str">
        <f t="shared" ca="1" si="8"/>
        <v>Progress Energy, Inc.</v>
      </c>
      <c r="BG27" s="173" t="str">
        <f t="shared" ca="1" si="9"/>
        <v>BBB+</v>
      </c>
      <c r="BH27" s="173">
        <f t="shared" ca="1" si="9"/>
        <v>19</v>
      </c>
      <c r="BI27" s="173" t="str">
        <f t="shared" ca="1" si="9"/>
        <v>PGN</v>
      </c>
    </row>
    <row r="28" spans="1:61" ht="13.8" x14ac:dyDescent="0.25">
      <c r="A28" s="223" t="s">
        <v>347</v>
      </c>
      <c r="B28" s="224" t="s">
        <v>140</v>
      </c>
      <c r="C28" s="224">
        <v>19</v>
      </c>
      <c r="D28" s="224" t="s">
        <v>348</v>
      </c>
      <c r="E28" s="225" t="str">
        <f t="shared" ca="1" si="0"/>
        <v>MR</v>
      </c>
      <c r="F28" s="348"/>
      <c r="G28" s="349">
        <f t="shared" ca="1" si="1"/>
        <v>51</v>
      </c>
      <c r="H28" s="350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0</v>
      </c>
      <c r="AG28" s="169" t="str">
        <f t="shared" ca="1" si="3"/>
        <v/>
      </c>
      <c r="AH28" s="169" t="str">
        <f t="shared" ca="1" si="19"/>
        <v/>
      </c>
      <c r="AJ28" s="169">
        <f t="shared" ca="1" si="4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5"/>
        <v/>
      </c>
      <c r="AQ28" s="207" t="s">
        <v>352</v>
      </c>
      <c r="AR28" s="207" t="s">
        <v>141</v>
      </c>
      <c r="AS28" s="207">
        <v>18</v>
      </c>
      <c r="AT28" s="207" t="s">
        <v>353</v>
      </c>
      <c r="AV28" s="168">
        <f t="shared" si="21"/>
        <v>25</v>
      </c>
      <c r="AW28" s="168">
        <f>COUNTIF( AV$7:AV28, AV28 )</f>
        <v>7</v>
      </c>
      <c r="AX28" s="208">
        <f t="shared" si="22"/>
        <v>25.7</v>
      </c>
      <c r="AY28" s="168">
        <f t="shared" si="23"/>
        <v>31</v>
      </c>
      <c r="AZ28" s="169"/>
      <c r="BA28" s="169"/>
      <c r="BC28" s="168">
        <f t="shared" ca="1" si="24"/>
        <v>22</v>
      </c>
      <c r="BD28" s="209">
        <f t="shared" ca="1" si="7"/>
        <v>47</v>
      </c>
      <c r="BF28" s="173" t="str">
        <f t="shared" ca="1" si="8"/>
        <v>SCANA Corporation</v>
      </c>
      <c r="BG28" s="173" t="str">
        <f t="shared" ca="1" si="9"/>
        <v>BBB+</v>
      </c>
      <c r="BH28" s="173">
        <f t="shared" ca="1" si="9"/>
        <v>19</v>
      </c>
      <c r="BI28" s="173" t="str">
        <f t="shared" ca="1" si="9"/>
        <v>SCG</v>
      </c>
    </row>
    <row r="29" spans="1:61" ht="13.8" x14ac:dyDescent="0.25">
      <c r="A29" s="223" t="s">
        <v>291</v>
      </c>
      <c r="B29" s="224" t="s">
        <v>140</v>
      </c>
      <c r="C29" s="224">
        <v>19</v>
      </c>
      <c r="D29" s="224" t="s">
        <v>292</v>
      </c>
      <c r="E29" s="225" t="str">
        <f t="shared" ca="1" si="0"/>
        <v>MR</v>
      </c>
      <c r="F29" s="348"/>
      <c r="G29" s="349">
        <f t="shared" ca="1" si="1"/>
        <v>52</v>
      </c>
      <c r="H29" s="350"/>
      <c r="I29" s="237"/>
      <c r="J29" s="191"/>
      <c r="K29" s="237"/>
      <c r="N29" s="237"/>
      <c r="Q29" s="237"/>
      <c r="T29" s="237"/>
      <c r="W29" s="237"/>
      <c r="AF29" s="169">
        <f t="shared" si="2"/>
        <v>0</v>
      </c>
      <c r="AG29" s="169" t="str">
        <f t="shared" ca="1" si="3"/>
        <v/>
      </c>
      <c r="AH29" s="169" t="str">
        <f t="shared" ca="1" si="19"/>
        <v/>
      </c>
      <c r="AJ29" s="169">
        <f t="shared" ca="1" si="4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5"/>
        <v/>
      </c>
      <c r="AQ29" s="207" t="s">
        <v>279</v>
      </c>
      <c r="AR29" s="207" t="s">
        <v>142</v>
      </c>
      <c r="AS29" s="207">
        <v>17</v>
      </c>
      <c r="AT29" s="207" t="s">
        <v>280</v>
      </c>
      <c r="AV29" s="168">
        <f t="shared" si="21"/>
        <v>41</v>
      </c>
      <c r="AW29" s="168">
        <f>COUNTIF( AV$7:AV29, AV29 )</f>
        <v>8</v>
      </c>
      <c r="AX29" s="208">
        <f t="shared" si="22"/>
        <v>41.8</v>
      </c>
      <c r="AY29" s="168">
        <f t="shared" si="23"/>
        <v>48</v>
      </c>
      <c r="AZ29" s="169"/>
      <c r="BA29" s="169"/>
      <c r="BC29" s="168">
        <f t="shared" ca="1" si="24"/>
        <v>23</v>
      </c>
      <c r="BD29" s="209">
        <f t="shared" ca="1" si="7"/>
        <v>48</v>
      </c>
      <c r="BF29" s="173" t="str">
        <f t="shared" ca="1" si="8"/>
        <v>Sempra Energy</v>
      </c>
      <c r="BG29" s="173" t="str">
        <f t="shared" ca="1" si="9"/>
        <v>BBB+</v>
      </c>
      <c r="BH29" s="173">
        <f t="shared" ca="1" si="9"/>
        <v>19</v>
      </c>
      <c r="BI29" s="173" t="str">
        <f t="shared" ca="1" si="9"/>
        <v>SRE</v>
      </c>
    </row>
    <row r="30" spans="1:61" ht="13.8" x14ac:dyDescent="0.25">
      <c r="A30" s="223" t="s">
        <v>369</v>
      </c>
      <c r="B30" s="224" t="s">
        <v>140</v>
      </c>
      <c r="C30" s="224">
        <v>19</v>
      </c>
      <c r="D30" s="224" t="s">
        <v>375</v>
      </c>
      <c r="E30" s="225" t="str">
        <f t="shared" ca="1" si="0"/>
        <v>R</v>
      </c>
      <c r="F30" s="348"/>
      <c r="G30" s="349">
        <f t="shared" ca="1" si="1"/>
        <v>54</v>
      </c>
      <c r="H30" s="350"/>
      <c r="I30" s="237"/>
      <c r="J30" s="191"/>
      <c r="K30" s="237"/>
      <c r="N30" s="237"/>
      <c r="Q30" s="237"/>
      <c r="T30" s="237"/>
      <c r="W30" s="237"/>
      <c r="AF30" s="169">
        <f t="shared" si="2"/>
        <v>0</v>
      </c>
      <c r="AG30" s="169" t="str">
        <f t="shared" ca="1" si="3"/>
        <v/>
      </c>
      <c r="AH30" s="169" t="str">
        <f t="shared" ca="1" si="19"/>
        <v/>
      </c>
      <c r="AJ30" s="169">
        <f t="shared" ca="1" si="4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5"/>
        <v/>
      </c>
      <c r="AQ30" s="207" t="s">
        <v>387</v>
      </c>
      <c r="AR30" s="207" t="s">
        <v>139</v>
      </c>
      <c r="AS30" s="207">
        <v>20</v>
      </c>
      <c r="AT30" s="207" t="s">
        <v>388</v>
      </c>
      <c r="AV30" s="168">
        <f t="shared" si="21"/>
        <v>3</v>
      </c>
      <c r="AW30" s="168">
        <f>COUNTIF( AV$7:AV30, AV30 )</f>
        <v>4</v>
      </c>
      <c r="AX30" s="208">
        <f t="shared" si="22"/>
        <v>3.4</v>
      </c>
      <c r="AY30" s="168">
        <f t="shared" si="23"/>
        <v>6</v>
      </c>
      <c r="AZ30" s="169"/>
      <c r="BA30" s="169"/>
      <c r="BC30" s="168">
        <f t="shared" ca="1" si="24"/>
        <v>24</v>
      </c>
      <c r="BD30" s="209">
        <f t="shared" ca="1" si="7"/>
        <v>50</v>
      </c>
      <c r="BF30" s="173" t="str">
        <f t="shared" ca="1" si="8"/>
        <v>TECO Energy, Inc.</v>
      </c>
      <c r="BG30" s="173" t="str">
        <f t="shared" ca="1" si="9"/>
        <v>BBB+</v>
      </c>
      <c r="BH30" s="173">
        <f t="shared" ca="1" si="9"/>
        <v>19</v>
      </c>
      <c r="BI30" s="173" t="str">
        <f t="shared" ca="1" si="9"/>
        <v>TE</v>
      </c>
    </row>
    <row r="31" spans="1:61" ht="13.8" x14ac:dyDescent="0.25">
      <c r="A31" s="223" t="s">
        <v>222</v>
      </c>
      <c r="B31" s="224" t="s">
        <v>141</v>
      </c>
      <c r="C31" s="224">
        <v>18</v>
      </c>
      <c r="D31" s="224" t="s">
        <v>223</v>
      </c>
      <c r="E31" s="225" t="str">
        <f t="shared" ca="1" si="0"/>
        <v>R</v>
      </c>
      <c r="F31" s="348"/>
      <c r="G31" s="349">
        <f t="shared" ca="1" si="1"/>
        <v>10</v>
      </c>
      <c r="H31" s="350"/>
      <c r="I31" s="237"/>
      <c r="J31" s="191"/>
      <c r="K31" s="237"/>
      <c r="N31" s="237"/>
      <c r="O31" s="351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9"/>
        <v/>
      </c>
      <c r="AJ31" s="169">
        <f t="shared" ca="1" si="4"/>
        <v>31</v>
      </c>
      <c r="AK31" s="169" t="str">
        <f t="shared" ca="1" si="20"/>
        <v>BBB</v>
      </c>
      <c r="AL31" s="169">
        <f t="shared" ca="1" si="20"/>
        <v>18</v>
      </c>
      <c r="AM31" s="169" t="str">
        <f t="shared" ca="1" si="5"/>
        <v/>
      </c>
      <c r="AQ31" s="207" t="s">
        <v>283</v>
      </c>
      <c r="AR31" s="207" t="s">
        <v>141</v>
      </c>
      <c r="AS31" s="207">
        <v>18</v>
      </c>
      <c r="AT31" s="207" t="s">
        <v>284</v>
      </c>
      <c r="AV31" s="168">
        <f t="shared" si="21"/>
        <v>25</v>
      </c>
      <c r="AW31" s="168">
        <f>COUNTIF( AV$7:AV31, AV31 )</f>
        <v>8</v>
      </c>
      <c r="AX31" s="208">
        <f t="shared" si="22"/>
        <v>25.8</v>
      </c>
      <c r="AY31" s="168">
        <f t="shared" si="23"/>
        <v>32</v>
      </c>
      <c r="AZ31" s="169"/>
      <c r="BA31" s="169"/>
      <c r="BC31" s="168">
        <f t="shared" ca="1" si="24"/>
        <v>25</v>
      </c>
      <c r="BD31" s="209">
        <f t="shared" ca="1" si="7"/>
        <v>4</v>
      </c>
      <c r="BF31" s="173" t="str">
        <f t="shared" ca="1" si="8"/>
        <v>American Electric Power Company, Inc.</v>
      </c>
      <c r="BG31" s="173" t="str">
        <f t="shared" ca="1" si="9"/>
        <v>BBB</v>
      </c>
      <c r="BH31" s="173">
        <f t="shared" ca="1" si="9"/>
        <v>18</v>
      </c>
      <c r="BI31" s="173" t="str">
        <f t="shared" ca="1" si="9"/>
        <v>AEP</v>
      </c>
    </row>
    <row r="32" spans="1:61" ht="13.8" x14ac:dyDescent="0.25">
      <c r="A32" s="223" t="s">
        <v>238</v>
      </c>
      <c r="B32" s="224" t="s">
        <v>141</v>
      </c>
      <c r="C32" s="224">
        <v>18</v>
      </c>
      <c r="D32" s="224" t="s">
        <v>239</v>
      </c>
      <c r="E32" s="225" t="str">
        <f t="shared" ca="1" si="0"/>
        <v>R</v>
      </c>
      <c r="F32" s="348"/>
      <c r="G32" s="349">
        <f t="shared" ca="1" si="1"/>
        <v>11</v>
      </c>
      <c r="H32" s="350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9"/>
        <v/>
      </c>
      <c r="AJ32" s="169">
        <f t="shared" ca="1" si="4"/>
        <v>32</v>
      </c>
      <c r="AK32" s="169" t="str">
        <f t="shared" ca="1" si="20"/>
        <v>BBB</v>
      </c>
      <c r="AL32" s="169">
        <f t="shared" ca="1" si="20"/>
        <v>18</v>
      </c>
      <c r="AM32" s="169" t="str">
        <f t="shared" ca="1" si="5"/>
        <v/>
      </c>
      <c r="AQ32" s="207" t="s">
        <v>395</v>
      </c>
      <c r="AR32" s="207" t="s">
        <v>139</v>
      </c>
      <c r="AS32" s="207">
        <v>20</v>
      </c>
      <c r="AT32" s="207" t="s">
        <v>396</v>
      </c>
      <c r="AV32" s="168">
        <f t="shared" si="21"/>
        <v>3</v>
      </c>
      <c r="AW32" s="168">
        <f>COUNTIF( AV$7:AV32, AV32 )</f>
        <v>5</v>
      </c>
      <c r="AX32" s="208">
        <f t="shared" si="22"/>
        <v>3.5</v>
      </c>
      <c r="AY32" s="168">
        <f t="shared" si="23"/>
        <v>7</v>
      </c>
      <c r="AZ32" s="169"/>
      <c r="BA32" s="169"/>
      <c r="BC32" s="168">
        <f t="shared" ca="1" si="24"/>
        <v>26</v>
      </c>
      <c r="BD32" s="209">
        <f t="shared" ca="1" si="7"/>
        <v>5</v>
      </c>
      <c r="BF32" s="173" t="str">
        <f t="shared" ca="1" si="8"/>
        <v>Avista Corporation</v>
      </c>
      <c r="BG32" s="173" t="str">
        <f t="shared" ca="1" si="9"/>
        <v>BBB</v>
      </c>
      <c r="BH32" s="173">
        <f t="shared" ca="1" si="9"/>
        <v>18</v>
      </c>
      <c r="BI32" s="173" t="str">
        <f t="shared" ca="1" si="9"/>
        <v>AVA</v>
      </c>
    </row>
    <row r="33" spans="1:61" ht="13.8" x14ac:dyDescent="0.25">
      <c r="A33" s="223" t="s">
        <v>254</v>
      </c>
      <c r="B33" s="224" t="s">
        <v>141</v>
      </c>
      <c r="C33" s="224">
        <v>18</v>
      </c>
      <c r="D33" s="224" t="s">
        <v>378</v>
      </c>
      <c r="E33" s="225" t="str">
        <f t="shared" ca="1" si="0"/>
        <v>R</v>
      </c>
      <c r="F33" s="348"/>
      <c r="G33" s="349">
        <f t="shared" ca="1" si="1"/>
        <v>16</v>
      </c>
      <c r="H33" s="350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9"/>
        <v/>
      </c>
      <c r="AJ33" s="169">
        <f t="shared" ca="1" si="4"/>
        <v>33</v>
      </c>
      <c r="AK33" s="169" t="str">
        <f t="shared" ca="1" si="20"/>
        <v>BBB</v>
      </c>
      <c r="AL33" s="169">
        <f t="shared" ca="1" si="20"/>
        <v>18</v>
      </c>
      <c r="AM33" s="169" t="str">
        <f t="shared" ca="1" si="5"/>
        <v/>
      </c>
      <c r="AQ33" s="207" t="s">
        <v>287</v>
      </c>
      <c r="AR33" s="207" t="s">
        <v>142</v>
      </c>
      <c r="AS33" s="207">
        <v>17</v>
      </c>
      <c r="AT33" s="207" t="s">
        <v>288</v>
      </c>
      <c r="AV33" s="168">
        <f t="shared" si="21"/>
        <v>41</v>
      </c>
      <c r="AW33" s="168">
        <f>COUNTIF( AV$7:AV33, AV33 )</f>
        <v>9</v>
      </c>
      <c r="AX33" s="208">
        <f t="shared" si="22"/>
        <v>41.9</v>
      </c>
      <c r="AY33" s="168">
        <f t="shared" si="23"/>
        <v>49</v>
      </c>
      <c r="AZ33" s="169"/>
      <c r="BA33" s="169"/>
      <c r="BC33" s="168">
        <f t="shared" ca="1" si="24"/>
        <v>27</v>
      </c>
      <c r="BD33" s="209">
        <f t="shared" ca="1" si="7"/>
        <v>8</v>
      </c>
      <c r="BF33" s="173" t="str">
        <f t="shared" ca="1" si="8"/>
        <v>Cleco Corporation</v>
      </c>
      <c r="BG33" s="173" t="str">
        <f t="shared" ca="1" si="9"/>
        <v>BBB</v>
      </c>
      <c r="BH33" s="173">
        <f t="shared" ca="1" si="9"/>
        <v>18</v>
      </c>
      <c r="BI33" s="173" t="str">
        <f t="shared" ca="1" si="9"/>
        <v>CNL</v>
      </c>
    </row>
    <row r="34" spans="1:61" ht="13.8" x14ac:dyDescent="0.25">
      <c r="A34" s="223" t="s">
        <v>328</v>
      </c>
      <c r="B34" s="224" t="s">
        <v>141</v>
      </c>
      <c r="C34" s="224">
        <v>18</v>
      </c>
      <c r="D34" s="224" t="s">
        <v>331</v>
      </c>
      <c r="E34" s="225" t="str">
        <f t="shared" ca="1" si="0"/>
        <v>R</v>
      </c>
      <c r="F34" s="348"/>
      <c r="G34" s="349">
        <f t="shared" ca="1" si="1"/>
        <v>24</v>
      </c>
      <c r="H34" s="350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9"/>
        <v/>
      </c>
      <c r="AJ34" s="169">
        <f t="shared" ca="1" si="4"/>
        <v>34</v>
      </c>
      <c r="AK34" s="169" t="str">
        <f t="shared" ca="1" si="20"/>
        <v>BBB</v>
      </c>
      <c r="AL34" s="169">
        <f t="shared" ca="1" si="20"/>
        <v>18</v>
      </c>
      <c r="AM34" s="169" t="str">
        <f t="shared" ca="1" si="5"/>
        <v/>
      </c>
      <c r="AQ34" s="207" t="s">
        <v>271</v>
      </c>
      <c r="AR34" s="207" t="s">
        <v>140</v>
      </c>
      <c r="AS34" s="207">
        <v>19</v>
      </c>
      <c r="AT34" s="207" t="s">
        <v>272</v>
      </c>
      <c r="AV34" s="168">
        <f t="shared" si="21"/>
        <v>12</v>
      </c>
      <c r="AW34" s="168">
        <f>COUNTIF( AV$7:AV34, AV34 )</f>
        <v>5</v>
      </c>
      <c r="AX34" s="208">
        <f t="shared" si="22"/>
        <v>12.5</v>
      </c>
      <c r="AY34" s="168">
        <f t="shared" si="23"/>
        <v>16</v>
      </c>
      <c r="AZ34" s="169"/>
      <c r="BA34" s="169"/>
      <c r="BC34" s="168">
        <f t="shared" ca="1" si="24"/>
        <v>28</v>
      </c>
      <c r="BD34" s="209">
        <f t="shared" ca="1" si="7"/>
        <v>16</v>
      </c>
      <c r="BF34" s="173" t="str">
        <f t="shared" ca="1" si="8"/>
        <v>El Paso Electric Company</v>
      </c>
      <c r="BG34" s="173" t="str">
        <f t="shared" ca="1" si="9"/>
        <v>BBB</v>
      </c>
      <c r="BH34" s="173">
        <f t="shared" ca="1" si="9"/>
        <v>18</v>
      </c>
      <c r="BI34" s="173" t="str">
        <f t="shared" ca="1" si="9"/>
        <v>EE</v>
      </c>
    </row>
    <row r="35" spans="1:61" ht="13.8" x14ac:dyDescent="0.25">
      <c r="A35" s="223" t="s">
        <v>267</v>
      </c>
      <c r="B35" s="224" t="s">
        <v>141</v>
      </c>
      <c r="C35" s="224">
        <v>18</v>
      </c>
      <c r="D35" s="224" t="s">
        <v>268</v>
      </c>
      <c r="E35" s="225" t="str">
        <f t="shared" ca="1" si="0"/>
        <v>R</v>
      </c>
      <c r="F35" s="348"/>
      <c r="G35" s="349">
        <f t="shared" ca="1" si="1"/>
        <v>26</v>
      </c>
      <c r="H35" s="350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9"/>
        <v/>
      </c>
      <c r="AJ35" s="169">
        <f t="shared" ca="1" si="4"/>
        <v>35</v>
      </c>
      <c r="AK35" s="169" t="str">
        <f t="shared" ca="1" si="20"/>
        <v>BBB</v>
      </c>
      <c r="AL35" s="169">
        <f t="shared" ca="1" si="20"/>
        <v>18</v>
      </c>
      <c r="AM35" s="169" t="str">
        <f t="shared" ca="1" si="5"/>
        <v/>
      </c>
      <c r="AQ35" s="207" t="s">
        <v>408</v>
      </c>
      <c r="AR35" s="207" t="s">
        <v>140</v>
      </c>
      <c r="AS35" s="207">
        <v>19</v>
      </c>
      <c r="AT35" s="207" t="s">
        <v>216</v>
      </c>
      <c r="AV35" s="168">
        <f t="shared" si="21"/>
        <v>12</v>
      </c>
      <c r="AW35" s="168">
        <f>COUNTIF( AV$7:AV35, AV35 )</f>
        <v>6</v>
      </c>
      <c r="AX35" s="208">
        <f t="shared" si="22"/>
        <v>12.6</v>
      </c>
      <c r="AY35" s="168">
        <f t="shared" si="23"/>
        <v>17</v>
      </c>
      <c r="AZ35" s="169"/>
      <c r="BA35" s="169"/>
      <c r="BC35" s="168">
        <f t="shared" ca="1" si="24"/>
        <v>29</v>
      </c>
      <c r="BD35" s="209">
        <f t="shared" ca="1" si="7"/>
        <v>19</v>
      </c>
      <c r="BF35" s="173" t="str">
        <f t="shared" ca="1" si="8"/>
        <v>Entergy Corporation</v>
      </c>
      <c r="BG35" s="173" t="str">
        <f t="shared" ca="1" si="9"/>
        <v>BBB</v>
      </c>
      <c r="BH35" s="173">
        <f t="shared" ca="1" si="9"/>
        <v>18</v>
      </c>
      <c r="BI35" s="173" t="str">
        <f t="shared" ca="1" si="9"/>
        <v>ETR</v>
      </c>
    </row>
    <row r="36" spans="1:61" ht="13.8" x14ac:dyDescent="0.25">
      <c r="A36" s="223" t="s">
        <v>269</v>
      </c>
      <c r="B36" s="224" t="s">
        <v>141</v>
      </c>
      <c r="C36" s="224">
        <v>18</v>
      </c>
      <c r="D36" s="224" t="s">
        <v>270</v>
      </c>
      <c r="E36" s="225" t="str">
        <f t="shared" ca="1" si="0"/>
        <v>MR</v>
      </c>
      <c r="F36" s="348"/>
      <c r="G36" s="349">
        <f t="shared" ca="1" si="1"/>
        <v>27</v>
      </c>
      <c r="H36" s="350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9"/>
        <v/>
      </c>
      <c r="AJ36" s="169">
        <f t="shared" ca="1" si="4"/>
        <v>36</v>
      </c>
      <c r="AK36" s="169" t="str">
        <f t="shared" ca="1" si="20"/>
        <v>BBB</v>
      </c>
      <c r="AL36" s="169">
        <f t="shared" ca="1" si="20"/>
        <v>18</v>
      </c>
      <c r="AM36" s="169" t="str">
        <f t="shared" ca="1" si="5"/>
        <v/>
      </c>
      <c r="AQ36" s="207" t="s">
        <v>240</v>
      </c>
      <c r="AR36" s="207" t="s">
        <v>139</v>
      </c>
      <c r="AS36" s="207">
        <v>20</v>
      </c>
      <c r="AT36" s="207" t="s">
        <v>241</v>
      </c>
      <c r="AV36" s="168">
        <f t="shared" si="21"/>
        <v>3</v>
      </c>
      <c r="AW36" s="168">
        <f>COUNTIF( AV$7:AV36, AV36 )</f>
        <v>6</v>
      </c>
      <c r="AX36" s="208">
        <f t="shared" si="22"/>
        <v>3.6</v>
      </c>
      <c r="AY36" s="168">
        <f t="shared" si="23"/>
        <v>8</v>
      </c>
      <c r="AZ36" s="169"/>
      <c r="BA36" s="169"/>
      <c r="BC36" s="168">
        <f t="shared" ca="1" si="24"/>
        <v>30</v>
      </c>
      <c r="BD36" s="209">
        <f t="shared" ca="1" si="7"/>
        <v>20</v>
      </c>
      <c r="BF36" s="173" t="str">
        <f t="shared" ca="1" si="8"/>
        <v>Exelon Corporation</v>
      </c>
      <c r="BG36" s="173" t="str">
        <f t="shared" ca="1" si="9"/>
        <v>BBB</v>
      </c>
      <c r="BH36" s="173">
        <f t="shared" ca="1" si="9"/>
        <v>18</v>
      </c>
      <c r="BI36" s="173" t="str">
        <f t="shared" ca="1" si="9"/>
        <v>EXC</v>
      </c>
    </row>
    <row r="37" spans="1:61" ht="13.8" x14ac:dyDescent="0.25">
      <c r="A37" s="223" t="s">
        <v>352</v>
      </c>
      <c r="B37" s="224" t="s">
        <v>141</v>
      </c>
      <c r="C37" s="224">
        <v>18</v>
      </c>
      <c r="D37" s="224" t="s">
        <v>353</v>
      </c>
      <c r="E37" s="225" t="str">
        <f t="shared" ca="1" si="0"/>
        <v>R</v>
      </c>
      <c r="F37" s="348"/>
      <c r="G37" s="349">
        <f t="shared" ca="1" si="1"/>
        <v>29</v>
      </c>
      <c r="H37" s="350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9"/>
        <v/>
      </c>
      <c r="AJ37" s="169">
        <f t="shared" ca="1" si="4"/>
        <v>37</v>
      </c>
      <c r="AK37" s="169" t="str">
        <f t="shared" ca="1" si="20"/>
        <v>BBB</v>
      </c>
      <c r="AL37" s="169">
        <f t="shared" ca="1" si="20"/>
        <v>18</v>
      </c>
      <c r="AM37" s="169" t="str">
        <f t="shared" ca="1" si="5"/>
        <v/>
      </c>
      <c r="AQ37" s="207" t="s">
        <v>273</v>
      </c>
      <c r="AR37" s="207" t="s">
        <v>142</v>
      </c>
      <c r="AS37" s="207">
        <v>17</v>
      </c>
      <c r="AT37" s="207" t="s">
        <v>274</v>
      </c>
      <c r="AV37" s="168">
        <f t="shared" si="21"/>
        <v>41</v>
      </c>
      <c r="AW37" s="168">
        <f>COUNTIF( AV$7:AV37, AV37 )</f>
        <v>10</v>
      </c>
      <c r="AX37" s="208">
        <f t="shared" si="22"/>
        <v>42</v>
      </c>
      <c r="AY37" s="168">
        <f t="shared" si="23"/>
        <v>50</v>
      </c>
      <c r="AZ37" s="169"/>
      <c r="BA37" s="169"/>
      <c r="BC37" s="168">
        <f t="shared" ca="1" si="24"/>
        <v>31</v>
      </c>
      <c r="BD37" s="209">
        <f t="shared" ca="1" si="7"/>
        <v>22</v>
      </c>
      <c r="BF37" s="173" t="str">
        <f t="shared" ca="1" si="8"/>
        <v>Great Plains Energy Inc.</v>
      </c>
      <c r="BG37" s="173" t="str">
        <f t="shared" ca="1" si="9"/>
        <v>BBB</v>
      </c>
      <c r="BH37" s="173">
        <f t="shared" ca="1" si="9"/>
        <v>18</v>
      </c>
      <c r="BI37" s="173" t="str">
        <f t="shared" ca="1" si="9"/>
        <v>GXP</v>
      </c>
    </row>
    <row r="38" spans="1:61" ht="13.8" x14ac:dyDescent="0.25">
      <c r="A38" s="223" t="s">
        <v>283</v>
      </c>
      <c r="B38" s="224" t="s">
        <v>141</v>
      </c>
      <c r="C38" s="224">
        <v>18</v>
      </c>
      <c r="D38" s="224" t="s">
        <v>284</v>
      </c>
      <c r="E38" s="225" t="str">
        <f t="shared" ca="1" si="0"/>
        <v>R</v>
      </c>
      <c r="F38" s="348"/>
      <c r="G38" s="349">
        <f t="shared" ca="1" si="1"/>
        <v>31</v>
      </c>
      <c r="H38" s="350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1</v>
      </c>
      <c r="AG38" s="169" t="str">
        <f t="shared" ca="1" si="3"/>
        <v/>
      </c>
      <c r="AH38" s="169" t="str">
        <f t="shared" ca="1" si="19"/>
        <v/>
      </c>
      <c r="AJ38" s="169">
        <f t="shared" ca="1" si="4"/>
        <v>38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5"/>
        <v/>
      </c>
      <c r="AQ38" s="207" t="s">
        <v>394</v>
      </c>
      <c r="AR38" s="207" t="s">
        <v>140</v>
      </c>
      <c r="AS38" s="207">
        <v>19</v>
      </c>
      <c r="AT38" s="207" t="s">
        <v>236</v>
      </c>
      <c r="AV38" s="168">
        <f t="shared" si="21"/>
        <v>12</v>
      </c>
      <c r="AW38" s="168">
        <f>COUNTIF( AV$7:AV38, AV38 )</f>
        <v>7</v>
      </c>
      <c r="AX38" s="208">
        <f t="shared" si="22"/>
        <v>12.7</v>
      </c>
      <c r="AY38" s="168">
        <f t="shared" si="23"/>
        <v>18</v>
      </c>
      <c r="AZ38" s="169"/>
      <c r="BA38" s="169"/>
      <c r="BC38" s="168">
        <f t="shared" ca="1" si="24"/>
        <v>32</v>
      </c>
      <c r="BD38" s="209">
        <f t="shared" ca="1" si="7"/>
        <v>25</v>
      </c>
      <c r="BF38" s="173" t="str">
        <f t="shared" ca="1" si="8"/>
        <v>IDACORP, Inc.</v>
      </c>
      <c r="BG38" s="173" t="str">
        <f t="shared" ca="1" si="9"/>
        <v>BBB</v>
      </c>
      <c r="BH38" s="173">
        <f t="shared" ca="1" si="9"/>
        <v>18</v>
      </c>
      <c r="BI38" s="173" t="str">
        <f t="shared" ca="1" si="9"/>
        <v>IDA</v>
      </c>
    </row>
    <row r="39" spans="1:61" ht="13.8" x14ac:dyDescent="0.25">
      <c r="A39" s="223" t="s">
        <v>297</v>
      </c>
      <c r="B39" s="224" t="s">
        <v>141</v>
      </c>
      <c r="C39" s="224">
        <v>18</v>
      </c>
      <c r="D39" s="224" t="s">
        <v>298</v>
      </c>
      <c r="E39" s="225" t="str">
        <f t="shared" ca="1" si="0"/>
        <v>R</v>
      </c>
      <c r="F39" s="348"/>
      <c r="G39" s="349">
        <f t="shared" ca="1" si="1"/>
        <v>38</v>
      </c>
      <c r="H39" s="350"/>
      <c r="I39" s="237"/>
      <c r="K39" s="237"/>
      <c r="L39" s="173"/>
      <c r="N39" s="237"/>
      <c r="Q39" s="237"/>
      <c r="T39" s="237"/>
      <c r="W39" s="237"/>
      <c r="AF39" s="169">
        <f t="shared" si="2"/>
        <v>1</v>
      </c>
      <c r="AG39" s="169" t="str">
        <f t="shared" ca="1" si="3"/>
        <v/>
      </c>
      <c r="AH39" s="169" t="str">
        <f t="shared" ca="1" si="19"/>
        <v/>
      </c>
      <c r="AJ39" s="169">
        <f t="shared" ca="1" si="4"/>
        <v>39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5"/>
        <v/>
      </c>
      <c r="AQ39" s="207" t="s">
        <v>297</v>
      </c>
      <c r="AR39" s="207" t="s">
        <v>141</v>
      </c>
      <c r="AS39" s="207">
        <v>18</v>
      </c>
      <c r="AT39" s="207" t="s">
        <v>298</v>
      </c>
      <c r="AV39" s="168">
        <f t="shared" si="21"/>
        <v>25</v>
      </c>
      <c r="AW39" s="168">
        <f>COUNTIF( AV$7:AV39, AV39 )</f>
        <v>9</v>
      </c>
      <c r="AX39" s="208">
        <f t="shared" si="22"/>
        <v>25.9</v>
      </c>
      <c r="AY39" s="168">
        <f t="shared" si="23"/>
        <v>33</v>
      </c>
      <c r="AZ39" s="169"/>
      <c r="BA39" s="169"/>
      <c r="BC39" s="168">
        <f t="shared" ca="1" si="24"/>
        <v>33</v>
      </c>
      <c r="BD39" s="209">
        <f t="shared" ca="1" si="7"/>
        <v>33</v>
      </c>
      <c r="BF39" s="173" t="str">
        <f t="shared" ref="BF39:BF63" ca="1" si="25">OFFSET( AQ$6, $BD39, 0 )</f>
        <v>NorthWestern Corporation</v>
      </c>
      <c r="BG39" s="173" t="str">
        <f t="shared" ca="1" si="9"/>
        <v>BBB</v>
      </c>
      <c r="BH39" s="173">
        <f t="shared" ca="1" si="9"/>
        <v>18</v>
      </c>
      <c r="BI39" s="173" t="str">
        <f t="shared" ca="1" si="9"/>
        <v>NWE</v>
      </c>
    </row>
    <row r="40" spans="1:61" ht="13.8" x14ac:dyDescent="0.25">
      <c r="A40" s="223" t="s">
        <v>301</v>
      </c>
      <c r="B40" s="224" t="s">
        <v>141</v>
      </c>
      <c r="C40" s="224">
        <v>18</v>
      </c>
      <c r="D40" s="224" t="s">
        <v>302</v>
      </c>
      <c r="E40" s="225" t="str">
        <f t="shared" ca="1" si="0"/>
        <v>R</v>
      </c>
      <c r="F40" s="348"/>
      <c r="G40" s="349">
        <f t="shared" ca="1" si="1"/>
        <v>44</v>
      </c>
      <c r="H40" s="350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1</v>
      </c>
      <c r="AG40" s="169" t="str">
        <f t="shared" ca="1" si="3"/>
        <v/>
      </c>
      <c r="AH40" s="169" t="str">
        <f t="shared" ca="1" si="19"/>
        <v/>
      </c>
      <c r="AJ40" s="169">
        <f t="shared" ca="1" si="4"/>
        <v>40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5"/>
        <v/>
      </c>
      <c r="AQ40" s="207" t="s">
        <v>431</v>
      </c>
      <c r="AR40" s="207" t="s">
        <v>164</v>
      </c>
      <c r="AS40" s="207">
        <v>22</v>
      </c>
      <c r="AT40" s="207" t="s">
        <v>432</v>
      </c>
      <c r="AV40" s="168">
        <f t="shared" si="21"/>
        <v>1</v>
      </c>
      <c r="AW40" s="168">
        <f>COUNTIF( AV$7:AV40, AV40 )</f>
        <v>1</v>
      </c>
      <c r="AX40" s="208">
        <f t="shared" si="22"/>
        <v>1.1000000000000001</v>
      </c>
      <c r="AY40" s="168">
        <f t="shared" si="23"/>
        <v>1</v>
      </c>
      <c r="AZ40" s="169"/>
      <c r="BA40" s="169"/>
      <c r="BC40" s="168">
        <f t="shared" ca="1" si="24"/>
        <v>34</v>
      </c>
      <c r="BD40" s="209">
        <f t="shared" ca="1" si="7"/>
        <v>39</v>
      </c>
      <c r="BF40" s="173" t="str">
        <f t="shared" ca="1" si="25"/>
        <v>PG&amp;E Corporation</v>
      </c>
      <c r="BG40" s="173" t="str">
        <f t="shared" ca="1" si="9"/>
        <v>BBB</v>
      </c>
      <c r="BH40" s="173">
        <f t="shared" ca="1" si="9"/>
        <v>18</v>
      </c>
      <c r="BI40" s="173" t="str">
        <f t="shared" ca="1" si="9"/>
        <v>PCG</v>
      </c>
    </row>
    <row r="41" spans="1:61" ht="13.8" x14ac:dyDescent="0.25">
      <c r="A41" s="223" t="s">
        <v>281</v>
      </c>
      <c r="B41" s="224" t="s">
        <v>141</v>
      </c>
      <c r="C41" s="224">
        <v>18</v>
      </c>
      <c r="D41" s="224" t="s">
        <v>282</v>
      </c>
      <c r="E41" s="225" t="str">
        <f t="shared" ca="1" si="0"/>
        <v>R</v>
      </c>
      <c r="F41" s="348"/>
      <c r="G41" s="349">
        <f t="shared" ca="1" si="1"/>
        <v>45</v>
      </c>
      <c r="H41" s="350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1</v>
      </c>
      <c r="AG41" s="169" t="str">
        <f t="shared" ca="1" si="3"/>
        <v/>
      </c>
      <c r="AH41" s="169" t="str">
        <f t="shared" ca="1" si="19"/>
        <v/>
      </c>
      <c r="AJ41" s="169">
        <f t="shared" ca="1" si="4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5"/>
        <v/>
      </c>
      <c r="AQ41" s="207" t="s">
        <v>411</v>
      </c>
      <c r="AR41" s="207" t="s">
        <v>173</v>
      </c>
      <c r="AS41" s="207">
        <v>16</v>
      </c>
      <c r="AT41" s="207" t="s">
        <v>412</v>
      </c>
      <c r="AV41" s="168">
        <f t="shared" si="21"/>
        <v>52</v>
      </c>
      <c r="AW41" s="168">
        <f>COUNTIF( AV$7:AV41, AV41 )</f>
        <v>1</v>
      </c>
      <c r="AX41" s="208">
        <f t="shared" si="22"/>
        <v>52.1</v>
      </c>
      <c r="AY41" s="168">
        <f t="shared" si="23"/>
        <v>52</v>
      </c>
      <c r="AZ41" s="169"/>
      <c r="BA41" s="169"/>
      <c r="BC41" s="168">
        <f t="shared" ca="1" si="24"/>
        <v>35</v>
      </c>
      <c r="BD41" s="209">
        <f t="shared" ca="1" si="7"/>
        <v>40</v>
      </c>
      <c r="BF41" s="173" t="str">
        <f t="shared" ca="1" si="25"/>
        <v>Pinnacle West Capital Corporation</v>
      </c>
      <c r="BG41" s="173" t="str">
        <f t="shared" ca="1" si="9"/>
        <v>BBB</v>
      </c>
      <c r="BH41" s="173">
        <f t="shared" ca="1" si="9"/>
        <v>18</v>
      </c>
      <c r="BI41" s="173" t="str">
        <f t="shared" ca="1" si="9"/>
        <v>PNW</v>
      </c>
    </row>
    <row r="42" spans="1:61" ht="13.8" x14ac:dyDescent="0.25">
      <c r="A42" s="223" t="s">
        <v>285</v>
      </c>
      <c r="B42" s="224" t="s">
        <v>141</v>
      </c>
      <c r="C42" s="224">
        <v>18</v>
      </c>
      <c r="D42" s="224" t="s">
        <v>286</v>
      </c>
      <c r="E42" s="225" t="str">
        <f t="shared" ca="1" si="0"/>
        <v>R</v>
      </c>
      <c r="F42" s="348"/>
      <c r="G42" s="349">
        <f t="shared" ca="1" si="1"/>
        <v>47</v>
      </c>
      <c r="H42" s="350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1</v>
      </c>
      <c r="AG42" s="169" t="str">
        <f t="shared" ca="1" si="3"/>
        <v/>
      </c>
      <c r="AH42" s="169" t="str">
        <f t="shared" ca="1" si="19"/>
        <v/>
      </c>
      <c r="AJ42" s="169">
        <f t="shared" ca="1" si="4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5"/>
        <v/>
      </c>
      <c r="AQ42" s="207" t="s">
        <v>277</v>
      </c>
      <c r="AR42" s="207" t="s">
        <v>140</v>
      </c>
      <c r="AS42" s="207">
        <v>19</v>
      </c>
      <c r="AT42" s="207" t="s">
        <v>278</v>
      </c>
      <c r="AV42" s="168">
        <f t="shared" si="21"/>
        <v>12</v>
      </c>
      <c r="AW42" s="168">
        <f>COUNTIF( AV$7:AV42, AV42 )</f>
        <v>8</v>
      </c>
      <c r="AX42" s="208">
        <f t="shared" si="22"/>
        <v>12.8</v>
      </c>
      <c r="AY42" s="168">
        <f t="shared" si="23"/>
        <v>19</v>
      </c>
      <c r="AZ42" s="169"/>
      <c r="BA42" s="169"/>
      <c r="BC42" s="168">
        <f t="shared" ca="1" si="24"/>
        <v>36</v>
      </c>
      <c r="BD42" s="209">
        <f t="shared" ca="1" si="7"/>
        <v>42</v>
      </c>
      <c r="BF42" s="173" t="str">
        <f t="shared" ca="1" si="25"/>
        <v>Portland General Electric Company</v>
      </c>
      <c r="BG42" s="173" t="str">
        <f t="shared" ca="1" si="9"/>
        <v>BBB</v>
      </c>
      <c r="BH42" s="173">
        <f t="shared" ca="1" si="9"/>
        <v>18</v>
      </c>
      <c r="BI42" s="173" t="str">
        <f t="shared" ca="1" si="9"/>
        <v>POR</v>
      </c>
    </row>
    <row r="43" spans="1:61" ht="13.8" x14ac:dyDescent="0.25">
      <c r="A43" s="223" t="s">
        <v>243</v>
      </c>
      <c r="B43" s="224" t="s">
        <v>141</v>
      </c>
      <c r="C43" s="224">
        <v>18</v>
      </c>
      <c r="D43" s="224" t="s">
        <v>244</v>
      </c>
      <c r="E43" s="225" t="str">
        <f t="shared" ca="1" si="0"/>
        <v>MR</v>
      </c>
      <c r="F43" s="348"/>
      <c r="G43" s="349">
        <f t="shared" ca="1" si="1"/>
        <v>48</v>
      </c>
      <c r="H43" s="350"/>
      <c r="I43" s="237"/>
      <c r="J43" s="191"/>
      <c r="K43" s="237"/>
      <c r="N43" s="237"/>
      <c r="Q43" s="237"/>
      <c r="T43" s="237"/>
      <c r="W43" s="237"/>
      <c r="AF43" s="169">
        <f t="shared" si="2"/>
        <v>1</v>
      </c>
      <c r="AG43" s="169" t="str">
        <f t="shared" ca="1" si="3"/>
        <v/>
      </c>
      <c r="AH43" s="169" t="str">
        <f t="shared" ca="1" si="19"/>
        <v/>
      </c>
      <c r="AJ43" s="169">
        <f t="shared" ca="1" si="4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5"/>
        <v/>
      </c>
      <c r="AQ43" s="207" t="s">
        <v>299</v>
      </c>
      <c r="AR43" s="207" t="s">
        <v>142</v>
      </c>
      <c r="AS43" s="207">
        <v>17</v>
      </c>
      <c r="AT43" s="207" t="s">
        <v>300</v>
      </c>
      <c r="AV43" s="168">
        <f t="shared" si="21"/>
        <v>41</v>
      </c>
      <c r="AW43" s="168">
        <f>COUNTIF( AV$7:AV43, AV43 )</f>
        <v>11</v>
      </c>
      <c r="AX43" s="208">
        <f t="shared" si="22"/>
        <v>42.1</v>
      </c>
      <c r="AY43" s="168">
        <f t="shared" si="23"/>
        <v>51</v>
      </c>
      <c r="AZ43" s="169"/>
      <c r="BA43" s="169"/>
      <c r="BC43" s="168">
        <f t="shared" ca="1" si="24"/>
        <v>37</v>
      </c>
      <c r="BD43" s="209">
        <f t="shared" ca="1" si="7"/>
        <v>43</v>
      </c>
      <c r="BF43" s="173" t="str">
        <f t="shared" ca="1" si="25"/>
        <v>PPL Corporation</v>
      </c>
      <c r="BG43" s="173" t="str">
        <f t="shared" ca="1" si="9"/>
        <v>BBB</v>
      </c>
      <c r="BH43" s="173">
        <f t="shared" ca="1" si="9"/>
        <v>18</v>
      </c>
      <c r="BI43" s="173" t="str">
        <f t="shared" ca="1" si="9"/>
        <v>PPL</v>
      </c>
    </row>
    <row r="44" spans="1:61" ht="13.8" x14ac:dyDescent="0.25">
      <c r="A44" s="223" t="s">
        <v>289</v>
      </c>
      <c r="B44" s="224" t="s">
        <v>141</v>
      </c>
      <c r="C44" s="224">
        <v>18</v>
      </c>
      <c r="D44" s="224" t="s">
        <v>290</v>
      </c>
      <c r="E44" s="225" t="str">
        <f t="shared" ca="1" si="0"/>
        <v>MR</v>
      </c>
      <c r="F44" s="348"/>
      <c r="G44" s="349">
        <f t="shared" ca="1" si="1"/>
        <v>50</v>
      </c>
      <c r="H44" s="350"/>
      <c r="I44" s="237"/>
      <c r="J44" s="191"/>
      <c r="K44" s="237"/>
      <c r="N44" s="237"/>
      <c r="Q44" s="237"/>
      <c r="T44" s="237"/>
      <c r="W44" s="237"/>
      <c r="AF44" s="169">
        <f t="shared" si="2"/>
        <v>1</v>
      </c>
      <c r="AG44" s="169" t="str">
        <f t="shared" ca="1" si="3"/>
        <v/>
      </c>
      <c r="AH44" s="169" t="str">
        <f t="shared" ca="1" si="19"/>
        <v/>
      </c>
      <c r="AJ44" s="169">
        <f t="shared" ca="1" si="4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5"/>
        <v/>
      </c>
      <c r="AQ44" s="207" t="s">
        <v>382</v>
      </c>
      <c r="AR44" s="207" t="s">
        <v>140</v>
      </c>
      <c r="AS44" s="207">
        <v>19</v>
      </c>
      <c r="AT44" s="207" t="s">
        <v>383</v>
      </c>
      <c r="AV44" s="168">
        <f t="shared" si="21"/>
        <v>12</v>
      </c>
      <c r="AW44" s="168">
        <f>COUNTIF( AV$7:AV44, AV44 )</f>
        <v>9</v>
      </c>
      <c r="AX44" s="208">
        <f t="shared" si="22"/>
        <v>12.9</v>
      </c>
      <c r="AY44" s="168">
        <f t="shared" si="23"/>
        <v>20</v>
      </c>
      <c r="AZ44" s="169"/>
      <c r="BA44" s="169"/>
      <c r="BC44" s="168">
        <f t="shared" ca="1" si="24"/>
        <v>38</v>
      </c>
      <c r="BD44" s="209">
        <f t="shared" ca="1" si="7"/>
        <v>45</v>
      </c>
      <c r="BF44" s="173" t="str">
        <f t="shared" ca="1" si="25"/>
        <v>Public Service Enterprise Group Incorporated</v>
      </c>
      <c r="BG44" s="173" t="str">
        <f t="shared" ca="1" si="9"/>
        <v>BBB</v>
      </c>
      <c r="BH44" s="173">
        <f t="shared" ca="1" si="9"/>
        <v>18</v>
      </c>
      <c r="BI44" s="173" t="str">
        <f t="shared" ca="1" si="9"/>
        <v>PEG</v>
      </c>
    </row>
    <row r="45" spans="1:61" ht="13.8" x14ac:dyDescent="0.25">
      <c r="A45" s="223" t="s">
        <v>389</v>
      </c>
      <c r="B45" s="224" t="s">
        <v>141</v>
      </c>
      <c r="C45" s="224">
        <v>18</v>
      </c>
      <c r="D45" s="224" t="s">
        <v>390</v>
      </c>
      <c r="E45" s="225" t="str">
        <f t="shared" ca="1" si="0"/>
        <v>R</v>
      </c>
      <c r="F45" s="348"/>
      <c r="G45" s="349">
        <f t="shared" ca="1" si="1"/>
        <v>55</v>
      </c>
      <c r="H45" s="350"/>
      <c r="I45" s="237"/>
      <c r="J45" s="191"/>
      <c r="K45" s="237"/>
      <c r="N45" s="237"/>
      <c r="Q45" s="237"/>
      <c r="T45" s="237"/>
      <c r="W45" s="237"/>
      <c r="AF45" s="169">
        <f t="shared" si="2"/>
        <v>1</v>
      </c>
      <c r="AG45" s="169" t="str">
        <f t="shared" ca="1" si="3"/>
        <v/>
      </c>
      <c r="AH45" s="169" t="str">
        <f t="shared" ca="1" si="19"/>
        <v/>
      </c>
      <c r="AJ45" s="169">
        <f t="shared" ca="1" si="4"/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5"/>
        <v/>
      </c>
      <c r="AQ45" s="207" t="s">
        <v>301</v>
      </c>
      <c r="AR45" s="207" t="s">
        <v>141</v>
      </c>
      <c r="AS45" s="207">
        <v>18</v>
      </c>
      <c r="AT45" s="207" t="s">
        <v>302</v>
      </c>
      <c r="AV45" s="168">
        <f t="shared" si="21"/>
        <v>25</v>
      </c>
      <c r="AW45" s="168">
        <f>COUNTIF( AV$7:AV45, AV45 )</f>
        <v>10</v>
      </c>
      <c r="AX45" s="208">
        <f t="shared" si="22"/>
        <v>26</v>
      </c>
      <c r="AY45" s="168">
        <f t="shared" si="23"/>
        <v>34</v>
      </c>
      <c r="AZ45" s="169"/>
      <c r="BA45" s="169"/>
      <c r="BC45" s="168">
        <f t="shared" ca="1" si="24"/>
        <v>39</v>
      </c>
      <c r="BD45" s="209">
        <f t="shared" ca="1" si="7"/>
        <v>51</v>
      </c>
      <c r="BF45" s="173" t="str">
        <f t="shared" ca="1" si="25"/>
        <v>UIL Holdings Corporation</v>
      </c>
      <c r="BG45" s="173" t="str">
        <f t="shared" ca="1" si="9"/>
        <v>BBB</v>
      </c>
      <c r="BH45" s="173">
        <f t="shared" ca="1" si="9"/>
        <v>18</v>
      </c>
      <c r="BI45" s="173" t="str">
        <f t="shared" ca="1" si="9"/>
        <v>UIL</v>
      </c>
    </row>
    <row r="46" spans="1:61" ht="13.8" x14ac:dyDescent="0.25">
      <c r="A46" s="223" t="s">
        <v>354</v>
      </c>
      <c r="B46" s="224" t="s">
        <v>141</v>
      </c>
      <c r="C46" s="224">
        <v>18</v>
      </c>
      <c r="D46" s="224" t="s">
        <v>355</v>
      </c>
      <c r="E46" s="225" t="str">
        <f t="shared" ca="1" si="0"/>
        <v>R</v>
      </c>
      <c r="F46" s="348"/>
      <c r="G46" s="349">
        <f t="shared" ca="1" si="1"/>
        <v>59</v>
      </c>
      <c r="H46" s="350"/>
      <c r="I46" s="191"/>
      <c r="K46" s="191"/>
      <c r="N46" s="351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9"/>
        <v/>
      </c>
      <c r="AJ46" s="169">
        <f t="shared" ca="1" si="4"/>
        <v>46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5"/>
        <v/>
      </c>
      <c r="AQ46" s="207" t="s">
        <v>281</v>
      </c>
      <c r="AR46" s="207" t="s">
        <v>141</v>
      </c>
      <c r="AS46" s="207">
        <v>18</v>
      </c>
      <c r="AT46" s="207" t="s">
        <v>282</v>
      </c>
      <c r="AV46" s="168">
        <f t="shared" si="21"/>
        <v>25</v>
      </c>
      <c r="AW46" s="168">
        <f>COUNTIF( AV$7:AV46, AV46 )</f>
        <v>11</v>
      </c>
      <c r="AX46" s="208">
        <f t="shared" si="22"/>
        <v>26.1</v>
      </c>
      <c r="AY46" s="168">
        <f t="shared" si="23"/>
        <v>35</v>
      </c>
      <c r="AZ46" s="169"/>
      <c r="BA46" s="169"/>
      <c r="BC46" s="168">
        <f t="shared" ca="1" si="24"/>
        <v>40</v>
      </c>
      <c r="BD46" s="209">
        <f t="shared" ca="1" si="7"/>
        <v>53</v>
      </c>
      <c r="BF46" s="173" t="str">
        <f t="shared" ca="1" si="25"/>
        <v>Westar Energy, Inc.</v>
      </c>
      <c r="BG46" s="173" t="str">
        <f t="shared" ca="1" si="9"/>
        <v>BBB</v>
      </c>
      <c r="BH46" s="173">
        <f t="shared" ca="1" si="9"/>
        <v>18</v>
      </c>
      <c r="BI46" s="173" t="str">
        <f t="shared" ca="1" si="9"/>
        <v>WR</v>
      </c>
    </row>
    <row r="47" spans="1:61" ht="13.8" x14ac:dyDescent="0.25">
      <c r="A47" s="223" t="s">
        <v>225</v>
      </c>
      <c r="B47" s="224" t="s">
        <v>142</v>
      </c>
      <c r="C47" s="224">
        <v>17</v>
      </c>
      <c r="D47" s="224" t="s">
        <v>226</v>
      </c>
      <c r="E47" s="225" t="str">
        <f t="shared" ca="1" si="0"/>
        <v>R</v>
      </c>
      <c r="F47" s="348"/>
      <c r="G47" s="349">
        <f t="shared" ca="1" si="1"/>
        <v>9</v>
      </c>
      <c r="H47" s="350"/>
      <c r="I47" s="350"/>
      <c r="J47" s="187" t="s">
        <v>373</v>
      </c>
      <c r="K47" s="191"/>
      <c r="M47" s="351"/>
      <c r="N47" s="351"/>
      <c r="AF47" s="169">
        <f t="shared" si="2"/>
        <v>0</v>
      </c>
      <c r="AG47" s="169" t="str">
        <f t="shared" ca="1" si="3"/>
        <v/>
      </c>
      <c r="AH47" s="169" t="str">
        <f t="shared" ca="1" si="19"/>
        <v/>
      </c>
      <c r="AJ47" s="169">
        <f t="shared" ca="1" si="4"/>
        <v>47</v>
      </c>
      <c r="AK47" s="169" t="str">
        <f t="shared" ca="1" si="20"/>
        <v>BBB-</v>
      </c>
      <c r="AL47" s="169">
        <f t="shared" ca="1" si="20"/>
        <v>17</v>
      </c>
      <c r="AM47" s="169" t="str">
        <f t="shared" ca="1" si="5"/>
        <v/>
      </c>
      <c r="AQ47" s="207" t="s">
        <v>303</v>
      </c>
      <c r="AR47" s="207" t="s">
        <v>175</v>
      </c>
      <c r="AS47" s="207">
        <v>15</v>
      </c>
      <c r="AT47" s="207" t="s">
        <v>304</v>
      </c>
      <c r="AV47" s="168">
        <f t="shared" si="21"/>
        <v>54</v>
      </c>
      <c r="AW47" s="168">
        <f>COUNTIF( AV$7:AV47, AV47 )</f>
        <v>1</v>
      </c>
      <c r="AX47" s="208">
        <f t="shared" si="22"/>
        <v>54.1</v>
      </c>
      <c r="AY47" s="168">
        <f t="shared" si="23"/>
        <v>54</v>
      </c>
      <c r="AZ47" s="169"/>
      <c r="BA47" s="169"/>
      <c r="BC47" s="168">
        <f t="shared" ca="1" si="24"/>
        <v>41</v>
      </c>
      <c r="BD47" s="209">
        <f t="shared" ca="1" si="7"/>
        <v>3</v>
      </c>
      <c r="BF47" s="173" t="str">
        <f t="shared" ca="1" si="25"/>
        <v>Ameren Corporation</v>
      </c>
      <c r="BG47" s="173" t="str">
        <f t="shared" ca="1" si="9"/>
        <v>BBB-</v>
      </c>
      <c r="BH47" s="173">
        <f t="shared" ca="1" si="9"/>
        <v>17</v>
      </c>
      <c r="BI47" s="173" t="str">
        <f t="shared" ca="1" si="9"/>
        <v>AEE</v>
      </c>
    </row>
    <row r="48" spans="1:61" ht="13.8" x14ac:dyDescent="0.25">
      <c r="A48" s="223" t="s">
        <v>245</v>
      </c>
      <c r="B48" s="224" t="s">
        <v>142</v>
      </c>
      <c r="C48" s="224">
        <v>17</v>
      </c>
      <c r="D48" s="224" t="s">
        <v>246</v>
      </c>
      <c r="E48" s="225" t="str">
        <f t="shared" ca="1" si="0"/>
        <v>MR</v>
      </c>
      <c r="F48" s="348"/>
      <c r="G48" s="349">
        <f t="shared" ca="1" si="1"/>
        <v>12</v>
      </c>
      <c r="H48" s="350"/>
      <c r="I48" s="350"/>
      <c r="K48" s="191"/>
      <c r="M48" s="351"/>
      <c r="N48" s="351"/>
      <c r="AF48" s="169">
        <f t="shared" si="2"/>
        <v>0</v>
      </c>
      <c r="AG48" s="169" t="str">
        <f t="shared" ca="1" si="3"/>
        <v/>
      </c>
      <c r="AH48" s="169" t="str">
        <f t="shared" ca="1" si="19"/>
        <v/>
      </c>
      <c r="AJ48" s="169">
        <f t="shared" ca="1" si="4"/>
        <v>48</v>
      </c>
      <c r="AK48" s="169" t="str">
        <f t="shared" ca="1" si="20"/>
        <v>BBB-</v>
      </c>
      <c r="AL48" s="169">
        <f t="shared" ca="1" si="20"/>
        <v>17</v>
      </c>
      <c r="AM48" s="169" t="str">
        <f t="shared" ca="1" si="5"/>
        <v/>
      </c>
      <c r="AQ48" s="207" t="s">
        <v>285</v>
      </c>
      <c r="AR48" s="207" t="s">
        <v>141</v>
      </c>
      <c r="AS48" s="207">
        <v>18</v>
      </c>
      <c r="AT48" s="207" t="s">
        <v>286</v>
      </c>
      <c r="AV48" s="168">
        <f t="shared" si="21"/>
        <v>25</v>
      </c>
      <c r="AW48" s="168">
        <f>COUNTIF( AV$7:AV48, AV48 )</f>
        <v>12</v>
      </c>
      <c r="AX48" s="208">
        <f t="shared" si="22"/>
        <v>26.2</v>
      </c>
      <c r="AY48" s="168">
        <f t="shared" si="23"/>
        <v>36</v>
      </c>
      <c r="AZ48" s="169"/>
      <c r="BA48" s="169"/>
      <c r="BC48" s="168">
        <f t="shared" ca="1" si="24"/>
        <v>42</v>
      </c>
      <c r="BD48" s="209">
        <f t="shared" ca="1" si="7"/>
        <v>6</v>
      </c>
      <c r="BF48" s="173" t="str">
        <f t="shared" ca="1" si="25"/>
        <v>Black Hills Corporation</v>
      </c>
      <c r="BG48" s="173" t="str">
        <f t="shared" ca="1" si="9"/>
        <v>BBB-</v>
      </c>
      <c r="BH48" s="173">
        <f t="shared" ca="1" si="9"/>
        <v>17</v>
      </c>
      <c r="BI48" s="173" t="str">
        <f t="shared" ca="1" si="9"/>
        <v>BKH</v>
      </c>
    </row>
    <row r="49" spans="1:61" ht="13.8" x14ac:dyDescent="0.25">
      <c r="A49" s="223" t="s">
        <v>256</v>
      </c>
      <c r="B49" s="224" t="s">
        <v>142</v>
      </c>
      <c r="C49" s="224">
        <v>17</v>
      </c>
      <c r="D49" s="224" t="s">
        <v>257</v>
      </c>
      <c r="E49" s="225" t="str">
        <f t="shared" ca="1" si="0"/>
        <v>R</v>
      </c>
      <c r="F49" s="348"/>
      <c r="G49" s="349">
        <f t="shared" ca="1" si="1"/>
        <v>17</v>
      </c>
      <c r="H49" s="350"/>
      <c r="I49" s="350"/>
      <c r="J49" s="191"/>
      <c r="K49" s="191"/>
      <c r="M49" s="351"/>
      <c r="N49" s="351"/>
      <c r="AF49" s="169">
        <f t="shared" si="2"/>
        <v>0</v>
      </c>
      <c r="AG49" s="169" t="str">
        <f t="shared" ca="1" si="3"/>
        <v/>
      </c>
      <c r="AH49" s="169" t="str">
        <f t="shared" ca="1" si="19"/>
        <v/>
      </c>
      <c r="AJ49" s="169">
        <f t="shared" ca="1" si="4"/>
        <v>49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5"/>
        <v/>
      </c>
      <c r="AQ49" s="207" t="s">
        <v>243</v>
      </c>
      <c r="AR49" s="207" t="s">
        <v>141</v>
      </c>
      <c r="AS49" s="207">
        <v>18</v>
      </c>
      <c r="AT49" s="207" t="s">
        <v>244</v>
      </c>
      <c r="AV49" s="168">
        <f t="shared" si="21"/>
        <v>25</v>
      </c>
      <c r="AW49" s="168">
        <f>COUNTIF( AV$7:AV49, AV49 )</f>
        <v>13</v>
      </c>
      <c r="AX49" s="208">
        <f t="shared" si="22"/>
        <v>26.3</v>
      </c>
      <c r="AY49" s="168">
        <f t="shared" si="23"/>
        <v>37</v>
      </c>
      <c r="AZ49" s="169"/>
      <c r="BA49" s="169"/>
      <c r="BC49" s="168">
        <f t="shared" ca="1" si="24"/>
        <v>43</v>
      </c>
      <c r="BD49" s="209">
        <f t="shared" ca="1" si="7"/>
        <v>9</v>
      </c>
      <c r="BF49" s="173" t="str">
        <f t="shared" ca="1" si="25"/>
        <v>CMS Energy Corporation</v>
      </c>
      <c r="BG49" s="173" t="str">
        <f t="shared" ca="1" si="9"/>
        <v>BBB-</v>
      </c>
      <c r="BH49" s="173">
        <f t="shared" ca="1" si="9"/>
        <v>17</v>
      </c>
      <c r="BI49" s="173" t="str">
        <f t="shared" ca="1" si="9"/>
        <v>CMS</v>
      </c>
    </row>
    <row r="50" spans="1:61" ht="13.8" x14ac:dyDescent="0.25">
      <c r="A50" s="223" t="s">
        <v>259</v>
      </c>
      <c r="B50" s="224" t="s">
        <v>142</v>
      </c>
      <c r="C50" s="224">
        <v>17</v>
      </c>
      <c r="D50" s="224" t="s">
        <v>260</v>
      </c>
      <c r="E50" s="225" t="str">
        <f t="shared" ca="1" si="0"/>
        <v>R</v>
      </c>
      <c r="F50" s="348"/>
      <c r="G50" s="349">
        <f t="shared" ca="1" si="1"/>
        <v>63</v>
      </c>
      <c r="H50" s="350"/>
      <c r="I50" s="350"/>
      <c r="J50" s="191"/>
      <c r="K50" s="191"/>
      <c r="M50" s="351"/>
      <c r="N50" s="351"/>
      <c r="AF50" s="169">
        <f t="shared" si="2"/>
        <v>0</v>
      </c>
      <c r="AG50" s="169" t="str">
        <f t="shared" ca="1" si="3"/>
        <v/>
      </c>
      <c r="AH50" s="169" t="str">
        <f t="shared" ca="1" si="19"/>
        <v/>
      </c>
      <c r="AJ50" s="169">
        <f t="shared" ca="1" si="4"/>
        <v>51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5"/>
        <v/>
      </c>
      <c r="AQ50" s="207" t="s">
        <v>427</v>
      </c>
      <c r="AR50" s="207" t="s">
        <v>140</v>
      </c>
      <c r="AS50" s="207">
        <v>19</v>
      </c>
      <c r="AT50" s="207" t="s">
        <v>428</v>
      </c>
      <c r="AV50" s="168">
        <f t="shared" si="21"/>
        <v>12</v>
      </c>
      <c r="AW50" s="168">
        <f>COUNTIF( AV$7:AV50, AV50 )</f>
        <v>10</v>
      </c>
      <c r="AX50" s="208">
        <f t="shared" si="22"/>
        <v>13</v>
      </c>
      <c r="AY50" s="168">
        <f t="shared" si="23"/>
        <v>21</v>
      </c>
      <c r="AZ50" s="169"/>
      <c r="BA50" s="169"/>
      <c r="BC50" s="168">
        <f t="shared" ca="1" si="24"/>
        <v>44</v>
      </c>
      <c r="BD50" s="209">
        <f t="shared" ca="1" si="7"/>
        <v>12</v>
      </c>
      <c r="BF50" s="173" t="str">
        <f t="shared" ca="1" si="25"/>
        <v>DPL Inc.</v>
      </c>
      <c r="BG50" s="173" t="str">
        <f t="shared" ca="1" si="9"/>
        <v>BBB-</v>
      </c>
      <c r="BH50" s="173">
        <f t="shared" ca="1" si="9"/>
        <v>17</v>
      </c>
      <c r="BI50" s="173" t="str">
        <f t="shared" ca="1" si="9"/>
        <v>**DPL</v>
      </c>
    </row>
    <row r="51" spans="1:61" ht="13.8" x14ac:dyDescent="0.25">
      <c r="A51" s="223" t="s">
        <v>265</v>
      </c>
      <c r="B51" s="224" t="s">
        <v>142</v>
      </c>
      <c r="C51" s="224">
        <v>17</v>
      </c>
      <c r="D51" s="224" t="s">
        <v>266</v>
      </c>
      <c r="E51" s="225" t="str">
        <f t="shared" ca="1" si="0"/>
        <v>MR</v>
      </c>
      <c r="F51" s="348"/>
      <c r="G51" s="349">
        <f t="shared" ca="1" si="1"/>
        <v>23</v>
      </c>
      <c r="H51" s="350"/>
      <c r="I51" s="350"/>
      <c r="J51" s="191"/>
      <c r="K51" s="191"/>
      <c r="M51" s="351"/>
      <c r="N51" s="351"/>
      <c r="AF51" s="169">
        <f t="shared" si="2"/>
        <v>0</v>
      </c>
      <c r="AG51" s="169" t="str">
        <f t="shared" ca="1" si="3"/>
        <v/>
      </c>
      <c r="AH51" s="169" t="str">
        <f t="shared" ca="1" si="19"/>
        <v/>
      </c>
      <c r="AJ51" s="169">
        <f t="shared" ca="1" si="4"/>
        <v>52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5"/>
        <v/>
      </c>
      <c r="AQ51" s="207" t="s">
        <v>289</v>
      </c>
      <c r="AR51" s="207" t="s">
        <v>141</v>
      </c>
      <c r="AS51" s="207">
        <v>18</v>
      </c>
      <c r="AT51" s="207" t="s">
        <v>290</v>
      </c>
      <c r="AV51" s="168">
        <f t="shared" si="21"/>
        <v>25</v>
      </c>
      <c r="AW51" s="168">
        <f>COUNTIF( AV$7:AV51, AV51 )</f>
        <v>14</v>
      </c>
      <c r="AX51" s="208">
        <f t="shared" si="22"/>
        <v>26.4</v>
      </c>
      <c r="AY51" s="168">
        <f t="shared" si="23"/>
        <v>38</v>
      </c>
      <c r="AZ51" s="169"/>
      <c r="BA51" s="169"/>
      <c r="BC51" s="168">
        <f t="shared" ca="1" si="24"/>
        <v>45</v>
      </c>
      <c r="BD51" s="209">
        <f t="shared" ca="1" si="7"/>
        <v>15</v>
      </c>
      <c r="BF51" s="173" t="str">
        <f t="shared" ca="1" si="25"/>
        <v>Edison International</v>
      </c>
      <c r="BG51" s="173" t="str">
        <f t="shared" ca="1" si="9"/>
        <v>BBB-</v>
      </c>
      <c r="BH51" s="173">
        <f t="shared" ca="1" si="9"/>
        <v>17</v>
      </c>
      <c r="BI51" s="173" t="str">
        <f t="shared" ca="1" si="9"/>
        <v>EIX</v>
      </c>
    </row>
    <row r="52" spans="1:61" ht="13.8" x14ac:dyDescent="0.25">
      <c r="A52" s="223" t="s">
        <v>367</v>
      </c>
      <c r="B52" s="224" t="s">
        <v>142</v>
      </c>
      <c r="C52" s="224">
        <v>17</v>
      </c>
      <c r="D52" s="224" t="s">
        <v>368</v>
      </c>
      <c r="E52" s="225" t="str">
        <f t="shared" ca="1" si="0"/>
        <v>R</v>
      </c>
      <c r="F52" s="348"/>
      <c r="G52" s="349">
        <f t="shared" ca="1" si="1"/>
        <v>25</v>
      </c>
      <c r="H52" s="350"/>
      <c r="I52" s="350"/>
      <c r="J52" s="191"/>
      <c r="K52" s="191"/>
      <c r="AF52" s="169">
        <f t="shared" si="2"/>
        <v>0</v>
      </c>
      <c r="AG52" s="169" t="str">
        <f t="shared" ca="1" si="3"/>
        <v/>
      </c>
      <c r="AH52" s="169" t="str">
        <f t="shared" ca="1" si="19"/>
        <v/>
      </c>
      <c r="AJ52" s="169">
        <f t="shared" ca="1" si="4"/>
        <v>53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5"/>
        <v/>
      </c>
      <c r="AQ52" s="207" t="s">
        <v>305</v>
      </c>
      <c r="AR52" s="207" t="s">
        <v>173</v>
      </c>
      <c r="AS52" s="207">
        <v>16</v>
      </c>
      <c r="AT52" s="207" t="s">
        <v>306</v>
      </c>
      <c r="AV52" s="168">
        <f t="shared" si="21"/>
        <v>52</v>
      </c>
      <c r="AW52" s="168">
        <f>COUNTIF( AV$7:AV52, AV52 )</f>
        <v>2</v>
      </c>
      <c r="AX52" s="208">
        <f t="shared" si="22"/>
        <v>52.2</v>
      </c>
      <c r="AY52" s="168">
        <f t="shared" si="23"/>
        <v>53</v>
      </c>
      <c r="AZ52" s="169"/>
      <c r="BA52" s="169"/>
      <c r="BC52" s="168">
        <f t="shared" ca="1" si="24"/>
        <v>46</v>
      </c>
      <c r="BD52" s="209">
        <f t="shared" ca="1" si="7"/>
        <v>17</v>
      </c>
      <c r="BF52" s="173" t="str">
        <f t="shared" ca="1" si="25"/>
        <v>Empire District Electric Company</v>
      </c>
      <c r="BG52" s="173" t="str">
        <f t="shared" ca="1" si="9"/>
        <v>BBB-</v>
      </c>
      <c r="BH52" s="173">
        <f t="shared" ca="1" si="9"/>
        <v>17</v>
      </c>
      <c r="BI52" s="173" t="str">
        <f t="shared" ca="1" si="9"/>
        <v>EDE</v>
      </c>
    </row>
    <row r="53" spans="1:61" ht="13.8" x14ac:dyDescent="0.25">
      <c r="A53" s="223" t="s">
        <v>275</v>
      </c>
      <c r="B53" s="224" t="s">
        <v>142</v>
      </c>
      <c r="C53" s="224">
        <v>17</v>
      </c>
      <c r="D53" s="224" t="s">
        <v>276</v>
      </c>
      <c r="E53" s="225" t="str">
        <f t="shared" ca="1" si="0"/>
        <v>MR</v>
      </c>
      <c r="F53" s="348"/>
      <c r="G53" s="349">
        <f t="shared" ca="1" si="1"/>
        <v>28</v>
      </c>
      <c r="H53" s="350"/>
      <c r="I53" s="350"/>
      <c r="J53" s="191"/>
      <c r="K53" s="191"/>
      <c r="AF53" s="169">
        <f t="shared" si="2"/>
        <v>0</v>
      </c>
      <c r="AG53" s="169" t="str">
        <f t="shared" ca="1" si="3"/>
        <v/>
      </c>
      <c r="AH53" s="169" t="str">
        <f t="shared" ca="1" si="19"/>
        <v/>
      </c>
      <c r="AJ53" s="169">
        <f t="shared" ca="1" si="4"/>
        <v>54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5"/>
        <v/>
      </c>
      <c r="AQ53" s="207" t="s">
        <v>347</v>
      </c>
      <c r="AR53" s="207" t="s">
        <v>140</v>
      </c>
      <c r="AS53" s="207">
        <v>19</v>
      </c>
      <c r="AT53" s="207" t="s">
        <v>348</v>
      </c>
      <c r="AV53" s="168">
        <f t="shared" si="21"/>
        <v>12</v>
      </c>
      <c r="AW53" s="168">
        <f>COUNTIF( AV$7:AV53, AV53 )</f>
        <v>11</v>
      </c>
      <c r="AX53" s="208">
        <f t="shared" si="22"/>
        <v>13.1</v>
      </c>
      <c r="AY53" s="168">
        <f t="shared" si="23"/>
        <v>22</v>
      </c>
      <c r="AZ53" s="169"/>
      <c r="BA53" s="169"/>
      <c r="BC53" s="168">
        <f t="shared" ca="1" si="24"/>
        <v>47</v>
      </c>
      <c r="BD53" s="209">
        <f t="shared" ca="1" si="7"/>
        <v>21</v>
      </c>
      <c r="BF53" s="173" t="str">
        <f t="shared" ca="1" si="25"/>
        <v>FirstEnergy Corp.</v>
      </c>
      <c r="BG53" s="173" t="str">
        <f t="shared" ca="1" si="9"/>
        <v>BBB-</v>
      </c>
      <c r="BH53" s="173">
        <f t="shared" ca="1" si="9"/>
        <v>17</v>
      </c>
      <c r="BI53" s="173" t="str">
        <f t="shared" ca="1" si="9"/>
        <v>FE</v>
      </c>
    </row>
    <row r="54" spans="1:61" ht="13.8" x14ac:dyDescent="0.25">
      <c r="A54" s="223" t="s">
        <v>279</v>
      </c>
      <c r="B54" s="224" t="s">
        <v>142</v>
      </c>
      <c r="C54" s="224">
        <v>17</v>
      </c>
      <c r="D54" s="224" t="s">
        <v>280</v>
      </c>
      <c r="E54" s="225" t="str">
        <f t="shared" ca="1" si="0"/>
        <v>D</v>
      </c>
      <c r="F54" s="348"/>
      <c r="G54" s="349">
        <f t="shared" ca="1" si="1"/>
        <v>30</v>
      </c>
      <c r="H54" s="350"/>
      <c r="I54" s="350"/>
      <c r="J54" s="191"/>
      <c r="K54" s="191"/>
      <c r="AF54" s="169">
        <f t="shared" si="2"/>
        <v>0</v>
      </c>
      <c r="AG54" s="169" t="str">
        <f t="shared" ca="1" si="3"/>
        <v/>
      </c>
      <c r="AH54" s="169" t="str">
        <f t="shared" ca="1" si="19"/>
        <v/>
      </c>
      <c r="AJ54" s="169">
        <f t="shared" ca="1" si="4"/>
        <v>55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5"/>
        <v/>
      </c>
      <c r="AQ54" s="207" t="s">
        <v>291</v>
      </c>
      <c r="AR54" s="207" t="s">
        <v>140</v>
      </c>
      <c r="AS54" s="207">
        <v>19</v>
      </c>
      <c r="AT54" s="207" t="s">
        <v>292</v>
      </c>
      <c r="AV54" s="168">
        <f t="shared" si="21"/>
        <v>12</v>
      </c>
      <c r="AW54" s="168">
        <f>COUNTIF( AV$7:AV54, AV54 )</f>
        <v>12</v>
      </c>
      <c r="AX54" s="208">
        <f t="shared" si="22"/>
        <v>13.2</v>
      </c>
      <c r="AY54" s="168">
        <f t="shared" si="23"/>
        <v>23</v>
      </c>
      <c r="AZ54" s="169"/>
      <c r="BA54" s="169"/>
      <c r="BC54" s="168">
        <f t="shared" ca="1" si="24"/>
        <v>48</v>
      </c>
      <c r="BD54" s="209">
        <f t="shared" ca="1" si="7"/>
        <v>23</v>
      </c>
      <c r="BF54" s="173" t="str">
        <f t="shared" ca="1" si="25"/>
        <v>Hawaiian Electric Industries, Inc.</v>
      </c>
      <c r="BG54" s="173" t="str">
        <f t="shared" ca="1" si="9"/>
        <v>BBB-</v>
      </c>
      <c r="BH54" s="173">
        <f t="shared" ca="1" si="9"/>
        <v>17</v>
      </c>
      <c r="BI54" s="173" t="str">
        <f t="shared" ca="1" si="9"/>
        <v>HE</v>
      </c>
    </row>
    <row r="55" spans="1:61" ht="13.8" x14ac:dyDescent="0.25">
      <c r="A55" s="223" t="s">
        <v>287</v>
      </c>
      <c r="B55" s="224" t="s">
        <v>142</v>
      </c>
      <c r="C55" s="224">
        <v>17</v>
      </c>
      <c r="D55" s="224" t="s">
        <v>288</v>
      </c>
      <c r="E55" s="225" t="str">
        <f t="shared" ca="1" si="0"/>
        <v>R</v>
      </c>
      <c r="F55" s="348"/>
      <c r="G55" s="349">
        <f t="shared" ca="1" si="1"/>
        <v>66</v>
      </c>
      <c r="H55" s="350"/>
      <c r="I55" s="350"/>
      <c r="J55" s="191"/>
      <c r="K55" s="191"/>
      <c r="AF55" s="169">
        <f t="shared" si="2"/>
        <v>0</v>
      </c>
      <c r="AG55" s="169" t="str">
        <f t="shared" ca="1" si="3"/>
        <v/>
      </c>
      <c r="AH55" s="169" t="str">
        <f t="shared" ca="1" si="19"/>
        <v/>
      </c>
      <c r="AJ55" s="169">
        <f t="shared" ca="1" si="4"/>
        <v>56</v>
      </c>
      <c r="AK55" s="169" t="str">
        <f t="shared" ca="1" si="20"/>
        <v>BBB-</v>
      </c>
      <c r="AL55" s="169">
        <f t="shared" ca="1" si="20"/>
        <v>17</v>
      </c>
      <c r="AM55" s="169" t="str">
        <f t="shared" ca="1" si="5"/>
        <v/>
      </c>
      <c r="AQ55" s="207" t="s">
        <v>293</v>
      </c>
      <c r="AR55" s="207" t="s">
        <v>166</v>
      </c>
      <c r="AS55" s="207">
        <v>21</v>
      </c>
      <c r="AT55" s="207" t="s">
        <v>294</v>
      </c>
      <c r="AV55" s="168">
        <f t="shared" si="21"/>
        <v>2</v>
      </c>
      <c r="AW55" s="168">
        <f>COUNTIF( AV$7:AV55, AV55 )</f>
        <v>1</v>
      </c>
      <c r="AX55" s="208">
        <f t="shared" si="22"/>
        <v>2.1</v>
      </c>
      <c r="AY55" s="168">
        <f t="shared" si="23"/>
        <v>2</v>
      </c>
      <c r="AZ55" s="169"/>
      <c r="BA55" s="169"/>
      <c r="BC55" s="168">
        <f t="shared" ca="1" si="24"/>
        <v>49</v>
      </c>
      <c r="BD55" s="209">
        <f t="shared" ca="1" si="7"/>
        <v>27</v>
      </c>
      <c r="BF55" s="173" t="str">
        <f t="shared" ca="1" si="25"/>
        <v>IPALCO Enterprises, Inc.</v>
      </c>
      <c r="BG55" s="173" t="str">
        <f t="shared" ca="1" si="9"/>
        <v>BBB-</v>
      </c>
      <c r="BH55" s="173">
        <f t="shared" ca="1" si="9"/>
        <v>17</v>
      </c>
      <c r="BI55" s="173" t="str">
        <f t="shared" ca="1" si="9"/>
        <v>**IPALCO</v>
      </c>
    </row>
    <row r="56" spans="1:61" ht="13.8" x14ac:dyDescent="0.25">
      <c r="A56" s="223" t="s">
        <v>273</v>
      </c>
      <c r="B56" s="224" t="s">
        <v>142</v>
      </c>
      <c r="C56" s="224">
        <v>17</v>
      </c>
      <c r="D56" s="224" t="s">
        <v>274</v>
      </c>
      <c r="E56" s="225" t="str">
        <f t="shared" ca="1" si="0"/>
        <v>MR</v>
      </c>
      <c r="F56" s="348"/>
      <c r="G56" s="349">
        <f t="shared" ca="1" si="1"/>
        <v>36</v>
      </c>
      <c r="H56" s="350"/>
      <c r="I56" s="350"/>
      <c r="J56" s="191"/>
      <c r="K56" s="191"/>
      <c r="AF56" s="169">
        <f t="shared" si="2"/>
        <v>0</v>
      </c>
      <c r="AG56" s="169" t="str">
        <f t="shared" ca="1" si="3"/>
        <v/>
      </c>
      <c r="AH56" s="169" t="str">
        <f t="shared" ca="1" si="19"/>
        <v/>
      </c>
      <c r="AJ56" s="169">
        <f t="shared" ca="1" si="4"/>
        <v>57</v>
      </c>
      <c r="AK56" s="169" t="str">
        <f t="shared" ca="1" si="20"/>
        <v>BBB-</v>
      </c>
      <c r="AL56" s="169">
        <f t="shared" ca="1" si="20"/>
        <v>17</v>
      </c>
      <c r="AM56" s="169" t="str">
        <f t="shared" ca="1" si="5"/>
        <v/>
      </c>
      <c r="AQ56" s="207" t="s">
        <v>369</v>
      </c>
      <c r="AR56" s="207" t="s">
        <v>140</v>
      </c>
      <c r="AS56" s="207">
        <v>19</v>
      </c>
      <c r="AT56" s="207" t="s">
        <v>375</v>
      </c>
      <c r="AV56" s="168">
        <f t="shared" si="21"/>
        <v>12</v>
      </c>
      <c r="AW56" s="168">
        <f>COUNTIF( AV$7:AV56, AV56 )</f>
        <v>13</v>
      </c>
      <c r="AX56" s="208">
        <f t="shared" si="22"/>
        <v>13.3</v>
      </c>
      <c r="AY56" s="168">
        <f t="shared" si="23"/>
        <v>24</v>
      </c>
      <c r="AZ56" s="169"/>
      <c r="BA56" s="169"/>
      <c r="BC56" s="168">
        <f t="shared" ca="1" si="24"/>
        <v>50</v>
      </c>
      <c r="BD56" s="209">
        <f t="shared" ca="1" si="7"/>
        <v>31</v>
      </c>
      <c r="BF56" s="173" t="str">
        <f t="shared" ca="1" si="25"/>
        <v>NiSource Inc.</v>
      </c>
      <c r="BG56" s="173" t="str">
        <f t="shared" ca="1" si="9"/>
        <v>BBB-</v>
      </c>
      <c r="BH56" s="173">
        <f t="shared" ca="1" si="9"/>
        <v>17</v>
      </c>
      <c r="BI56" s="173" t="str">
        <f t="shared" ca="1" si="9"/>
        <v>NI</v>
      </c>
    </row>
    <row r="57" spans="1:61" ht="13.8" x14ac:dyDescent="0.25">
      <c r="A57" s="223" t="s">
        <v>299</v>
      </c>
      <c r="B57" s="224" t="s">
        <v>142</v>
      </c>
      <c r="C57" s="224">
        <v>17</v>
      </c>
      <c r="D57" s="224" t="s">
        <v>300</v>
      </c>
      <c r="E57" s="225" t="str">
        <f t="shared" ca="1" si="0"/>
        <v>MR</v>
      </c>
      <c r="F57" s="348"/>
      <c r="G57" s="349">
        <f t="shared" ca="1" si="1"/>
        <v>42</v>
      </c>
      <c r="H57" s="350"/>
      <c r="I57" s="350"/>
      <c r="J57" s="191"/>
      <c r="K57" s="191"/>
      <c r="AF57" s="169">
        <f t="shared" si="2"/>
        <v>0</v>
      </c>
      <c r="AG57" s="169" t="str">
        <f t="shared" ca="1" si="3"/>
        <v/>
      </c>
      <c r="AH57" s="169" t="str">
        <f t="shared" ca="1" si="19"/>
        <v/>
      </c>
      <c r="AJ57" s="169">
        <f t="shared" ca="1" si="4"/>
        <v>58</v>
      </c>
      <c r="AK57" s="169" t="str">
        <f t="shared" ca="1" si="20"/>
        <v>BBB-</v>
      </c>
      <c r="AL57" s="169">
        <f t="shared" ca="1" si="20"/>
        <v>17</v>
      </c>
      <c r="AM57" s="169" t="str">
        <f t="shared" ca="1" si="5"/>
        <v/>
      </c>
      <c r="AQ57" s="207" t="s">
        <v>389</v>
      </c>
      <c r="AR57" s="207" t="s">
        <v>141</v>
      </c>
      <c r="AS57" s="207">
        <v>18</v>
      </c>
      <c r="AT57" s="207" t="s">
        <v>390</v>
      </c>
      <c r="AV57" s="168">
        <f t="shared" si="21"/>
        <v>25</v>
      </c>
      <c r="AW57" s="168">
        <f>COUNTIF( AV$7:AV57, AV57 )</f>
        <v>15</v>
      </c>
      <c r="AX57" s="208">
        <f t="shared" si="22"/>
        <v>26.5</v>
      </c>
      <c r="AY57" s="168">
        <f t="shared" si="23"/>
        <v>39</v>
      </c>
      <c r="AZ57" s="169"/>
      <c r="BA57" s="169"/>
      <c r="BC57" s="168">
        <f t="shared" ca="1" si="24"/>
        <v>51</v>
      </c>
      <c r="BD57" s="209">
        <f t="shared" ca="1" si="7"/>
        <v>37</v>
      </c>
      <c r="BF57" s="173" t="str">
        <f t="shared" ca="1" si="25"/>
        <v>Otter Tail Corporation</v>
      </c>
      <c r="BG57" s="173" t="str">
        <f t="shared" ca="1" si="9"/>
        <v>BBB-</v>
      </c>
      <c r="BH57" s="173">
        <f t="shared" ca="1" si="9"/>
        <v>17</v>
      </c>
      <c r="BI57" s="173" t="str">
        <f t="shared" ca="1" si="9"/>
        <v>OTTR</v>
      </c>
    </row>
    <row r="58" spans="1:61" ht="13.8" x14ac:dyDescent="0.25">
      <c r="A58" s="223" t="s">
        <v>411</v>
      </c>
      <c r="B58" s="224" t="s">
        <v>173</v>
      </c>
      <c r="C58" s="224">
        <v>16</v>
      </c>
      <c r="D58" s="224" t="s">
        <v>412</v>
      </c>
      <c r="E58" s="225" t="str">
        <f t="shared" ca="1" si="0"/>
        <v>R</v>
      </c>
      <c r="F58" s="348"/>
      <c r="G58" s="349">
        <f t="shared" ca="1" si="1"/>
        <v>40</v>
      </c>
      <c r="H58" s="350"/>
      <c r="I58" s="350"/>
      <c r="J58" s="191"/>
      <c r="K58" s="191"/>
      <c r="AF58" s="169">
        <f t="shared" si="2"/>
        <v>1</v>
      </c>
      <c r="AG58" s="169" t="str">
        <f t="shared" ca="1" si="3"/>
        <v/>
      </c>
      <c r="AH58" s="169" t="str">
        <f t="shared" ca="1" si="19"/>
        <v/>
      </c>
      <c r="AJ58" s="169">
        <f t="shared" ca="1" si="4"/>
        <v>59</v>
      </c>
      <c r="AK58" s="169" t="str">
        <f t="shared" ca="1" si="20"/>
        <v>BB+</v>
      </c>
      <c r="AL58" s="169">
        <f t="shared" ca="1" si="20"/>
        <v>16</v>
      </c>
      <c r="AM58" s="169" t="str">
        <f t="shared" ca="1" si="5"/>
        <v/>
      </c>
      <c r="AQ58" s="207" t="s">
        <v>345</v>
      </c>
      <c r="AR58" s="207" t="s">
        <v>139</v>
      </c>
      <c r="AS58" s="207">
        <v>20</v>
      </c>
      <c r="AT58" s="207" t="s">
        <v>346</v>
      </c>
      <c r="AV58" s="168">
        <f t="shared" si="21"/>
        <v>3</v>
      </c>
      <c r="AW58" s="168">
        <f>COUNTIF( AV$7:AV58, AV58 )</f>
        <v>7</v>
      </c>
      <c r="AX58" s="208">
        <f t="shared" si="22"/>
        <v>3.7</v>
      </c>
      <c r="AY58" s="168">
        <f t="shared" si="23"/>
        <v>9</v>
      </c>
      <c r="AZ58" s="169"/>
      <c r="BA58" s="169"/>
      <c r="BC58" s="168">
        <f t="shared" ca="1" si="24"/>
        <v>52</v>
      </c>
      <c r="BD58" s="209">
        <f t="shared" ca="1" si="7"/>
        <v>35</v>
      </c>
      <c r="BF58" s="173" t="str">
        <f t="shared" ca="1" si="25"/>
        <v>NV Energy, Inc.</v>
      </c>
      <c r="BG58" s="173" t="str">
        <f t="shared" ca="1" si="9"/>
        <v>BB+</v>
      </c>
      <c r="BH58" s="173">
        <f t="shared" ca="1" si="9"/>
        <v>16</v>
      </c>
      <c r="BI58" s="173" t="str">
        <f t="shared" ca="1" si="9"/>
        <v>NVE</v>
      </c>
    </row>
    <row r="59" spans="1:61" ht="13.8" x14ac:dyDescent="0.25">
      <c r="A59" s="223" t="s">
        <v>305</v>
      </c>
      <c r="B59" s="224" t="s">
        <v>173</v>
      </c>
      <c r="C59" s="224">
        <v>16</v>
      </c>
      <c r="D59" s="224" t="s">
        <v>306</v>
      </c>
      <c r="E59" s="225" t="str">
        <f t="shared" ca="1" si="0"/>
        <v>R</v>
      </c>
      <c r="F59" s="348"/>
      <c r="G59" s="349">
        <f t="shared" ca="1" si="1"/>
        <v>68</v>
      </c>
      <c r="H59" s="350"/>
      <c r="I59" s="350"/>
      <c r="J59" s="191"/>
      <c r="K59" s="191"/>
      <c r="AF59" s="169">
        <f t="shared" si="2"/>
        <v>1</v>
      </c>
      <c r="AG59" s="169" t="str">
        <f t="shared" ca="1" si="3"/>
        <v/>
      </c>
      <c r="AH59" s="169" t="str">
        <f t="shared" ca="1" si="19"/>
        <v/>
      </c>
      <c r="AJ59" s="169">
        <f t="shared" ca="1" si="4"/>
        <v>60</v>
      </c>
      <c r="AK59" s="169" t="str">
        <f t="shared" ca="1" si="20"/>
        <v>BB+</v>
      </c>
      <c r="AL59" s="169">
        <f t="shared" ca="1" si="20"/>
        <v>16</v>
      </c>
      <c r="AM59" s="169" t="str">
        <f t="shared" ca="1" si="5"/>
        <v/>
      </c>
      <c r="AQ59" s="207" t="s">
        <v>354</v>
      </c>
      <c r="AR59" s="207" t="s">
        <v>141</v>
      </c>
      <c r="AS59" s="207">
        <v>18</v>
      </c>
      <c r="AT59" s="207" t="s">
        <v>355</v>
      </c>
      <c r="AV59" s="168">
        <f t="shared" si="21"/>
        <v>25</v>
      </c>
      <c r="AW59" s="168">
        <f>COUNTIF( AV$7:AV59, AV59 )</f>
        <v>16</v>
      </c>
      <c r="AX59" s="208">
        <f t="shared" si="22"/>
        <v>26.6</v>
      </c>
      <c r="AY59" s="168">
        <f t="shared" si="23"/>
        <v>40</v>
      </c>
      <c r="AZ59" s="169"/>
      <c r="BA59" s="169"/>
      <c r="BC59" s="168">
        <f t="shared" ca="1" si="24"/>
        <v>53</v>
      </c>
      <c r="BD59" s="209">
        <f t="shared" ca="1" si="7"/>
        <v>46</v>
      </c>
      <c r="BF59" s="173" t="str">
        <f t="shared" ca="1" si="25"/>
        <v>Puget Energy, Inc.</v>
      </c>
      <c r="BG59" s="173" t="str">
        <f t="shared" ca="1" si="9"/>
        <v>BB+</v>
      </c>
      <c r="BH59" s="173">
        <f t="shared" ca="1" si="9"/>
        <v>16</v>
      </c>
      <c r="BI59" s="173" t="str">
        <f t="shared" ca="1" si="9"/>
        <v>**PSD</v>
      </c>
    </row>
    <row r="60" spans="1:61" ht="13.8" x14ac:dyDescent="0.25">
      <c r="A60" s="180" t="s">
        <v>303</v>
      </c>
      <c r="B60" s="181" t="s">
        <v>175</v>
      </c>
      <c r="C60" s="181">
        <v>15</v>
      </c>
      <c r="D60" s="181" t="s">
        <v>304</v>
      </c>
      <c r="E60" s="225" t="str">
        <f t="shared" ca="1" si="0"/>
        <v>R</v>
      </c>
      <c r="F60" s="350"/>
      <c r="G60" s="353">
        <f t="shared" ca="1" si="1"/>
        <v>46</v>
      </c>
      <c r="H60" s="350"/>
      <c r="I60" s="350"/>
      <c r="AF60" s="169">
        <f t="shared" si="2"/>
        <v>0</v>
      </c>
      <c r="AG60" s="169" t="str">
        <f t="shared" ca="1" si="3"/>
        <v/>
      </c>
      <c r="AH60" s="169" t="str">
        <f t="shared" ca="1" si="19"/>
        <v/>
      </c>
      <c r="AJ60" s="169">
        <f t="shared" ca="1" si="4"/>
        <v>61</v>
      </c>
      <c r="AK60" s="169" t="str">
        <f t="shared" ca="1" si="20"/>
        <v>BB</v>
      </c>
      <c r="AL60" s="169">
        <f t="shared" ca="1" si="20"/>
        <v>15</v>
      </c>
      <c r="AM60" s="169" t="str">
        <f t="shared" ca="1" si="5"/>
        <v/>
      </c>
      <c r="AQ60" s="207" t="s">
        <v>247</v>
      </c>
      <c r="AR60" s="207" t="s">
        <v>139</v>
      </c>
      <c r="AS60" s="207">
        <v>20</v>
      </c>
      <c r="AT60" s="207" t="s">
        <v>248</v>
      </c>
      <c r="AV60" s="168">
        <f t="shared" si="21"/>
        <v>3</v>
      </c>
      <c r="AW60" s="168">
        <f>COUNTIF( AV$7:AV60, AV60 )</f>
        <v>8</v>
      </c>
      <c r="AX60" s="208">
        <f t="shared" si="22"/>
        <v>3.8</v>
      </c>
      <c r="AY60" s="168">
        <f t="shared" si="23"/>
        <v>10</v>
      </c>
      <c r="AZ60" s="169"/>
      <c r="BA60" s="169"/>
      <c r="BC60" s="168">
        <f t="shared" ca="1" si="24"/>
        <v>54</v>
      </c>
      <c r="BD60" s="209">
        <f t="shared" ca="1" si="7"/>
        <v>41</v>
      </c>
      <c r="BF60" s="173" t="str">
        <f t="shared" ca="1" si="25"/>
        <v>PNM Resources, Inc.</v>
      </c>
      <c r="BG60" s="173" t="str">
        <f t="shared" ca="1" si="9"/>
        <v>BB</v>
      </c>
      <c r="BH60" s="173">
        <f t="shared" ca="1" si="9"/>
        <v>15</v>
      </c>
      <c r="BI60" s="173" t="str">
        <f t="shared" ca="1" si="9"/>
        <v>PNM</v>
      </c>
    </row>
    <row r="61" spans="1:61" ht="13.8" x14ac:dyDescent="0.25">
      <c r="A61" s="180" t="s">
        <v>371</v>
      </c>
      <c r="B61" s="181" t="s">
        <v>187</v>
      </c>
      <c r="C61" s="181">
        <v>9</v>
      </c>
      <c r="D61" s="181" t="s">
        <v>359</v>
      </c>
      <c r="E61" s="225" t="str">
        <f t="shared" ca="1" si="0"/>
        <v>D</v>
      </c>
      <c r="F61" s="350"/>
      <c r="G61" s="353">
        <f t="shared" ca="1" si="1"/>
        <v>64</v>
      </c>
      <c r="H61" s="350"/>
      <c r="I61" s="350"/>
      <c r="AF61" s="169">
        <f t="shared" si="2"/>
        <v>1</v>
      </c>
      <c r="AG61" s="169" t="str">
        <f t="shared" ca="1" si="3"/>
        <v/>
      </c>
      <c r="AH61" s="169" t="str">
        <f t="shared" ca="1" si="19"/>
        <v/>
      </c>
      <c r="AJ61" s="169">
        <f t="shared" ca="1" si="4"/>
        <v>62</v>
      </c>
      <c r="AK61" s="169" t="str">
        <f t="shared" ca="1" si="20"/>
        <v>CCC</v>
      </c>
      <c r="AL61" s="169">
        <f t="shared" ca="1" si="20"/>
        <v>9</v>
      </c>
      <c r="AM61" s="169" t="str">
        <f t="shared" ca="1" si="5"/>
        <v/>
      </c>
      <c r="AQ61" s="207" t="s">
        <v>251</v>
      </c>
      <c r="AR61" s="207" t="s">
        <v>139</v>
      </c>
      <c r="AS61" s="207">
        <v>20</v>
      </c>
      <c r="AT61" s="207" t="s">
        <v>252</v>
      </c>
      <c r="AV61" s="168">
        <f t="shared" si="21"/>
        <v>3</v>
      </c>
      <c r="AW61" s="168">
        <f>COUNTIF( AV$7:AV61, AV61 )</f>
        <v>9</v>
      </c>
      <c r="AX61" s="208">
        <f t="shared" si="22"/>
        <v>3.9</v>
      </c>
      <c r="AY61" s="168">
        <f t="shared" si="23"/>
        <v>11</v>
      </c>
      <c r="AZ61" s="169"/>
      <c r="BA61" s="169"/>
      <c r="BC61" s="168">
        <f t="shared" ca="1" si="24"/>
        <v>55</v>
      </c>
      <c r="BD61" s="209">
        <f t="shared" ca="1" si="7"/>
        <v>18</v>
      </c>
      <c r="BF61" s="173" t="str">
        <f t="shared" ca="1" si="25"/>
        <v>Energy Future Holdings Corp.</v>
      </c>
      <c r="BG61" s="173" t="str">
        <f t="shared" ca="1" si="9"/>
        <v>CCC</v>
      </c>
      <c r="BH61" s="173">
        <f t="shared" ca="1" si="9"/>
        <v>9</v>
      </c>
      <c r="BI61" s="173" t="str">
        <f t="shared" ca="1" si="9"/>
        <v>**EFH</v>
      </c>
    </row>
    <row r="62" spans="1:61" ht="14.4" thickBot="1" x14ac:dyDescent="0.3">
      <c r="A62" s="192"/>
      <c r="B62" s="193"/>
      <c r="C62" s="193"/>
      <c r="D62" s="193"/>
      <c r="E62" s="194"/>
      <c r="F62" s="350"/>
      <c r="G62" s="353" t="str">
        <f t="shared" ca="1" si="1"/>
        <v/>
      </c>
      <c r="H62" s="350"/>
      <c r="I62" s="350"/>
      <c r="AF62" s="169">
        <f t="shared" si="2"/>
        <v>0</v>
      </c>
      <c r="AG62" s="169" t="str">
        <f t="shared" si="3"/>
        <v/>
      </c>
      <c r="AH62" s="169" t="str">
        <f t="shared" si="19"/>
        <v/>
      </c>
      <c r="AJ62" s="169" t="e">
        <f t="shared" ca="1" si="4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5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1</v>
      </c>
      <c r="AX62" s="208">
        <f t="shared" si="22"/>
        <v>99.1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7"/>
        <v>56</v>
      </c>
      <c r="BF62" s="173">
        <f t="shared" ca="1" si="25"/>
        <v>0</v>
      </c>
      <c r="BG62" s="173">
        <f t="shared" ca="1" si="9"/>
        <v>0</v>
      </c>
      <c r="BH62" s="173">
        <f t="shared" ca="1" si="9"/>
        <v>0</v>
      </c>
      <c r="BI62" s="173">
        <f t="shared" ca="1" si="9"/>
        <v>0</v>
      </c>
    </row>
    <row r="63" spans="1:61" ht="13.8" x14ac:dyDescent="0.25">
      <c r="A63" s="226" t="s">
        <v>384</v>
      </c>
      <c r="B63" s="227" t="s">
        <v>162</v>
      </c>
      <c r="C63" s="227">
        <v>23</v>
      </c>
      <c r="D63" s="227" t="s">
        <v>309</v>
      </c>
      <c r="E63" s="228" t="str">
        <f ca="1">OFFSET( INDIRECT( E$3 &amp; E$4 ), $G63 - 1, 0 )</f>
        <v>MR</v>
      </c>
      <c r="F63" s="354"/>
      <c r="G63" s="355">
        <f t="shared" ca="1" si="1"/>
        <v>34</v>
      </c>
      <c r="H63" s="350"/>
      <c r="I63" s="350"/>
      <c r="AF63" s="169">
        <f t="shared" si="2"/>
        <v>1</v>
      </c>
      <c r="AG63" s="169" t="str">
        <f t="shared" ca="1" si="3"/>
        <v/>
      </c>
      <c r="AH63" s="169" t="str">
        <f t="shared" ca="1" si="19"/>
        <v/>
      </c>
      <c r="AJ63" s="169">
        <f t="shared" ca="1" si="4"/>
        <v>63</v>
      </c>
      <c r="AK63" s="169" t="str">
        <f t="shared" ca="1" si="20"/>
        <v>AA-</v>
      </c>
      <c r="AL63" s="169">
        <f t="shared" ca="1" si="20"/>
        <v>23</v>
      </c>
      <c r="AM63" s="169" t="str">
        <f t="shared" ca="1" si="5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2</v>
      </c>
      <c r="AX63" s="208">
        <f t="shared" si="22"/>
        <v>99.2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ref="BG63" ca="1" si="26">OFFSET( AR$6, $BD63, 0 )</f>
        <v>0</v>
      </c>
      <c r="BH63" s="173">
        <f t="shared" ref="BH63" ca="1" si="27">OFFSET( AS$6, $BD63, 0 )</f>
        <v>0</v>
      </c>
      <c r="BI63" s="173">
        <f t="shared" ref="BI63" ca="1" si="28">OFFSET( AT$6, $BD63, 0 )</f>
        <v>0</v>
      </c>
    </row>
    <row r="64" spans="1:61" ht="13.8" x14ac:dyDescent="0.25">
      <c r="A64" s="223" t="s">
        <v>416</v>
      </c>
      <c r="B64" s="224" t="s">
        <v>166</v>
      </c>
      <c r="C64" s="224">
        <v>21</v>
      </c>
      <c r="D64" s="224" t="s">
        <v>417</v>
      </c>
      <c r="E64" s="225" t="str">
        <f ca="1">OFFSET( INDIRECT( E$3 &amp; E$4 ), $G64 - 1, 0 )</f>
        <v>R</v>
      </c>
      <c r="F64" s="348"/>
      <c r="G64" s="349">
        <f t="shared" ca="1" si="1"/>
        <v>15</v>
      </c>
      <c r="H64" s="350"/>
      <c r="I64" s="350"/>
      <c r="AF64" s="169">
        <f t="shared" si="2"/>
        <v>0</v>
      </c>
      <c r="AG64" s="169" t="str">
        <f t="shared" ca="1" si="3"/>
        <v/>
      </c>
      <c r="AH64" s="169" t="str">
        <f t="shared" ca="1" si="19"/>
        <v/>
      </c>
      <c r="AJ64" s="169">
        <f t="shared" ca="1" si="4"/>
        <v>64</v>
      </c>
      <c r="AK64" s="169" t="str">
        <f t="shared" ca="1" si="20"/>
        <v>A</v>
      </c>
      <c r="AL64" s="169">
        <f t="shared" ca="1" si="20"/>
        <v>21</v>
      </c>
      <c r="AM64" s="169" t="str">
        <f t="shared" ca="1" si="5"/>
        <v/>
      </c>
      <c r="AQ64" s="207"/>
      <c r="AR64" s="207"/>
      <c r="AS64" s="207"/>
      <c r="AT64" s="207"/>
      <c r="AU64" s="207"/>
      <c r="AZ64" s="169"/>
      <c r="BA64" s="169"/>
      <c r="BF64" s="169"/>
    </row>
    <row r="65" spans="1:58" ht="13.8" x14ac:dyDescent="0.25">
      <c r="A65" s="223" t="s">
        <v>399</v>
      </c>
      <c r="B65" s="224" t="s">
        <v>173</v>
      </c>
      <c r="C65" s="224">
        <v>16</v>
      </c>
      <c r="D65" s="224" t="s">
        <v>400</v>
      </c>
      <c r="E65" s="225" t="str">
        <f ca="1">OFFSET( INDIRECT( E$3 &amp; E$4 ), $G65 - 1, 0 )</f>
        <v>R</v>
      </c>
      <c r="F65" s="348"/>
      <c r="G65" s="349">
        <f t="shared" ca="1" si="1"/>
        <v>57</v>
      </c>
      <c r="H65" s="350"/>
      <c r="I65" s="350"/>
      <c r="N65" s="168" t="s">
        <v>310</v>
      </c>
      <c r="AF65" s="169">
        <f t="shared" si="2"/>
        <v>1</v>
      </c>
      <c r="AG65" s="169" t="str">
        <f ca="1">IF( LEN( $C65 ) = 0, "", IF( $C65 &gt; $AL65, 1, "" ) )</f>
        <v/>
      </c>
      <c r="AH65" s="169" t="str">
        <f t="shared" ca="1" si="19"/>
        <v/>
      </c>
      <c r="AJ65" s="169">
        <f t="shared" ca="1" si="4"/>
        <v>65</v>
      </c>
      <c r="AK65" s="169" t="str">
        <f t="shared" ca="1" si="20"/>
        <v>BB+</v>
      </c>
      <c r="AL65" s="169">
        <f t="shared" ca="1" si="20"/>
        <v>16</v>
      </c>
      <c r="AM65" s="169" t="str">
        <f t="shared" ca="1" si="5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ht="13.8" x14ac:dyDescent="0.25">
      <c r="A66" s="223" t="s">
        <v>401</v>
      </c>
      <c r="B66" s="229"/>
      <c r="C66" s="224"/>
      <c r="D66" s="224" t="s">
        <v>376</v>
      </c>
      <c r="E66" s="225" t="str">
        <f ca="1">OFFSET( INDIRECT( E$3 &amp; E$4 ), $G66 - 1, 0 )</f>
        <v>R</v>
      </c>
      <c r="F66" s="348"/>
      <c r="G66" s="349">
        <f t="shared" ca="1" si="1"/>
        <v>56</v>
      </c>
      <c r="H66" s="350"/>
      <c r="I66" s="350"/>
      <c r="AF66" s="169">
        <f t="shared" si="2"/>
        <v>0</v>
      </c>
      <c r="AG66" s="169" t="str">
        <f t="shared" ref="AG66:AG67" si="29">IF( LEN( $C66 ) = 0, "", IF( $C66 &gt; $AL66, 1, "" ) )</f>
        <v/>
      </c>
      <c r="AH66" s="169" t="str">
        <f t="shared" si="19"/>
        <v/>
      </c>
      <c r="AJ66" s="169">
        <f t="shared" ca="1" si="4"/>
        <v>67</v>
      </c>
      <c r="AK66" s="169" t="str">
        <f t="shared" ca="1" si="20"/>
        <v>N.A.</v>
      </c>
      <c r="AL66" s="169">
        <f t="shared" ca="1" si="20"/>
        <v>0</v>
      </c>
      <c r="AM66" s="169" t="str">
        <f t="shared" ca="1" si="5"/>
        <v>Change</v>
      </c>
      <c r="AQ66" s="207" t="s">
        <v>416</v>
      </c>
      <c r="AR66" s="207" t="s">
        <v>166</v>
      </c>
      <c r="AS66" s="207">
        <v>21</v>
      </c>
      <c r="AT66" s="207" t="s">
        <v>417</v>
      </c>
      <c r="AU66" s="207"/>
      <c r="AX66" s="208"/>
      <c r="AZ66" s="169"/>
      <c r="BA66" s="169"/>
      <c r="BD66" s="209"/>
      <c r="BF66" s="169"/>
    </row>
    <row r="67" spans="1:58" ht="14.4" thickBot="1" x14ac:dyDescent="0.3">
      <c r="A67" s="197"/>
      <c r="B67" s="198"/>
      <c r="C67" s="248"/>
      <c r="D67" s="198"/>
      <c r="E67" s="199"/>
      <c r="F67" s="350"/>
      <c r="H67" s="350"/>
      <c r="I67" s="350"/>
      <c r="AF67" s="169">
        <f t="shared" si="2"/>
        <v>0</v>
      </c>
      <c r="AG67" s="169" t="str">
        <f t="shared" si="29"/>
        <v/>
      </c>
      <c r="AH67" s="169" t="str">
        <f t="shared" si="19"/>
        <v/>
      </c>
      <c r="AJ67" s="169" t="e">
        <f t="shared" ca="1" si="4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5"/>
        <v/>
      </c>
      <c r="AQ67" s="207" t="s">
        <v>384</v>
      </c>
      <c r="AR67" s="207" t="s">
        <v>162</v>
      </c>
      <c r="AS67" s="207">
        <v>23</v>
      </c>
      <c r="AT67" s="207" t="s">
        <v>309</v>
      </c>
      <c r="AX67" s="208"/>
      <c r="AZ67" s="169"/>
      <c r="BA67" s="169"/>
      <c r="BD67" s="209"/>
      <c r="BF67" s="169"/>
    </row>
    <row r="68" spans="1:58" ht="13.8" x14ac:dyDescent="0.25">
      <c r="A68" s="200" t="s">
        <v>311</v>
      </c>
      <c r="B68" s="189" t="s">
        <v>141</v>
      </c>
      <c r="C68" s="201">
        <f>AVERAGE(C7:C65)</f>
        <v>18.293103448275861</v>
      </c>
      <c r="D68" s="201"/>
      <c r="E68" s="201"/>
      <c r="F68" s="350"/>
      <c r="H68" s="350"/>
      <c r="I68" s="350"/>
      <c r="J68" s="351"/>
      <c r="K68" s="351"/>
      <c r="AQ68" s="207" t="s">
        <v>399</v>
      </c>
      <c r="AR68" s="207" t="s">
        <v>173</v>
      </c>
      <c r="AS68" s="207">
        <v>16</v>
      </c>
      <c r="AT68" s="207" t="s">
        <v>400</v>
      </c>
      <c r="AX68" s="208"/>
      <c r="AZ68" s="169"/>
      <c r="BA68" s="169"/>
      <c r="BD68" s="209"/>
      <c r="BF68" s="169"/>
    </row>
    <row r="69" spans="1:58" x14ac:dyDescent="0.25">
      <c r="A69" s="202"/>
      <c r="B69" s="202"/>
      <c r="F69" s="350"/>
      <c r="H69" s="350"/>
      <c r="I69" s="350"/>
      <c r="AQ69" s="207" t="s">
        <v>295</v>
      </c>
      <c r="AR69" s="207" t="s">
        <v>423</v>
      </c>
      <c r="AS69" s="207"/>
      <c r="AT69" s="207" t="s">
        <v>296</v>
      </c>
      <c r="AX69" s="208"/>
      <c r="AZ69" s="169"/>
      <c r="BA69" s="169"/>
      <c r="BD69" s="209"/>
      <c r="BF69" s="169"/>
    </row>
    <row r="70" spans="1:58" x14ac:dyDescent="0.25">
      <c r="A70" s="202"/>
      <c r="B70" s="202"/>
      <c r="F70" s="173"/>
      <c r="H70" s="173"/>
      <c r="I70" s="173"/>
      <c r="J70" s="351"/>
      <c r="K70" s="351"/>
      <c r="AQ70" s="207" t="s">
        <v>424</v>
      </c>
      <c r="AR70" s="207" t="s">
        <v>423</v>
      </c>
      <c r="AS70" s="207"/>
      <c r="AT70" s="207" t="s">
        <v>425</v>
      </c>
    </row>
    <row r="71" spans="1:58" x14ac:dyDescent="0.25">
      <c r="A71" s="203" t="s">
        <v>312</v>
      </c>
      <c r="F71" s="173"/>
      <c r="H71" s="173"/>
      <c r="I71" s="173"/>
    </row>
    <row r="72" spans="1:58" x14ac:dyDescent="0.25">
      <c r="A72" s="203" t="s">
        <v>313</v>
      </c>
      <c r="B72" s="173"/>
      <c r="D72" s="173"/>
      <c r="E72" s="173"/>
      <c r="F72" s="204"/>
      <c r="H72" s="204"/>
      <c r="I72" s="204"/>
    </row>
    <row r="73" spans="1:58" x14ac:dyDescent="0.25">
      <c r="A73" s="205" t="s">
        <v>419</v>
      </c>
      <c r="B73" s="173"/>
      <c r="D73" s="173"/>
      <c r="E73" s="173"/>
      <c r="F73" s="204"/>
      <c r="H73" s="204"/>
      <c r="I73" s="204"/>
    </row>
    <row r="74" spans="1:58" x14ac:dyDescent="0.25">
      <c r="A74" s="205" t="s">
        <v>314</v>
      </c>
      <c r="B74" s="173"/>
      <c r="D74" s="173"/>
      <c r="E74" s="173"/>
      <c r="F74" s="204"/>
      <c r="H74" s="204"/>
      <c r="I74" s="204"/>
    </row>
    <row r="75" spans="1:58" x14ac:dyDescent="0.25">
      <c r="A75" s="205" t="s">
        <v>403</v>
      </c>
      <c r="D75" s="204"/>
      <c r="F75" s="206"/>
      <c r="H75" s="206"/>
      <c r="I75" s="206"/>
    </row>
    <row r="76" spans="1:58" x14ac:dyDescent="0.25">
      <c r="A76" s="203" t="s">
        <v>315</v>
      </c>
      <c r="D76" s="204"/>
      <c r="F76" s="206"/>
      <c r="H76" s="206"/>
      <c r="I76" s="206"/>
      <c r="AQ76" s="207"/>
      <c r="AR76" s="207"/>
      <c r="AS76" s="207"/>
    </row>
    <row r="77" spans="1:58" x14ac:dyDescent="0.25">
      <c r="A77" s="203"/>
      <c r="D77" s="204"/>
      <c r="F77" s="206"/>
      <c r="H77" s="206"/>
      <c r="I77" s="206"/>
      <c r="AQ77" s="207"/>
      <c r="AR77" s="207"/>
      <c r="AS77" s="207"/>
    </row>
    <row r="78" spans="1:58" x14ac:dyDescent="0.25">
      <c r="A78" s="203"/>
      <c r="AQ78" s="207"/>
      <c r="AR78" s="207"/>
      <c r="AS78" s="207"/>
    </row>
    <row r="79" spans="1:58" x14ac:dyDescent="0.25">
      <c r="C79" s="190">
        <f>SUMPRODUCT( L8:L13, Y8:Y13 ) / L14</f>
        <v>18.379310344827587</v>
      </c>
      <c r="E79" s="191"/>
      <c r="G79" s="353"/>
      <c r="J79" s="173"/>
      <c r="K79" s="173"/>
      <c r="AQ79" s="207"/>
      <c r="AR79" s="207"/>
      <c r="AS79" s="207"/>
    </row>
    <row r="80" spans="1:58" s="173" customFormat="1" ht="13.8" x14ac:dyDescent="0.25">
      <c r="A80" s="195"/>
      <c r="B80" s="185"/>
      <c r="C80" s="185"/>
      <c r="D80" s="185"/>
      <c r="E80" s="182"/>
      <c r="F80" s="168"/>
      <c r="G80" s="169"/>
      <c r="H80" s="168"/>
      <c r="I80" s="168"/>
      <c r="Q80" s="168"/>
      <c r="T80" s="169"/>
      <c r="U80" s="169"/>
      <c r="V80" s="169"/>
      <c r="AF80" s="169"/>
      <c r="AG80" s="169"/>
      <c r="AH80" s="169"/>
      <c r="AJ80" s="169"/>
      <c r="AK80" s="169"/>
      <c r="AL80" s="169"/>
      <c r="AM80" s="169"/>
      <c r="AN80" s="169"/>
      <c r="AQ80" s="207"/>
      <c r="AR80" s="207"/>
      <c r="AS80" s="207"/>
    </row>
    <row r="81" spans="43:45" x14ac:dyDescent="0.25">
      <c r="AQ81" s="207"/>
      <c r="AR81" s="207"/>
      <c r="AS81" s="207"/>
    </row>
    <row r="82" spans="43:45" x14ac:dyDescent="0.25">
      <c r="AQ82" s="207"/>
      <c r="AR82" s="207"/>
      <c r="AS82" s="207"/>
    </row>
  </sheetData>
  <sortState ref="AQ7:AT61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B62">
    <cfRule type="expression" dxfId="65" priority="61" stopIfTrue="1">
      <formula>IF( $AH60 = 1, TRUE, FALSE )</formula>
    </cfRule>
    <cfRule type="expression" dxfId="64" priority="62" stopIfTrue="1">
      <formula>IF( $AG60 = 1, TRUE, FALSE )</formula>
    </cfRule>
    <cfRule type="expression" dxfId="63" priority="63" stopIfTrue="1">
      <formula>IF( $AF60 = 1, TRUE, FALSE )</formula>
    </cfRule>
  </conditionalFormatting>
  <conditionalFormatting sqref="A67:B67">
    <cfRule type="expression" dxfId="62" priority="64" stopIfTrue="1">
      <formula>IF( $AH67 = 1, TRUE, FALSE )</formula>
    </cfRule>
    <cfRule type="expression" dxfId="61" priority="65" stopIfTrue="1">
      <formula>IF( $AG67 = 1, TRUE, FALSE )</formula>
    </cfRule>
    <cfRule type="expression" dxfId="60" priority="66" stopIfTrue="1">
      <formula>IF( $AF67 = 1, TRUE, FALSE )</formula>
    </cfRule>
  </conditionalFormatting>
  <conditionalFormatting sqref="A66:B66">
    <cfRule type="expression" dxfId="59" priority="58" stopIfTrue="1">
      <formula>IF( $AH66 = 1, TRUE, FALSE )</formula>
    </cfRule>
    <cfRule type="expression" dxfId="58" priority="59" stopIfTrue="1">
      <formula>IF( $AG66 = 1, TRUE, FALSE )</formula>
    </cfRule>
    <cfRule type="expression" dxfId="57" priority="60" stopIfTrue="1">
      <formula>IF( $AF66 = 1, TRUE, FALSE )</formula>
    </cfRule>
  </conditionalFormatting>
  <conditionalFormatting sqref="A7:B58">
    <cfRule type="expression" dxfId="56" priority="55" stopIfTrue="1">
      <formula>IF( $AH7 = 1, TRUE, FALSE )</formula>
    </cfRule>
    <cfRule type="expression" dxfId="55" priority="56" stopIfTrue="1">
      <formula>IF( $AG7 = 1, TRUE, FALSE )</formula>
    </cfRule>
    <cfRule type="expression" dxfId="54" priority="57" stopIfTrue="1">
      <formula>IF( $AF7 = 1, TRUE, FALSE )</formula>
    </cfRule>
  </conditionalFormatting>
  <conditionalFormatting sqref="A59:B59">
    <cfRule type="expression" dxfId="53" priority="52" stopIfTrue="1">
      <formula>IF( $AH59 = 1, TRUE, FALSE )</formula>
    </cfRule>
    <cfRule type="expression" dxfId="52" priority="53" stopIfTrue="1">
      <formula>IF( $AG59 = 1, TRUE, FALSE )</formula>
    </cfRule>
    <cfRule type="expression" dxfId="51" priority="54" stopIfTrue="1">
      <formula>IF( $AF59 = 1, TRUE, FALSE )</formula>
    </cfRule>
  </conditionalFormatting>
  <conditionalFormatting sqref="A62:B66">
    <cfRule type="expression" dxfId="50" priority="49" stopIfTrue="1">
      <formula>IF( $AH62 = 1, TRUE, FALSE )</formula>
    </cfRule>
    <cfRule type="expression" dxfId="49" priority="50" stopIfTrue="1">
      <formula>IF( $AG62 = 1, TRUE, FALSE )</formula>
    </cfRule>
    <cfRule type="expression" dxfId="48" priority="51" stopIfTrue="1">
      <formula>IF( $AF62 = 1, TRUE, FALSE )</formula>
    </cfRule>
  </conditionalFormatting>
  <conditionalFormatting sqref="U8:U12">
    <cfRule type="cellIs" dxfId="47" priority="48" operator="equal">
      <formula>0</formula>
    </cfRule>
  </conditionalFormatting>
  <conditionalFormatting sqref="O8:O12 Q8:Q12">
    <cfRule type="cellIs" dxfId="46" priority="47" operator="equal">
      <formula>0</formula>
    </cfRule>
  </conditionalFormatting>
  <conditionalFormatting sqref="V8:V12">
    <cfRule type="cellIs" dxfId="45" priority="46" operator="equal">
      <formula>0</formula>
    </cfRule>
  </conditionalFormatting>
  <conditionalFormatting sqref="S8:S12">
    <cfRule type="cellIs" dxfId="44" priority="44" operator="equal">
      <formula>0</formula>
    </cfRule>
  </conditionalFormatting>
  <conditionalFormatting sqref="R8:R12">
    <cfRule type="cellIs" dxfId="43" priority="45" operator="equal">
      <formula>0</formula>
    </cfRule>
  </conditionalFormatting>
  <conditionalFormatting sqref="P8:P12">
    <cfRule type="cellIs" dxfId="42" priority="43" operator="equal">
      <formula>0</formula>
    </cfRule>
  </conditionalFormatting>
  <conditionalFormatting sqref="M8:M12">
    <cfRule type="cellIs" dxfId="41" priority="42" operator="equal">
      <formula>0</formula>
    </cfRule>
  </conditionalFormatting>
  <conditionalFormatting sqref="T8:T12">
    <cfRule type="cellIs" dxfId="40" priority="41" operator="equal">
      <formula>0</formula>
    </cfRule>
  </conditionalFormatting>
  <conditionalFormatting sqref="N8:N12">
    <cfRule type="cellIs" dxfId="39" priority="40" operator="equal">
      <formula>0</formula>
    </cfRule>
  </conditionalFormatting>
  <conditionalFormatting sqref="K8:K12">
    <cfRule type="cellIs" dxfId="38" priority="39" operator="equal">
      <formula>0</formula>
    </cfRule>
  </conditionalFormatting>
  <conditionalFormatting sqref="W8:W12">
    <cfRule type="cellIs" dxfId="37" priority="38" operator="equal">
      <formula>0</formula>
    </cfRule>
  </conditionalFormatting>
  <conditionalFormatting sqref="C60:C62">
    <cfRule type="expression" dxfId="36" priority="32" stopIfTrue="1">
      <formula>IF( $AH60 = 1, TRUE, FALSE )</formula>
    </cfRule>
    <cfRule type="expression" dxfId="35" priority="33" stopIfTrue="1">
      <formula>IF( $AG60 = 1, TRUE, FALSE )</formula>
    </cfRule>
    <cfRule type="expression" dxfId="34" priority="34" stopIfTrue="1">
      <formula>IF( $AF60 = 1, TRUE, FALSE )</formula>
    </cfRule>
  </conditionalFormatting>
  <conditionalFormatting sqref="C67">
    <cfRule type="expression" dxfId="33" priority="35" stopIfTrue="1">
      <formula>IF( $AH67 = 1, TRUE, FALSE )</formula>
    </cfRule>
    <cfRule type="expression" dxfId="32" priority="36" stopIfTrue="1">
      <formula>IF( $AG67 = 1, TRUE, FALSE )</formula>
    </cfRule>
    <cfRule type="expression" dxfId="31" priority="37" stopIfTrue="1">
      <formula>IF( $AF67 = 1, TRUE, FALSE )</formula>
    </cfRule>
  </conditionalFormatting>
  <conditionalFormatting sqref="C66">
    <cfRule type="expression" dxfId="30" priority="29" stopIfTrue="1">
      <formula>IF( $AH66 = 1, TRUE, FALSE )</formula>
    </cfRule>
    <cfRule type="expression" dxfId="29" priority="30" stopIfTrue="1">
      <formula>IF( $AG66 = 1, TRUE, FALSE )</formula>
    </cfRule>
    <cfRule type="expression" dxfId="28" priority="31" stopIfTrue="1">
      <formula>IF( $AF66 = 1, TRUE, FALSE )</formula>
    </cfRule>
  </conditionalFormatting>
  <conditionalFormatting sqref="C7:C58">
    <cfRule type="expression" dxfId="27" priority="26" stopIfTrue="1">
      <formula>IF( $AH7 = 1, TRUE, FALSE )</formula>
    </cfRule>
    <cfRule type="expression" dxfId="26" priority="27" stopIfTrue="1">
      <formula>IF( $AG7 = 1, TRUE, FALSE )</formula>
    </cfRule>
    <cfRule type="expression" dxfId="25" priority="28" stopIfTrue="1">
      <formula>IF( $AF7 = 1, TRUE, FALSE )</formula>
    </cfRule>
  </conditionalFormatting>
  <conditionalFormatting sqref="C59">
    <cfRule type="expression" dxfId="24" priority="23" stopIfTrue="1">
      <formula>IF( $AH59 = 1, TRUE, FALSE )</formula>
    </cfRule>
    <cfRule type="expression" dxfId="23" priority="24" stopIfTrue="1">
      <formula>IF( $AG59 = 1, TRUE, FALSE )</formula>
    </cfRule>
    <cfRule type="expression" dxfId="22" priority="25" stopIfTrue="1">
      <formula>IF( $AF59 = 1, TRUE, FALSE )</formula>
    </cfRule>
  </conditionalFormatting>
  <conditionalFormatting sqref="C62:C66">
    <cfRule type="expression" dxfId="21" priority="20" stopIfTrue="1">
      <formula>IF( $AH62 = 1, TRUE, FALSE )</formula>
    </cfRule>
    <cfRule type="expression" dxfId="20" priority="21" stopIfTrue="1">
      <formula>IF( $AG62 = 1, TRUE, FALSE )</formula>
    </cfRule>
    <cfRule type="expression" dxfId="19" priority="22" stopIfTrue="1">
      <formula>IF( $AF62 = 1, TRUE, FALSE )</formula>
    </cfRule>
  </conditionalFormatting>
  <conditionalFormatting sqref="D60:E63 E7:E66">
    <cfRule type="expression" dxfId="18" priority="14" stopIfTrue="1">
      <formula>IF( $AH7 = 1, TRUE, FALSE )</formula>
    </cfRule>
    <cfRule type="expression" dxfId="17" priority="15" stopIfTrue="1">
      <formula>IF( $AG7 = 1, TRUE, FALSE )</formula>
    </cfRule>
    <cfRule type="expression" dxfId="16" priority="16" stopIfTrue="1">
      <formula>IF( $AF7 = 1, TRUE, FALSE )</formula>
    </cfRule>
  </conditionalFormatting>
  <conditionalFormatting sqref="D67:E67">
    <cfRule type="expression" dxfId="15" priority="17" stopIfTrue="1">
      <formula>IF( $AH67 = 1, TRUE, FALSE )</formula>
    </cfRule>
    <cfRule type="expression" dxfId="14" priority="18" stopIfTrue="1">
      <formula>IF( $AG67 = 1, TRUE, FALSE )</formula>
    </cfRule>
    <cfRule type="expression" dxfId="13" priority="19" stopIfTrue="1">
      <formula>IF( $AF67 = 1, TRUE, FALSE )</formula>
    </cfRule>
  </conditionalFormatting>
  <conditionalFormatting sqref="D66:E66">
    <cfRule type="expression" dxfId="12" priority="11" stopIfTrue="1">
      <formula>IF( $AH66 = 1, TRUE, FALSE )</formula>
    </cfRule>
    <cfRule type="expression" dxfId="11" priority="12" stopIfTrue="1">
      <formula>IF( $AG66 = 1, TRUE, FALSE )</formula>
    </cfRule>
    <cfRule type="expression" dxfId="10" priority="13" stopIfTrue="1">
      <formula>IF( $AF66 = 1, TRUE, FALSE )</formula>
    </cfRule>
  </conditionalFormatting>
  <conditionalFormatting sqref="D7:D58">
    <cfRule type="expression" dxfId="9" priority="8" stopIfTrue="1">
      <formula>IF( $AH7 = 1, TRUE, FALSE )</formula>
    </cfRule>
    <cfRule type="expression" dxfId="8" priority="9" stopIfTrue="1">
      <formula>IF( $AG7 = 1, TRUE, FALSE )</formula>
    </cfRule>
    <cfRule type="expression" dxfId="7" priority="10" stopIfTrue="1">
      <formula>IF( $AF7 = 1, TRUE, FALSE )</formula>
    </cfRule>
  </conditionalFormatting>
  <conditionalFormatting sqref="D59">
    <cfRule type="expression" dxfId="6" priority="5" stopIfTrue="1">
      <formula>IF( $AH59 = 1, TRUE, FALSE )</formula>
    </cfRule>
    <cfRule type="expression" dxfId="5" priority="6" stopIfTrue="1">
      <formula>IF( $AG59 = 1, TRUE, FALSE )</formula>
    </cfRule>
    <cfRule type="expression" dxfId="4" priority="7" stopIfTrue="1">
      <formula>IF( $AF59 = 1, TRUE, FALSE )</formula>
    </cfRule>
  </conditionalFormatting>
  <conditionalFormatting sqref="D62:D66">
    <cfRule type="expression" dxfId="3" priority="2" stopIfTrue="1">
      <formula>IF( $AH62 = 1, TRUE, FALSE )</formula>
    </cfRule>
    <cfRule type="expression" dxfId="2" priority="3" stopIfTrue="1">
      <formula>IF( $AG62 = 1, TRUE, FALSE )</formula>
    </cfRule>
    <cfRule type="expression" dxfId="1" priority="4" stopIfTrue="1">
      <formula>IF( $AF62 = 1, TRUE, FALSE )</formula>
    </cfRule>
  </conditionalFormatting>
  <conditionalFormatting sqref="I8:I12">
    <cfRule type="cellIs" dxfId="0" priority="1" operator="equal">
      <formula>0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002060"/>
    <pageSetUpPr fitToPage="1"/>
  </sheetPr>
  <dimension ref="A1:AG84"/>
  <sheetViews>
    <sheetView zoomScale="80" zoomScaleNormal="80" workbookViewId="0"/>
  </sheetViews>
  <sheetFormatPr defaultColWidth="9.109375" defaultRowHeight="13.2" outlineLevelCol="1" x14ac:dyDescent="0.25"/>
  <cols>
    <col min="1" max="1" width="35.109375" customWidth="1"/>
    <col min="4" max="4" width="9.109375" customWidth="1" outlineLevel="1"/>
    <col min="5" max="5" width="12.5546875" customWidth="1" outlineLevel="1"/>
    <col min="7" max="7" width="11.5546875" customWidth="1"/>
    <col min="11" max="11" width="11" bestFit="1" customWidth="1"/>
    <col min="12" max="12" width="4.88671875" bestFit="1" customWidth="1"/>
    <col min="17" max="26" width="9.109375" customWidth="1" outlineLevel="1"/>
    <col min="27" max="27" width="12.5546875" style="66" customWidth="1" outlineLevel="1"/>
    <col min="28" max="33" width="9.109375" customWidth="1" outlineLevel="1"/>
  </cols>
  <sheetData>
    <row r="1" spans="1:33" ht="18" x14ac:dyDescent="0.35">
      <c r="A1" s="40" t="s">
        <v>433</v>
      </c>
    </row>
    <row r="2" spans="1:33" ht="18" x14ac:dyDescent="0.35">
      <c r="A2" s="40"/>
    </row>
    <row r="3" spans="1:33" ht="18" x14ac:dyDescent="0.35">
      <c r="A3" s="40"/>
    </row>
    <row r="4" spans="1:33" ht="18" x14ac:dyDescent="0.35">
      <c r="A4" s="40"/>
    </row>
    <row r="5" spans="1:33" ht="13.8" x14ac:dyDescent="0.3">
      <c r="E5" s="65" t="s">
        <v>434</v>
      </c>
      <c r="AA5" s="65" t="s">
        <v>434</v>
      </c>
      <c r="AF5" s="82" t="s">
        <v>435</v>
      </c>
      <c r="AG5" s="81"/>
    </row>
    <row r="6" spans="1:33" ht="13.8" x14ac:dyDescent="0.3">
      <c r="A6" s="101" t="s">
        <v>212</v>
      </c>
      <c r="B6" s="102" t="s">
        <v>436</v>
      </c>
      <c r="C6" s="103"/>
      <c r="D6" s="103"/>
      <c r="E6" s="104">
        <v>40543</v>
      </c>
      <c r="W6" s="101" t="s">
        <v>212</v>
      </c>
      <c r="X6" s="102" t="s">
        <v>436</v>
      </c>
      <c r="Y6" s="103"/>
      <c r="Z6" s="103"/>
      <c r="AA6" s="104">
        <v>40543</v>
      </c>
      <c r="AC6" s="67" t="s">
        <v>136</v>
      </c>
      <c r="AD6" s="68"/>
      <c r="AE6" s="68"/>
      <c r="AF6" s="42">
        <f>AVERAGE(Y$13:Y$51)</f>
        <v>14.351351351351351</v>
      </c>
      <c r="AG6" s="79"/>
    </row>
    <row r="7" spans="1:33" ht="14.4" thickBot="1" x14ac:dyDescent="0.35">
      <c r="A7" s="45" t="s">
        <v>431</v>
      </c>
      <c r="B7" s="46" t="s">
        <v>164</v>
      </c>
      <c r="C7" s="46">
        <v>22</v>
      </c>
      <c r="D7" s="46" t="s">
        <v>432</v>
      </c>
      <c r="E7" s="61">
        <f>VLOOKUP($D7,$Q$7:$R$68,2,0)</f>
        <v>1</v>
      </c>
      <c r="F7" s="356"/>
      <c r="G7" s="57" t="s">
        <v>210</v>
      </c>
      <c r="H7" s="57" t="s">
        <v>134</v>
      </c>
      <c r="I7" s="57" t="s">
        <v>135</v>
      </c>
      <c r="N7" s="122"/>
      <c r="O7" s="122"/>
      <c r="Q7" s="93" t="s">
        <v>226</v>
      </c>
      <c r="R7" s="94">
        <v>0.84669359982989578</v>
      </c>
      <c r="S7" s="93" t="s">
        <v>203</v>
      </c>
      <c r="W7" s="113" t="s">
        <v>437</v>
      </c>
      <c r="X7" s="114" t="s">
        <v>139</v>
      </c>
      <c r="Y7" s="114">
        <v>16</v>
      </c>
      <c r="Z7" s="114" t="s">
        <v>438</v>
      </c>
      <c r="AA7" s="115" t="s">
        <v>423</v>
      </c>
      <c r="AC7" s="57" t="s">
        <v>210</v>
      </c>
      <c r="AD7" s="57" t="s">
        <v>134</v>
      </c>
      <c r="AE7" s="57" t="s">
        <v>135</v>
      </c>
      <c r="AG7" s="80"/>
    </row>
    <row r="8" spans="1:33" ht="13.8" x14ac:dyDescent="0.3">
      <c r="A8" s="37" t="s">
        <v>293</v>
      </c>
      <c r="B8" s="44" t="s">
        <v>166</v>
      </c>
      <c r="C8" s="44">
        <v>21</v>
      </c>
      <c r="D8" s="44" t="s">
        <v>294</v>
      </c>
      <c r="E8" s="60">
        <f t="shared" ref="E8:E13" si="0">VLOOKUP($D8,$Q$7:$R$68,2,0)</f>
        <v>0.92936836749527552</v>
      </c>
      <c r="F8" s="356"/>
      <c r="G8" s="37" t="s">
        <v>137</v>
      </c>
      <c r="H8" s="49">
        <f>COUNTIF(C$7:C$67,"&gt;20")</f>
        <v>4</v>
      </c>
      <c r="I8" s="50">
        <f>H8/H$14</f>
        <v>6.7796610169491525E-2</v>
      </c>
      <c r="K8" s="122"/>
      <c r="M8" s="122"/>
      <c r="N8" s="122"/>
      <c r="O8" s="122"/>
      <c r="Q8" s="93" t="s">
        <v>223</v>
      </c>
      <c r="R8" s="94">
        <v>0.96680210088197405</v>
      </c>
      <c r="S8" s="93" t="s">
        <v>203</v>
      </c>
      <c r="W8" s="37" t="s">
        <v>439</v>
      </c>
      <c r="X8" s="44" t="s">
        <v>139</v>
      </c>
      <c r="Y8" s="44">
        <v>16</v>
      </c>
      <c r="Z8" s="44" t="s">
        <v>440</v>
      </c>
      <c r="AA8" s="69" t="s">
        <v>423</v>
      </c>
      <c r="AC8" s="37" t="s">
        <v>137</v>
      </c>
      <c r="AD8" s="49">
        <f>COUNTIF(Y$13:Y$51,"&gt;16")</f>
        <v>3</v>
      </c>
      <c r="AE8" s="50">
        <f>AD8/AD$14</f>
        <v>8.1081081081081086E-2</v>
      </c>
      <c r="AG8" s="80"/>
    </row>
    <row r="9" spans="1:33" ht="13.8" x14ac:dyDescent="0.3">
      <c r="A9" s="45" t="s">
        <v>227</v>
      </c>
      <c r="B9" s="46" t="s">
        <v>139</v>
      </c>
      <c r="C9" s="46">
        <v>20</v>
      </c>
      <c r="D9" s="46" t="s">
        <v>228</v>
      </c>
      <c r="E9" s="61">
        <f t="shared" si="0"/>
        <v>0.89318320146074259</v>
      </c>
      <c r="F9" s="356"/>
      <c r="G9" s="37" t="s">
        <v>139</v>
      </c>
      <c r="H9" s="49">
        <f>COUNTIF(C$7:C$67,"=20")</f>
        <v>8</v>
      </c>
      <c r="I9" s="50">
        <f t="shared" ref="I9:I14" si="1">H9/H$14</f>
        <v>0.13559322033898305</v>
      </c>
      <c r="K9" s="122"/>
      <c r="M9" s="122"/>
      <c r="N9" s="122"/>
      <c r="O9" s="122"/>
      <c r="Q9" s="93" t="s">
        <v>441</v>
      </c>
      <c r="R9" s="94">
        <v>1</v>
      </c>
      <c r="S9" s="93" t="s">
        <v>203</v>
      </c>
      <c r="W9" s="37" t="s">
        <v>442</v>
      </c>
      <c r="X9" s="44" t="s">
        <v>140</v>
      </c>
      <c r="Y9" s="44">
        <v>15</v>
      </c>
      <c r="Z9" s="44" t="s">
        <v>443</v>
      </c>
      <c r="AA9" s="69" t="s">
        <v>423</v>
      </c>
      <c r="AC9" s="37" t="s">
        <v>139</v>
      </c>
      <c r="AD9" s="49">
        <f>COUNTIF(Y$13:Y$51,"=16")</f>
        <v>5</v>
      </c>
      <c r="AE9" s="50">
        <f t="shared" ref="AE9:AE14" si="2">AD9/AD$14</f>
        <v>0.13513513513513514</v>
      </c>
      <c r="AG9" s="80"/>
    </row>
    <row r="10" spans="1:33" ht="13.8" x14ac:dyDescent="0.3">
      <c r="A10" s="45" t="s">
        <v>361</v>
      </c>
      <c r="B10" s="46" t="s">
        <v>139</v>
      </c>
      <c r="C10" s="46">
        <v>20</v>
      </c>
      <c r="D10" s="46" t="s">
        <v>194</v>
      </c>
      <c r="E10" s="61">
        <f t="shared" si="0"/>
        <v>0.63157463237392464</v>
      </c>
      <c r="F10" s="356"/>
      <c r="G10" s="37" t="s">
        <v>140</v>
      </c>
      <c r="H10" s="49">
        <f>COUNTIF(C$7:C$67,"=19")</f>
        <v>14</v>
      </c>
      <c r="I10" s="50">
        <f t="shared" si="1"/>
        <v>0.23728813559322035</v>
      </c>
      <c r="K10" s="122"/>
      <c r="M10" s="122"/>
      <c r="N10" s="122"/>
      <c r="O10" s="122"/>
      <c r="Q10" s="93" t="s">
        <v>218</v>
      </c>
      <c r="R10" s="94">
        <v>0.91042888352305396</v>
      </c>
      <c r="S10" s="93" t="s">
        <v>203</v>
      </c>
      <c r="W10" s="37" t="s">
        <v>444</v>
      </c>
      <c r="X10" s="44" t="s">
        <v>140</v>
      </c>
      <c r="Y10" s="44">
        <v>15</v>
      </c>
      <c r="Z10" s="44" t="s">
        <v>445</v>
      </c>
      <c r="AA10" s="69" t="s">
        <v>423</v>
      </c>
      <c r="AC10" s="37" t="s">
        <v>140</v>
      </c>
      <c r="AD10" s="49">
        <f>COUNTIF(Y$13:Y$51,"=15")</f>
        <v>7</v>
      </c>
      <c r="AE10" s="50">
        <f t="shared" si="2"/>
        <v>0.1891891891891892</v>
      </c>
      <c r="AG10" s="80"/>
    </row>
    <row r="11" spans="1:33" ht="13.8" x14ac:dyDescent="0.3">
      <c r="A11" s="45" t="s">
        <v>263</v>
      </c>
      <c r="B11" s="46" t="s">
        <v>139</v>
      </c>
      <c r="C11" s="46">
        <v>20</v>
      </c>
      <c r="D11" s="46" t="s">
        <v>264</v>
      </c>
      <c r="E11" s="61">
        <f t="shared" si="0"/>
        <v>0.76510407852428497</v>
      </c>
      <c r="F11" s="356"/>
      <c r="G11" s="37" t="s">
        <v>141</v>
      </c>
      <c r="H11" s="49">
        <f>COUNTIF(C$7:C$67,"=18")</f>
        <v>16</v>
      </c>
      <c r="I11" s="50">
        <f t="shared" si="1"/>
        <v>0.2711864406779661</v>
      </c>
      <c r="K11" s="122"/>
      <c r="M11" s="122"/>
      <c r="N11" s="122"/>
      <c r="O11" s="122"/>
      <c r="Q11" s="93" t="s">
        <v>239</v>
      </c>
      <c r="R11" s="94">
        <v>0.91095138568993894</v>
      </c>
      <c r="S11" s="93" t="s">
        <v>203</v>
      </c>
      <c r="W11" s="37" t="s">
        <v>446</v>
      </c>
      <c r="X11" s="44" t="s">
        <v>141</v>
      </c>
      <c r="Y11" s="44">
        <v>14</v>
      </c>
      <c r="Z11" s="44" t="s">
        <v>447</v>
      </c>
      <c r="AA11" s="69" t="s">
        <v>423</v>
      </c>
      <c r="AC11" s="37" t="s">
        <v>141</v>
      </c>
      <c r="AD11" s="49">
        <f>COUNTIF(Y$13:Y$51,"=14")</f>
        <v>13</v>
      </c>
      <c r="AE11" s="50">
        <f t="shared" si="2"/>
        <v>0.35135135135135137</v>
      </c>
      <c r="AG11" s="80"/>
    </row>
    <row r="12" spans="1:33" ht="13.8" x14ac:dyDescent="0.3">
      <c r="A12" s="45" t="s">
        <v>387</v>
      </c>
      <c r="B12" s="46" t="s">
        <v>139</v>
      </c>
      <c r="C12" s="46">
        <v>20</v>
      </c>
      <c r="D12" s="46" t="s">
        <v>388</v>
      </c>
      <c r="E12" s="61">
        <f t="shared" si="0"/>
        <v>0.96341849943457658</v>
      </c>
      <c r="F12" s="356"/>
      <c r="G12" s="37" t="s">
        <v>142</v>
      </c>
      <c r="H12" s="49">
        <f>COUNTIF(C$7:C$67,"=17")</f>
        <v>12</v>
      </c>
      <c r="I12" s="50">
        <f t="shared" si="1"/>
        <v>0.20338983050847459</v>
      </c>
      <c r="Q12" s="93" t="s">
        <v>448</v>
      </c>
      <c r="R12" s="94">
        <v>0.62875460562079877</v>
      </c>
      <c r="S12" s="93" t="s">
        <v>204</v>
      </c>
      <c r="W12" s="37" t="s">
        <v>449</v>
      </c>
      <c r="X12" s="44" t="s">
        <v>142</v>
      </c>
      <c r="Y12" s="44">
        <v>13</v>
      </c>
      <c r="Z12" s="44" t="s">
        <v>450</v>
      </c>
      <c r="AA12" s="69" t="s">
        <v>423</v>
      </c>
      <c r="AC12" s="37" t="s">
        <v>142</v>
      </c>
      <c r="AD12" s="49">
        <f>COUNTIF(Y$13:Y$51,"=13")</f>
        <v>5</v>
      </c>
      <c r="AE12" s="50">
        <f t="shared" si="2"/>
        <v>0.13513513513513514</v>
      </c>
      <c r="AG12" s="80"/>
    </row>
    <row r="13" spans="1:33" ht="14.4" thickBot="1" x14ac:dyDescent="0.35">
      <c r="A13" s="45" t="s">
        <v>240</v>
      </c>
      <c r="B13" s="46" t="s">
        <v>139</v>
      </c>
      <c r="C13" s="46">
        <v>20</v>
      </c>
      <c r="D13" s="46" t="s">
        <v>241</v>
      </c>
      <c r="E13" s="61">
        <f t="shared" si="0"/>
        <v>0.541533003736272</v>
      </c>
      <c r="F13" s="356"/>
      <c r="G13" s="53" t="s">
        <v>143</v>
      </c>
      <c r="H13" s="55">
        <f>COUNTIF(C$7:C$67,"&lt;17")</f>
        <v>5</v>
      </c>
      <c r="I13" s="56">
        <f t="shared" si="1"/>
        <v>8.4745762711864403E-2</v>
      </c>
      <c r="Q13" s="93" t="s">
        <v>246</v>
      </c>
      <c r="R13" s="94">
        <v>0.68875112521618576</v>
      </c>
      <c r="S13" s="93" t="s">
        <v>204</v>
      </c>
      <c r="W13" s="37" t="s">
        <v>352</v>
      </c>
      <c r="X13" s="44" t="s">
        <v>141</v>
      </c>
      <c r="Y13" s="44">
        <v>14</v>
      </c>
      <c r="Z13" s="44" t="s">
        <v>353</v>
      </c>
      <c r="AA13" s="69">
        <v>1.0379329114785329</v>
      </c>
      <c r="AC13" s="53" t="s">
        <v>143</v>
      </c>
      <c r="AD13" s="55">
        <f>COUNTIF(Y$13:Y$51,"&lt;13")</f>
        <v>4</v>
      </c>
      <c r="AE13" s="56">
        <f t="shared" si="2"/>
        <v>0.10810810810810811</v>
      </c>
      <c r="AG13" s="80"/>
    </row>
    <row r="14" spans="1:33" ht="13.8" x14ac:dyDescent="0.3">
      <c r="A14" s="45" t="s">
        <v>345</v>
      </c>
      <c r="B14" s="46" t="s">
        <v>139</v>
      </c>
      <c r="C14" s="46">
        <v>20</v>
      </c>
      <c r="D14" s="46" t="s">
        <v>346</v>
      </c>
      <c r="E14" s="61">
        <f t="shared" ref="E14:E45" si="3">VLOOKUP($D14,$Q$7:$R$68,2,0)</f>
        <v>0.975461842272901</v>
      </c>
      <c r="F14" s="356"/>
      <c r="G14" s="41" t="s">
        <v>144</v>
      </c>
      <c r="H14" s="51">
        <f>SUM(H8:H13)</f>
        <v>59</v>
      </c>
      <c r="I14" s="52">
        <f t="shared" si="1"/>
        <v>1</v>
      </c>
      <c r="Q14" s="93" t="s">
        <v>451</v>
      </c>
      <c r="R14" s="94">
        <v>0.76017780502759058</v>
      </c>
      <c r="S14" s="93" t="s">
        <v>204</v>
      </c>
      <c r="W14" s="37" t="s">
        <v>367</v>
      </c>
      <c r="X14" s="44" t="s">
        <v>142</v>
      </c>
      <c r="Y14" s="44">
        <v>13</v>
      </c>
      <c r="Z14" s="44" t="s">
        <v>368</v>
      </c>
      <c r="AA14" s="69">
        <v>1.0292149475019923</v>
      </c>
      <c r="AC14" s="41" t="s">
        <v>144</v>
      </c>
      <c r="AD14" s="51">
        <f>SUM(AD8:AD13)</f>
        <v>37</v>
      </c>
      <c r="AE14" s="52">
        <f t="shared" si="2"/>
        <v>1</v>
      </c>
      <c r="AG14" s="80"/>
    </row>
    <row r="15" spans="1:33" ht="13.8" x14ac:dyDescent="0.3">
      <c r="A15" s="45" t="s">
        <v>247</v>
      </c>
      <c r="B15" s="46" t="s">
        <v>139</v>
      </c>
      <c r="C15" s="46">
        <v>20</v>
      </c>
      <c r="D15" s="46" t="s">
        <v>248</v>
      </c>
      <c r="E15" s="61">
        <f t="shared" si="3"/>
        <v>0.91865112788863534</v>
      </c>
      <c r="F15" s="356"/>
      <c r="K15" s="5"/>
      <c r="Q15" s="93" t="s">
        <v>452</v>
      </c>
      <c r="R15" s="94">
        <v>0.33305692234682915</v>
      </c>
      <c r="S15" s="93" t="s">
        <v>194</v>
      </c>
      <c r="W15" s="37" t="s">
        <v>431</v>
      </c>
      <c r="X15" s="44" t="s">
        <v>164</v>
      </c>
      <c r="Y15" s="44">
        <v>18</v>
      </c>
      <c r="Z15" s="44" t="s">
        <v>432</v>
      </c>
      <c r="AA15" s="69">
        <v>1</v>
      </c>
      <c r="AG15" s="80"/>
    </row>
    <row r="16" spans="1:33" ht="13.8" x14ac:dyDescent="0.3">
      <c r="A16" s="45" t="s">
        <v>251</v>
      </c>
      <c r="B16" s="46" t="s">
        <v>139</v>
      </c>
      <c r="C16" s="46">
        <v>20</v>
      </c>
      <c r="D16" s="46" t="s">
        <v>252</v>
      </c>
      <c r="E16" s="61">
        <f t="shared" si="3"/>
        <v>0.94700000000000006</v>
      </c>
      <c r="F16" s="356"/>
      <c r="K16" s="5"/>
      <c r="Q16" s="93" t="s">
        <v>453</v>
      </c>
      <c r="R16" s="94">
        <v>0.89001113183270453</v>
      </c>
      <c r="S16" s="93" t="s">
        <v>203</v>
      </c>
      <c r="W16" s="37" t="s">
        <v>328</v>
      </c>
      <c r="X16" s="44" t="s">
        <v>141</v>
      </c>
      <c r="Y16" s="44">
        <v>14</v>
      </c>
      <c r="Z16" s="44" t="s">
        <v>331</v>
      </c>
      <c r="AA16" s="69">
        <v>1</v>
      </c>
      <c r="AG16" s="80"/>
    </row>
    <row r="17" spans="1:33" ht="13.8" x14ac:dyDescent="0.3">
      <c r="A17" s="37" t="s">
        <v>217</v>
      </c>
      <c r="B17" s="44" t="s">
        <v>140</v>
      </c>
      <c r="C17" s="44">
        <v>19</v>
      </c>
      <c r="D17" s="44" t="s">
        <v>218</v>
      </c>
      <c r="E17" s="60">
        <f t="shared" si="3"/>
        <v>0.91042888352305396</v>
      </c>
      <c r="F17" s="356"/>
      <c r="K17" s="5"/>
      <c r="Q17" s="93" t="s">
        <v>257</v>
      </c>
      <c r="R17" s="94">
        <v>0.89235399590163933</v>
      </c>
      <c r="S17" s="93" t="s">
        <v>203</v>
      </c>
      <c r="W17" s="37" t="s">
        <v>285</v>
      </c>
      <c r="X17" s="44" t="s">
        <v>141</v>
      </c>
      <c r="Y17" s="44">
        <v>14</v>
      </c>
      <c r="Z17" s="44" t="s">
        <v>286</v>
      </c>
      <c r="AA17" s="69">
        <v>1</v>
      </c>
      <c r="AC17" s="67" t="s">
        <v>145</v>
      </c>
      <c r="AD17" s="68"/>
      <c r="AE17" s="68"/>
      <c r="AF17" s="42">
        <f>AVERAGE(Y$52:Y$70)</f>
        <v>14.578947368421053</v>
      </c>
      <c r="AG17" s="79"/>
    </row>
    <row r="18" spans="1:33" ht="14.4" thickBot="1" x14ac:dyDescent="0.35">
      <c r="A18" s="37" t="s">
        <v>219</v>
      </c>
      <c r="B18" s="44" t="s">
        <v>140</v>
      </c>
      <c r="C18" s="44">
        <v>19</v>
      </c>
      <c r="D18" s="44" t="s">
        <v>220</v>
      </c>
      <c r="E18" s="60">
        <f t="shared" si="3"/>
        <v>0.86662573118314323</v>
      </c>
      <c r="F18" s="356"/>
      <c r="K18" s="5"/>
      <c r="Q18" s="93" t="s">
        <v>378</v>
      </c>
      <c r="R18" s="94">
        <v>0.91199977892108686</v>
      </c>
      <c r="S18" s="93" t="s">
        <v>203</v>
      </c>
      <c r="W18" s="37" t="s">
        <v>354</v>
      </c>
      <c r="X18" s="44" t="s">
        <v>141</v>
      </c>
      <c r="Y18" s="44">
        <v>14</v>
      </c>
      <c r="Z18" s="44" t="s">
        <v>355</v>
      </c>
      <c r="AA18" s="69">
        <v>1</v>
      </c>
      <c r="AC18" s="57" t="s">
        <v>210</v>
      </c>
      <c r="AD18" s="57" t="s">
        <v>134</v>
      </c>
      <c r="AE18" s="57" t="s">
        <v>135</v>
      </c>
      <c r="AG18" s="80"/>
    </row>
    <row r="19" spans="1:33" ht="13.8" x14ac:dyDescent="0.3">
      <c r="A19" s="119" t="s">
        <v>249</v>
      </c>
      <c r="B19" s="120" t="s">
        <v>140</v>
      </c>
      <c r="C19" s="120">
        <v>19</v>
      </c>
      <c r="D19" s="120" t="s">
        <v>250</v>
      </c>
      <c r="E19" s="121">
        <f t="shared" si="3"/>
        <v>0.71562826313957539</v>
      </c>
      <c r="F19" s="356"/>
      <c r="K19" s="5"/>
      <c r="Q19" s="93" t="s">
        <v>250</v>
      </c>
      <c r="R19" s="94">
        <v>0.71562826313957539</v>
      </c>
      <c r="S19" s="93" t="s">
        <v>204</v>
      </c>
      <c r="W19" s="37" t="s">
        <v>259</v>
      </c>
      <c r="X19" s="44" t="s">
        <v>142</v>
      </c>
      <c r="Y19" s="44">
        <v>13</v>
      </c>
      <c r="Z19" s="44" t="s">
        <v>454</v>
      </c>
      <c r="AA19" s="69">
        <v>1</v>
      </c>
      <c r="AC19" s="37" t="s">
        <v>137</v>
      </c>
      <c r="AD19" s="49">
        <f>COUNTIF(Y$52:Y$70,"&gt;16")</f>
        <v>1</v>
      </c>
      <c r="AE19" s="50">
        <f>AD19/AD$25</f>
        <v>5.2631578947368418E-2</v>
      </c>
      <c r="AG19" s="80"/>
    </row>
    <row r="20" spans="1:33" ht="13.8" x14ac:dyDescent="0.3">
      <c r="A20" s="37" t="s">
        <v>261</v>
      </c>
      <c r="B20" s="44" t="s">
        <v>140</v>
      </c>
      <c r="C20" s="44">
        <v>19</v>
      </c>
      <c r="D20" s="44" t="s">
        <v>262</v>
      </c>
      <c r="E20" s="69">
        <f t="shared" si="3"/>
        <v>0.81254016709511567</v>
      </c>
      <c r="F20" s="356"/>
      <c r="K20" s="5"/>
      <c r="Q20" s="93" t="s">
        <v>425</v>
      </c>
      <c r="R20" s="94">
        <v>0.99609846555590886</v>
      </c>
      <c r="S20" s="93" t="s">
        <v>203</v>
      </c>
      <c r="W20" s="37" t="s">
        <v>287</v>
      </c>
      <c r="X20" s="44" t="s">
        <v>142</v>
      </c>
      <c r="Y20" s="44">
        <v>13</v>
      </c>
      <c r="Z20" s="44" t="s">
        <v>441</v>
      </c>
      <c r="AA20" s="69">
        <v>1</v>
      </c>
      <c r="AC20" s="37" t="s">
        <v>139</v>
      </c>
      <c r="AD20" s="49">
        <f>COUNTIF(Y$52:Y$70,"=16")</f>
        <v>3</v>
      </c>
      <c r="AE20" s="50">
        <f t="shared" ref="AE20:AE25" si="4">AD20/AD$25</f>
        <v>0.15789473684210525</v>
      </c>
      <c r="AG20" s="80"/>
    </row>
    <row r="21" spans="1:33" ht="13.8" x14ac:dyDescent="0.3">
      <c r="A21" s="37" t="s">
        <v>395</v>
      </c>
      <c r="B21" s="44" t="s">
        <v>140</v>
      </c>
      <c r="C21" s="44">
        <v>19</v>
      </c>
      <c r="D21" s="44" t="s">
        <v>396</v>
      </c>
      <c r="E21" s="60">
        <f t="shared" si="3"/>
        <v>0.83267459864721705</v>
      </c>
      <c r="F21" s="356"/>
      <c r="Q21" s="93" t="s">
        <v>194</v>
      </c>
      <c r="R21" s="94">
        <v>0.63157463237392464</v>
      </c>
      <c r="S21" s="93" t="s">
        <v>204</v>
      </c>
      <c r="W21" s="37" t="s">
        <v>301</v>
      </c>
      <c r="X21" s="44" t="s">
        <v>141</v>
      </c>
      <c r="Y21" s="44">
        <v>14</v>
      </c>
      <c r="Z21" s="44" t="s">
        <v>302</v>
      </c>
      <c r="AA21" s="69">
        <v>0.99967409016838671</v>
      </c>
      <c r="AC21" s="37" t="s">
        <v>140</v>
      </c>
      <c r="AD21" s="49">
        <f>COUNTIF(Y$52:Y$70,"=15")</f>
        <v>6</v>
      </c>
      <c r="AE21" s="50">
        <f t="shared" si="4"/>
        <v>0.31578947368421051</v>
      </c>
      <c r="AG21" s="80"/>
    </row>
    <row r="22" spans="1:33" ht="13.8" x14ac:dyDescent="0.3">
      <c r="A22" s="37" t="s">
        <v>271</v>
      </c>
      <c r="B22" s="44" t="s">
        <v>140</v>
      </c>
      <c r="C22" s="44">
        <v>19</v>
      </c>
      <c r="D22" s="44" t="s">
        <v>272</v>
      </c>
      <c r="E22" s="60">
        <f t="shared" si="3"/>
        <v>0.36101059894989318</v>
      </c>
      <c r="F22" s="356"/>
      <c r="Q22" s="93" t="s">
        <v>454</v>
      </c>
      <c r="R22" s="94">
        <v>1</v>
      </c>
      <c r="S22" s="93" t="s">
        <v>203</v>
      </c>
      <c r="W22" s="37" t="s">
        <v>424</v>
      </c>
      <c r="X22" s="47" t="s">
        <v>423</v>
      </c>
      <c r="Y22" s="47"/>
      <c r="Z22" s="44" t="s">
        <v>425</v>
      </c>
      <c r="AA22" s="69">
        <v>0.99609846555590886</v>
      </c>
      <c r="AC22" s="37" t="s">
        <v>141</v>
      </c>
      <c r="AD22" s="49">
        <f>COUNTIF(Y$52:Y$70,"=14")</f>
        <v>3</v>
      </c>
      <c r="AE22" s="50">
        <f t="shared" si="4"/>
        <v>0.15789473684210525</v>
      </c>
      <c r="AG22" s="80"/>
    </row>
    <row r="23" spans="1:33" ht="13.8" x14ac:dyDescent="0.3">
      <c r="A23" s="37" t="s">
        <v>408</v>
      </c>
      <c r="B23" s="44" t="s">
        <v>140</v>
      </c>
      <c r="C23" s="44">
        <v>19</v>
      </c>
      <c r="D23" s="44" t="s">
        <v>451</v>
      </c>
      <c r="E23" s="60">
        <f t="shared" si="3"/>
        <v>0.76017780502759058</v>
      </c>
      <c r="F23" s="356"/>
      <c r="Q23" s="93" t="s">
        <v>262</v>
      </c>
      <c r="R23" s="94">
        <v>0.81254016709511567</v>
      </c>
      <c r="S23" s="93" t="s">
        <v>203</v>
      </c>
      <c r="W23" s="37" t="s">
        <v>297</v>
      </c>
      <c r="X23" s="44" t="s">
        <v>141</v>
      </c>
      <c r="Y23" s="44">
        <v>14</v>
      </c>
      <c r="Z23" s="44" t="s">
        <v>298</v>
      </c>
      <c r="AA23" s="69">
        <v>0.99569209153466032</v>
      </c>
      <c r="AC23" s="37" t="s">
        <v>142</v>
      </c>
      <c r="AD23" s="49">
        <f>COUNTIF(Y$52:Y$70,"=13")</f>
        <v>6</v>
      </c>
      <c r="AE23" s="50">
        <f t="shared" si="4"/>
        <v>0.31578947368421051</v>
      </c>
      <c r="AG23" s="80"/>
    </row>
    <row r="24" spans="1:33" ht="14.4" thickBot="1" x14ac:dyDescent="0.35">
      <c r="A24" s="37" t="s">
        <v>394</v>
      </c>
      <c r="B24" s="44" t="s">
        <v>140</v>
      </c>
      <c r="C24" s="44">
        <v>19</v>
      </c>
      <c r="D24" s="44" t="s">
        <v>236</v>
      </c>
      <c r="E24" s="69">
        <f t="shared" si="3"/>
        <v>0.95294725244456668</v>
      </c>
      <c r="F24" s="356"/>
      <c r="Q24" s="93" t="s">
        <v>264</v>
      </c>
      <c r="R24" s="94">
        <v>0.76510407852428497</v>
      </c>
      <c r="S24" s="93" t="s">
        <v>204</v>
      </c>
      <c r="W24" s="37" t="s">
        <v>411</v>
      </c>
      <c r="X24" s="44" t="s">
        <v>173</v>
      </c>
      <c r="Y24" s="44">
        <v>12</v>
      </c>
      <c r="Z24" s="44" t="s">
        <v>412</v>
      </c>
      <c r="AA24" s="69">
        <v>0.99533285779852521</v>
      </c>
      <c r="AC24" s="53" t="s">
        <v>143</v>
      </c>
      <c r="AD24" s="55">
        <f>COUNTIF(Y$52:Y$70,"&lt;13")</f>
        <v>0</v>
      </c>
      <c r="AE24" s="56">
        <f t="shared" si="4"/>
        <v>0</v>
      </c>
      <c r="AG24" s="80"/>
    </row>
    <row r="25" spans="1:33" ht="13.8" x14ac:dyDescent="0.3">
      <c r="A25" s="37" t="s">
        <v>277</v>
      </c>
      <c r="B25" s="44" t="s">
        <v>140</v>
      </c>
      <c r="C25" s="44">
        <v>19</v>
      </c>
      <c r="D25" s="44" t="s">
        <v>278</v>
      </c>
      <c r="E25" s="60">
        <f t="shared" si="3"/>
        <v>0.76907329412838532</v>
      </c>
      <c r="F25" s="356"/>
      <c r="Q25" s="93" t="s">
        <v>455</v>
      </c>
      <c r="R25" s="94">
        <v>0.96341849943457658</v>
      </c>
      <c r="S25" s="93" t="s">
        <v>203</v>
      </c>
      <c r="W25" s="37" t="s">
        <v>305</v>
      </c>
      <c r="X25" s="44" t="s">
        <v>173</v>
      </c>
      <c r="Y25" s="44">
        <v>12</v>
      </c>
      <c r="Z25" s="44" t="s">
        <v>456</v>
      </c>
      <c r="AA25" s="69">
        <v>0.99461817608484948</v>
      </c>
      <c r="AC25" s="41" t="s">
        <v>144</v>
      </c>
      <c r="AD25" s="51">
        <f>SUM(AD19:AD24)</f>
        <v>19</v>
      </c>
      <c r="AE25" s="52">
        <f t="shared" si="4"/>
        <v>1</v>
      </c>
      <c r="AG25" s="80"/>
    </row>
    <row r="26" spans="1:33" ht="13.8" x14ac:dyDescent="0.3">
      <c r="A26" s="37" t="s">
        <v>382</v>
      </c>
      <c r="B26" s="44" t="s">
        <v>140</v>
      </c>
      <c r="C26" s="44">
        <v>19</v>
      </c>
      <c r="D26" s="44" t="s">
        <v>383</v>
      </c>
      <c r="E26" s="69">
        <f t="shared" si="3"/>
        <v>0.73349447513812149</v>
      </c>
      <c r="F26" s="356"/>
      <c r="Q26" s="93" t="s">
        <v>228</v>
      </c>
      <c r="R26" s="94">
        <v>0.89318320146074259</v>
      </c>
      <c r="S26" s="93" t="s">
        <v>203</v>
      </c>
      <c r="W26" s="37" t="s">
        <v>281</v>
      </c>
      <c r="X26" s="44" t="s">
        <v>141</v>
      </c>
      <c r="Y26" s="44">
        <v>14</v>
      </c>
      <c r="Z26" s="44" t="s">
        <v>282</v>
      </c>
      <c r="AA26" s="69">
        <v>0.99126425624848336</v>
      </c>
      <c r="AG26" s="80"/>
    </row>
    <row r="27" spans="1:33" ht="13.8" x14ac:dyDescent="0.3">
      <c r="A27" s="37" t="s">
        <v>427</v>
      </c>
      <c r="B27" s="44" t="s">
        <v>140</v>
      </c>
      <c r="C27" s="44">
        <v>19</v>
      </c>
      <c r="D27" s="44" t="s">
        <v>428</v>
      </c>
      <c r="E27" s="60">
        <f t="shared" si="3"/>
        <v>0.85816623707026407</v>
      </c>
      <c r="F27" s="356"/>
      <c r="Q27" s="93" t="s">
        <v>368</v>
      </c>
      <c r="R27" s="94">
        <v>1.0292149475019923</v>
      </c>
      <c r="S27" s="93" t="s">
        <v>203</v>
      </c>
      <c r="W27" s="37" t="s">
        <v>389</v>
      </c>
      <c r="X27" s="44" t="s">
        <v>141</v>
      </c>
      <c r="Y27" s="44">
        <v>14</v>
      </c>
      <c r="Z27" s="44" t="s">
        <v>390</v>
      </c>
      <c r="AA27" s="69">
        <v>0.98872477714287255</v>
      </c>
      <c r="AG27" s="80"/>
    </row>
    <row r="28" spans="1:33" ht="13.8" x14ac:dyDescent="0.3">
      <c r="A28" s="37" t="s">
        <v>347</v>
      </c>
      <c r="B28" s="44" t="s">
        <v>140</v>
      </c>
      <c r="C28" s="44">
        <v>19</v>
      </c>
      <c r="D28" s="44" t="s">
        <v>348</v>
      </c>
      <c r="E28" s="60">
        <f t="shared" si="3"/>
        <v>0.77444478716841458</v>
      </c>
      <c r="F28" s="356"/>
      <c r="Q28" s="93" t="s">
        <v>331</v>
      </c>
      <c r="R28" s="94">
        <v>1</v>
      </c>
      <c r="S28" s="93" t="s">
        <v>203</v>
      </c>
      <c r="W28" s="37" t="s">
        <v>295</v>
      </c>
      <c r="X28" s="47" t="s">
        <v>423</v>
      </c>
      <c r="Y28" s="47"/>
      <c r="Z28" s="47" t="s">
        <v>296</v>
      </c>
      <c r="AA28" s="62">
        <v>0.98538704581358605</v>
      </c>
      <c r="AC28" s="67" t="s">
        <v>147</v>
      </c>
      <c r="AD28" s="68"/>
      <c r="AE28" s="68"/>
      <c r="AF28" s="42">
        <f>AVERAGE(Y$71:Y$74)</f>
        <v>11.5</v>
      </c>
      <c r="AG28" s="79"/>
    </row>
    <row r="29" spans="1:33" ht="14.4" thickBot="1" x14ac:dyDescent="0.35">
      <c r="A29" s="37" t="s">
        <v>291</v>
      </c>
      <c r="B29" s="44" t="s">
        <v>140</v>
      </c>
      <c r="C29" s="44">
        <v>19</v>
      </c>
      <c r="D29" s="44" t="s">
        <v>292</v>
      </c>
      <c r="E29" s="60">
        <f t="shared" si="3"/>
        <v>0.66251692368655679</v>
      </c>
      <c r="F29" s="356"/>
      <c r="Q29" s="93" t="s">
        <v>457</v>
      </c>
      <c r="R29" s="94">
        <v>0.11951366732775717</v>
      </c>
      <c r="S29" s="93" t="s">
        <v>194</v>
      </c>
      <c r="W29" s="37" t="s">
        <v>283</v>
      </c>
      <c r="X29" s="44" t="s">
        <v>141</v>
      </c>
      <c r="Y29" s="44">
        <v>14</v>
      </c>
      <c r="Z29" s="44" t="s">
        <v>284</v>
      </c>
      <c r="AA29" s="69">
        <v>0.97697589100213744</v>
      </c>
      <c r="AC29" s="57" t="s">
        <v>210</v>
      </c>
      <c r="AD29" s="57" t="s">
        <v>134</v>
      </c>
      <c r="AE29" s="57" t="s">
        <v>135</v>
      </c>
    </row>
    <row r="30" spans="1:33" ht="13.8" x14ac:dyDescent="0.3">
      <c r="A30" s="37" t="s">
        <v>369</v>
      </c>
      <c r="B30" s="44" t="s">
        <v>140</v>
      </c>
      <c r="C30" s="44">
        <v>19</v>
      </c>
      <c r="D30" s="44" t="s">
        <v>375</v>
      </c>
      <c r="E30" s="69">
        <f t="shared" si="3"/>
        <v>0.93843994106691131</v>
      </c>
      <c r="F30" s="356"/>
      <c r="Q30" s="93" t="s">
        <v>266</v>
      </c>
      <c r="R30" s="94">
        <v>0.7886228860092247</v>
      </c>
      <c r="S30" s="93" t="s">
        <v>204</v>
      </c>
      <c r="W30" s="37" t="s">
        <v>345</v>
      </c>
      <c r="X30" s="44" t="s">
        <v>139</v>
      </c>
      <c r="Y30" s="44">
        <v>16</v>
      </c>
      <c r="Z30" s="44" t="s">
        <v>346</v>
      </c>
      <c r="AA30" s="69">
        <v>0.975461842272901</v>
      </c>
      <c r="AC30" s="37" t="s">
        <v>137</v>
      </c>
      <c r="AD30" s="49">
        <f>COUNTIF(Y$71:Y$74,"&gt;16")</f>
        <v>0</v>
      </c>
      <c r="AE30" s="50">
        <f>AD30/AD$36</f>
        <v>0</v>
      </c>
    </row>
    <row r="31" spans="1:33" ht="13.8" x14ac:dyDescent="0.3">
      <c r="A31" s="45" t="s">
        <v>222</v>
      </c>
      <c r="B31" s="46" t="s">
        <v>141</v>
      </c>
      <c r="C31" s="46">
        <v>18</v>
      </c>
      <c r="D31" s="46" t="s">
        <v>223</v>
      </c>
      <c r="E31" s="61">
        <f t="shared" si="3"/>
        <v>0.96680210088197405</v>
      </c>
      <c r="F31" s="356"/>
      <c r="K31" s="122"/>
      <c r="L31" s="122"/>
      <c r="Q31" s="93" t="s">
        <v>268</v>
      </c>
      <c r="R31" s="94">
        <v>0.80341264723043471</v>
      </c>
      <c r="S31" s="93" t="s">
        <v>203</v>
      </c>
      <c r="W31" s="37" t="s">
        <v>458</v>
      </c>
      <c r="X31" s="44" t="s">
        <v>173</v>
      </c>
      <c r="Y31" s="44">
        <v>12</v>
      </c>
      <c r="Z31" s="44" t="s">
        <v>459</v>
      </c>
      <c r="AA31" s="69">
        <v>0.97036252976978032</v>
      </c>
      <c r="AC31" s="37" t="s">
        <v>139</v>
      </c>
      <c r="AD31" s="49">
        <f>COUNTIF(Y$71:Y$74,"=16")</f>
        <v>0</v>
      </c>
      <c r="AE31" s="50">
        <f t="shared" ref="AE31:AE36" si="5">AD31/AD$36</f>
        <v>0</v>
      </c>
    </row>
    <row r="32" spans="1:33" ht="13.8" x14ac:dyDescent="0.3">
      <c r="A32" s="45" t="s">
        <v>238</v>
      </c>
      <c r="B32" s="46" t="s">
        <v>141</v>
      </c>
      <c r="C32" s="46">
        <v>18</v>
      </c>
      <c r="D32" s="46" t="s">
        <v>239</v>
      </c>
      <c r="E32" s="61">
        <f t="shared" si="3"/>
        <v>0.91095138568993894</v>
      </c>
      <c r="F32" s="356"/>
      <c r="L32" s="122"/>
      <c r="Q32" s="93" t="s">
        <v>270</v>
      </c>
      <c r="R32" s="94">
        <v>0.58646630934150079</v>
      </c>
      <c r="S32" s="93" t="s">
        <v>204</v>
      </c>
      <c r="W32" s="37" t="s">
        <v>222</v>
      </c>
      <c r="X32" s="44" t="s">
        <v>141</v>
      </c>
      <c r="Y32" s="44">
        <v>14</v>
      </c>
      <c r="Z32" s="44" t="s">
        <v>223</v>
      </c>
      <c r="AA32" s="69">
        <v>0.96680210088197405</v>
      </c>
      <c r="AC32" s="37" t="s">
        <v>140</v>
      </c>
      <c r="AD32" s="49">
        <f>COUNTIF(Y$71:Y$74,"=15")</f>
        <v>1</v>
      </c>
      <c r="AE32" s="50">
        <f t="shared" si="5"/>
        <v>0.25</v>
      </c>
    </row>
    <row r="33" spans="1:31" ht="13.8" x14ac:dyDescent="0.3">
      <c r="A33" s="45" t="s">
        <v>254</v>
      </c>
      <c r="B33" s="46" t="s">
        <v>141</v>
      </c>
      <c r="C33" s="46">
        <v>18</v>
      </c>
      <c r="D33" s="46" t="s">
        <v>378</v>
      </c>
      <c r="E33" s="61">
        <f t="shared" si="3"/>
        <v>0.91199977892108686</v>
      </c>
      <c r="F33" s="356"/>
      <c r="L33" s="122"/>
      <c r="Q33" s="93" t="s">
        <v>276</v>
      </c>
      <c r="R33" s="94">
        <v>0.64970550208303401</v>
      </c>
      <c r="S33" s="93" t="s">
        <v>204</v>
      </c>
      <c r="W33" s="37" t="s">
        <v>460</v>
      </c>
      <c r="X33" s="44" t="s">
        <v>139</v>
      </c>
      <c r="Y33" s="44">
        <v>16</v>
      </c>
      <c r="Z33" s="44" t="s">
        <v>455</v>
      </c>
      <c r="AA33" s="69">
        <v>0.96341849943457658</v>
      </c>
      <c r="AC33" s="37" t="s">
        <v>141</v>
      </c>
      <c r="AD33" s="49">
        <f>COUNTIF(Y$71:Y$74,"=14")</f>
        <v>0</v>
      </c>
      <c r="AE33" s="50">
        <f t="shared" si="5"/>
        <v>0</v>
      </c>
    </row>
    <row r="34" spans="1:31" ht="13.8" x14ac:dyDescent="0.3">
      <c r="A34" s="45" t="s">
        <v>328</v>
      </c>
      <c r="B34" s="46" t="s">
        <v>141</v>
      </c>
      <c r="C34" s="46">
        <v>18</v>
      </c>
      <c r="D34" s="46" t="s">
        <v>331</v>
      </c>
      <c r="E34" s="61">
        <f t="shared" si="3"/>
        <v>1</v>
      </c>
      <c r="F34" s="356"/>
      <c r="L34" s="122"/>
      <c r="Q34" s="93" t="s">
        <v>353</v>
      </c>
      <c r="R34" s="94">
        <v>1.0379329114785329</v>
      </c>
      <c r="S34" s="93" t="s">
        <v>203</v>
      </c>
      <c r="W34" s="37" t="s">
        <v>394</v>
      </c>
      <c r="X34" s="44" t="s">
        <v>140</v>
      </c>
      <c r="Y34" s="44">
        <v>15</v>
      </c>
      <c r="Z34" s="44" t="s">
        <v>236</v>
      </c>
      <c r="AA34" s="69">
        <v>0.95294725244456668</v>
      </c>
      <c r="AC34" s="37" t="s">
        <v>142</v>
      </c>
      <c r="AD34" s="49">
        <f>COUNTIF(Y$71:Y$74,"=13")</f>
        <v>2</v>
      </c>
      <c r="AE34" s="50">
        <f t="shared" si="5"/>
        <v>0.5</v>
      </c>
    </row>
    <row r="35" spans="1:31" ht="14.4" thickBot="1" x14ac:dyDescent="0.35">
      <c r="A35" s="45" t="s">
        <v>267</v>
      </c>
      <c r="B35" s="46" t="s">
        <v>141</v>
      </c>
      <c r="C35" s="46">
        <v>18</v>
      </c>
      <c r="D35" s="46" t="s">
        <v>268</v>
      </c>
      <c r="E35" s="61">
        <f t="shared" si="3"/>
        <v>0.80341264723043471</v>
      </c>
      <c r="F35" s="356"/>
      <c r="G35" s="49" t="s">
        <v>373</v>
      </c>
      <c r="L35" s="122"/>
      <c r="Q35" s="93" t="s">
        <v>280</v>
      </c>
      <c r="R35" s="94">
        <v>0.47637430521244206</v>
      </c>
      <c r="S35" s="93" t="s">
        <v>194</v>
      </c>
      <c r="W35" s="37" t="s">
        <v>251</v>
      </c>
      <c r="X35" s="44" t="s">
        <v>139</v>
      </c>
      <c r="Y35" s="44">
        <v>16</v>
      </c>
      <c r="Z35" s="44" t="s">
        <v>252</v>
      </c>
      <c r="AA35" s="69">
        <v>0.94700000000000006</v>
      </c>
      <c r="AC35" s="53" t="s">
        <v>143</v>
      </c>
      <c r="AD35" s="55">
        <f>COUNTIF(Y$71:Y$74,"&lt;13")</f>
        <v>1</v>
      </c>
      <c r="AE35" s="56">
        <f t="shared" si="5"/>
        <v>0.25</v>
      </c>
    </row>
    <row r="36" spans="1:31" ht="13.8" x14ac:dyDescent="0.3">
      <c r="A36" s="45" t="s">
        <v>269</v>
      </c>
      <c r="B36" s="46" t="s">
        <v>141</v>
      </c>
      <c r="C36" s="46">
        <v>18</v>
      </c>
      <c r="D36" s="46" t="s">
        <v>270</v>
      </c>
      <c r="E36" s="61">
        <f t="shared" si="3"/>
        <v>0.58646630934150079</v>
      </c>
      <c r="F36" s="356"/>
      <c r="G36" s="92"/>
      <c r="H36" s="7"/>
      <c r="I36" s="7"/>
      <c r="L36" s="122"/>
      <c r="Q36" s="93" t="s">
        <v>284</v>
      </c>
      <c r="R36" s="94">
        <v>0.97697589100213744</v>
      </c>
      <c r="S36" s="93" t="s">
        <v>203</v>
      </c>
      <c r="W36" s="37" t="s">
        <v>369</v>
      </c>
      <c r="X36" s="44" t="s">
        <v>140</v>
      </c>
      <c r="Y36" s="44">
        <v>15</v>
      </c>
      <c r="Z36" s="44" t="s">
        <v>375</v>
      </c>
      <c r="AA36" s="69">
        <v>0.93843994106691131</v>
      </c>
      <c r="AC36" s="41" t="s">
        <v>144</v>
      </c>
      <c r="AD36" s="51">
        <f>SUM(AD30:AD35)</f>
        <v>4</v>
      </c>
      <c r="AE36" s="52">
        <f t="shared" si="5"/>
        <v>1</v>
      </c>
    </row>
    <row r="37" spans="1:31" ht="13.8" x14ac:dyDescent="0.3">
      <c r="A37" s="45" t="s">
        <v>352</v>
      </c>
      <c r="B37" s="46" t="s">
        <v>141</v>
      </c>
      <c r="C37" s="46">
        <v>18</v>
      </c>
      <c r="D37" s="46" t="s">
        <v>353</v>
      </c>
      <c r="E37" s="61">
        <f t="shared" si="3"/>
        <v>1.0379329114785329</v>
      </c>
      <c r="F37" s="356"/>
      <c r="H37" s="5"/>
      <c r="J37" s="7"/>
      <c r="Q37" s="93" t="s">
        <v>220</v>
      </c>
      <c r="R37" s="94">
        <v>0.86662573118314323</v>
      </c>
      <c r="S37" s="93" t="s">
        <v>203</v>
      </c>
      <c r="W37" s="37" t="s">
        <v>303</v>
      </c>
      <c r="X37" s="44" t="s">
        <v>175</v>
      </c>
      <c r="Y37" s="44">
        <v>11</v>
      </c>
      <c r="Z37" s="44" t="s">
        <v>304</v>
      </c>
      <c r="AA37" s="69">
        <v>0.93520619672453054</v>
      </c>
    </row>
    <row r="38" spans="1:31" ht="13.8" x14ac:dyDescent="0.3">
      <c r="A38" s="45" t="s">
        <v>283</v>
      </c>
      <c r="B38" s="46" t="s">
        <v>141</v>
      </c>
      <c r="C38" s="46">
        <v>18</v>
      </c>
      <c r="D38" s="46" t="s">
        <v>284</v>
      </c>
      <c r="E38" s="61">
        <f t="shared" si="3"/>
        <v>0.97697589100213744</v>
      </c>
      <c r="F38" s="356"/>
      <c r="H38" s="5"/>
      <c r="J38" s="8"/>
      <c r="Q38" s="93" t="s">
        <v>272</v>
      </c>
      <c r="R38" s="94">
        <v>0.36101059894989318</v>
      </c>
      <c r="S38" s="93" t="s">
        <v>194</v>
      </c>
      <c r="W38" s="37" t="s">
        <v>293</v>
      </c>
      <c r="X38" s="44" t="s">
        <v>166</v>
      </c>
      <c r="Y38" s="44">
        <v>17</v>
      </c>
      <c r="Z38" s="44" t="s">
        <v>294</v>
      </c>
      <c r="AA38" s="69">
        <v>0.92936836749527552</v>
      </c>
    </row>
    <row r="39" spans="1:31" ht="13.8" x14ac:dyDescent="0.3">
      <c r="A39" s="45" t="s">
        <v>297</v>
      </c>
      <c r="B39" s="46" t="s">
        <v>141</v>
      </c>
      <c r="C39" s="46">
        <v>18</v>
      </c>
      <c r="D39" s="46" t="s">
        <v>298</v>
      </c>
      <c r="E39" s="61">
        <f t="shared" si="3"/>
        <v>0.99569209153466032</v>
      </c>
      <c r="F39" s="356"/>
      <c r="H39" s="5"/>
      <c r="J39" s="8"/>
      <c r="Q39" s="93" t="s">
        <v>461</v>
      </c>
      <c r="R39" s="94">
        <v>0.78418126509511765</v>
      </c>
      <c r="S39" s="93" t="s">
        <v>204</v>
      </c>
      <c r="W39" s="37" t="s">
        <v>247</v>
      </c>
      <c r="X39" s="44" t="s">
        <v>139</v>
      </c>
      <c r="Y39" s="44">
        <v>16</v>
      </c>
      <c r="Z39" s="44" t="s">
        <v>248</v>
      </c>
      <c r="AA39" s="69">
        <v>0.91865112788863534</v>
      </c>
    </row>
    <row r="40" spans="1:31" ht="13.8" x14ac:dyDescent="0.3">
      <c r="A40" s="116" t="s">
        <v>301</v>
      </c>
      <c r="B40" s="117" t="s">
        <v>141</v>
      </c>
      <c r="C40" s="117">
        <v>18</v>
      </c>
      <c r="D40" s="117" t="s">
        <v>302</v>
      </c>
      <c r="E40" s="118">
        <f t="shared" si="3"/>
        <v>0.99967409016838671</v>
      </c>
      <c r="F40" s="356"/>
      <c r="H40" s="5"/>
      <c r="J40" s="8"/>
      <c r="Q40" s="93" t="s">
        <v>241</v>
      </c>
      <c r="R40" s="94">
        <v>0.541533003736272</v>
      </c>
      <c r="S40" s="93" t="s">
        <v>204</v>
      </c>
      <c r="W40" s="37" t="s">
        <v>254</v>
      </c>
      <c r="X40" s="44" t="s">
        <v>141</v>
      </c>
      <c r="Y40" s="44">
        <v>14</v>
      </c>
      <c r="Z40" s="44" t="s">
        <v>378</v>
      </c>
      <c r="AA40" s="69">
        <v>0.91199977892108686</v>
      </c>
    </row>
    <row r="41" spans="1:31" ht="13.8" x14ac:dyDescent="0.3">
      <c r="A41" s="45" t="s">
        <v>281</v>
      </c>
      <c r="B41" s="46" t="s">
        <v>141</v>
      </c>
      <c r="C41" s="46">
        <v>18</v>
      </c>
      <c r="D41" s="46" t="s">
        <v>282</v>
      </c>
      <c r="E41" s="61">
        <f t="shared" si="3"/>
        <v>0.99126425624848336</v>
      </c>
      <c r="F41" s="356"/>
      <c r="H41" s="5"/>
      <c r="J41" s="8"/>
      <c r="Q41" s="93" t="s">
        <v>274</v>
      </c>
      <c r="R41" s="94">
        <v>0.57845507252191697</v>
      </c>
      <c r="S41" s="93" t="s">
        <v>204</v>
      </c>
      <c r="W41" s="37" t="s">
        <v>238</v>
      </c>
      <c r="X41" s="44" t="s">
        <v>141</v>
      </c>
      <c r="Y41" s="44">
        <v>14</v>
      </c>
      <c r="Z41" s="44" t="s">
        <v>239</v>
      </c>
      <c r="AA41" s="69">
        <v>0.91095138568993894</v>
      </c>
    </row>
    <row r="42" spans="1:31" ht="13.8" x14ac:dyDescent="0.3">
      <c r="A42" s="45" t="s">
        <v>285</v>
      </c>
      <c r="B42" s="46" t="s">
        <v>141</v>
      </c>
      <c r="C42" s="46">
        <v>18</v>
      </c>
      <c r="D42" s="46" t="s">
        <v>286</v>
      </c>
      <c r="E42" s="61">
        <f t="shared" si="3"/>
        <v>1</v>
      </c>
      <c r="F42" s="356"/>
      <c r="H42" s="5"/>
      <c r="J42" s="8"/>
      <c r="Q42" s="93" t="s">
        <v>432</v>
      </c>
      <c r="R42" s="94">
        <v>1</v>
      </c>
      <c r="S42" s="93" t="s">
        <v>203</v>
      </c>
      <c r="W42" s="37" t="s">
        <v>217</v>
      </c>
      <c r="X42" s="44" t="s">
        <v>140</v>
      </c>
      <c r="Y42" s="44">
        <v>15</v>
      </c>
      <c r="Z42" s="44" t="s">
        <v>218</v>
      </c>
      <c r="AA42" s="69">
        <v>0.91042888352305396</v>
      </c>
    </row>
    <row r="43" spans="1:31" ht="13.8" x14ac:dyDescent="0.3">
      <c r="A43" s="45" t="s">
        <v>243</v>
      </c>
      <c r="B43" s="46" t="s">
        <v>141</v>
      </c>
      <c r="C43" s="46">
        <v>18</v>
      </c>
      <c r="D43" s="46" t="s">
        <v>244</v>
      </c>
      <c r="E43" s="61">
        <f>VLOOKUP($D43,$Q$7:$R$68,2,0)</f>
        <v>0.61841824770837783</v>
      </c>
      <c r="F43" s="356"/>
      <c r="Q43" s="93" t="s">
        <v>236</v>
      </c>
      <c r="R43" s="94">
        <v>0.95294725244456668</v>
      </c>
      <c r="S43" s="93" t="s">
        <v>203</v>
      </c>
      <c r="W43" s="37" t="s">
        <v>227</v>
      </c>
      <c r="X43" s="44" t="s">
        <v>139</v>
      </c>
      <c r="Y43" s="44">
        <v>16</v>
      </c>
      <c r="Z43" s="44" t="s">
        <v>228</v>
      </c>
      <c r="AA43" s="69">
        <v>0.89318320146074259</v>
      </c>
    </row>
    <row r="44" spans="1:31" ht="13.8" x14ac:dyDescent="0.3">
      <c r="A44" s="45" t="s">
        <v>289</v>
      </c>
      <c r="B44" s="46" t="s">
        <v>141</v>
      </c>
      <c r="C44" s="46">
        <v>18</v>
      </c>
      <c r="D44" s="46" t="s">
        <v>290</v>
      </c>
      <c r="E44" s="61">
        <f t="shared" si="3"/>
        <v>0.5641445718679996</v>
      </c>
      <c r="F44" s="356"/>
      <c r="Q44" s="93" t="s">
        <v>412</v>
      </c>
      <c r="R44" s="94">
        <v>0.99533285779852521</v>
      </c>
      <c r="S44" s="93" t="s">
        <v>203</v>
      </c>
      <c r="W44" s="37" t="s">
        <v>256</v>
      </c>
      <c r="X44" s="44" t="s">
        <v>142</v>
      </c>
      <c r="Y44" s="44">
        <v>13</v>
      </c>
      <c r="Z44" s="44" t="s">
        <v>257</v>
      </c>
      <c r="AA44" s="69">
        <v>0.89235399590163933</v>
      </c>
    </row>
    <row r="45" spans="1:31" ht="13.8" x14ac:dyDescent="0.3">
      <c r="A45" s="45" t="s">
        <v>389</v>
      </c>
      <c r="B45" s="46" t="s">
        <v>141</v>
      </c>
      <c r="C45" s="46">
        <v>18</v>
      </c>
      <c r="D45" s="46" t="s">
        <v>390</v>
      </c>
      <c r="E45" s="61">
        <f t="shared" si="3"/>
        <v>0.98872477714287255</v>
      </c>
      <c r="F45" s="356"/>
      <c r="Q45" s="93" t="s">
        <v>298</v>
      </c>
      <c r="R45" s="94">
        <v>0.99569209153466032</v>
      </c>
      <c r="S45" s="93" t="s">
        <v>203</v>
      </c>
      <c r="W45" s="37" t="s">
        <v>462</v>
      </c>
      <c r="X45" s="44" t="s">
        <v>166</v>
      </c>
      <c r="Y45" s="44">
        <v>17</v>
      </c>
      <c r="Z45" s="44" t="s">
        <v>453</v>
      </c>
      <c r="AA45" s="69">
        <v>0.89001113183270453</v>
      </c>
    </row>
    <row r="46" spans="1:31" ht="13.8" x14ac:dyDescent="0.3">
      <c r="A46" s="45" t="s">
        <v>354</v>
      </c>
      <c r="B46" s="46" t="s">
        <v>141</v>
      </c>
      <c r="C46" s="46">
        <v>18</v>
      </c>
      <c r="D46" s="46" t="s">
        <v>355</v>
      </c>
      <c r="E46" s="61">
        <f t="shared" ref="E46:E67" si="6">VLOOKUP($D46,$Q$7:$R$68,2,0)</f>
        <v>1</v>
      </c>
      <c r="F46" s="356"/>
      <c r="G46" s="122"/>
      <c r="J46" s="122"/>
      <c r="Q46" s="93" t="s">
        <v>278</v>
      </c>
      <c r="R46" s="94">
        <v>0.76907329412838532</v>
      </c>
      <c r="S46" s="93" t="s">
        <v>204</v>
      </c>
      <c r="W46" s="37" t="s">
        <v>219</v>
      </c>
      <c r="X46" s="44" t="s">
        <v>140</v>
      </c>
      <c r="Y46" s="44">
        <v>15</v>
      </c>
      <c r="Z46" s="44" t="s">
        <v>220</v>
      </c>
      <c r="AA46" s="69">
        <v>0.86662573118314323</v>
      </c>
    </row>
    <row r="47" spans="1:31" ht="13.8" x14ac:dyDescent="0.3">
      <c r="A47" s="37" t="s">
        <v>225</v>
      </c>
      <c r="B47" s="44" t="s">
        <v>142</v>
      </c>
      <c r="C47" s="44">
        <v>17</v>
      </c>
      <c r="D47" s="44" t="s">
        <v>226</v>
      </c>
      <c r="E47" s="60">
        <f t="shared" si="6"/>
        <v>0.84669359982989578</v>
      </c>
      <c r="F47" s="356"/>
      <c r="G47" s="122"/>
      <c r="I47" s="122"/>
      <c r="J47" s="122"/>
      <c r="Q47" s="93" t="s">
        <v>300</v>
      </c>
      <c r="R47" s="94">
        <v>0.62481029959532464</v>
      </c>
      <c r="S47" s="93" t="s">
        <v>204</v>
      </c>
      <c r="W47" s="37" t="s">
        <v>427</v>
      </c>
      <c r="X47" s="44" t="s">
        <v>140</v>
      </c>
      <c r="Y47" s="44">
        <v>15</v>
      </c>
      <c r="Z47" s="44" t="s">
        <v>428</v>
      </c>
      <c r="AA47" s="69">
        <v>0.85816623707026407</v>
      </c>
    </row>
    <row r="48" spans="1:31" ht="13.8" x14ac:dyDescent="0.3">
      <c r="A48" s="37" t="s">
        <v>245</v>
      </c>
      <c r="B48" s="44" t="s">
        <v>142</v>
      </c>
      <c r="C48" s="44">
        <v>17</v>
      </c>
      <c r="D48" s="44" t="s">
        <v>246</v>
      </c>
      <c r="E48" s="60">
        <f t="shared" si="6"/>
        <v>0.68875112521618576</v>
      </c>
      <c r="F48" s="356"/>
      <c r="G48" s="122"/>
      <c r="I48" s="122"/>
      <c r="J48" s="122"/>
      <c r="Q48" s="93" t="s">
        <v>302</v>
      </c>
      <c r="R48" s="94">
        <v>0.99967409016838671</v>
      </c>
      <c r="S48" s="93" t="s">
        <v>203</v>
      </c>
      <c r="W48" s="37" t="s">
        <v>225</v>
      </c>
      <c r="X48" s="44" t="s">
        <v>142</v>
      </c>
      <c r="Y48" s="44">
        <v>13</v>
      </c>
      <c r="Z48" s="44" t="s">
        <v>226</v>
      </c>
      <c r="AA48" s="69">
        <v>0.84669359982989578</v>
      </c>
    </row>
    <row r="49" spans="1:27" ht="13.8" x14ac:dyDescent="0.3">
      <c r="A49" s="37" t="s">
        <v>256</v>
      </c>
      <c r="B49" s="44" t="s">
        <v>142</v>
      </c>
      <c r="C49" s="44">
        <v>17</v>
      </c>
      <c r="D49" s="44" t="s">
        <v>257</v>
      </c>
      <c r="E49" s="60">
        <f t="shared" si="6"/>
        <v>0.89235399590163933</v>
      </c>
      <c r="F49" s="356"/>
      <c r="G49" s="122"/>
      <c r="I49" s="122"/>
      <c r="J49" s="122"/>
      <c r="Q49" s="93" t="s">
        <v>290</v>
      </c>
      <c r="R49" s="94">
        <v>0.5641445718679996</v>
      </c>
      <c r="S49" s="93" t="s">
        <v>204</v>
      </c>
      <c r="W49" s="37" t="s">
        <v>395</v>
      </c>
      <c r="X49" s="44" t="s">
        <v>140</v>
      </c>
      <c r="Y49" s="44">
        <v>15</v>
      </c>
      <c r="Z49" s="44" t="s">
        <v>396</v>
      </c>
      <c r="AA49" s="69">
        <v>0.83267459864721705</v>
      </c>
    </row>
    <row r="50" spans="1:27" ht="13.8" x14ac:dyDescent="0.3">
      <c r="A50" s="37" t="s">
        <v>463</v>
      </c>
      <c r="B50" s="44" t="s">
        <v>142</v>
      </c>
      <c r="C50" s="44">
        <v>17</v>
      </c>
      <c r="D50" s="44" t="s">
        <v>452</v>
      </c>
      <c r="E50" s="69">
        <f t="shared" si="6"/>
        <v>0.33305692234682915</v>
      </c>
      <c r="F50" s="356"/>
      <c r="G50" s="122"/>
      <c r="I50" s="122"/>
      <c r="J50" s="122"/>
      <c r="Q50" s="93" t="s">
        <v>428</v>
      </c>
      <c r="R50" s="94">
        <v>0.85816623707026407</v>
      </c>
      <c r="S50" s="93" t="s">
        <v>203</v>
      </c>
      <c r="W50" s="37" t="s">
        <v>261</v>
      </c>
      <c r="X50" s="44" t="s">
        <v>140</v>
      </c>
      <c r="Y50" s="44">
        <v>15</v>
      </c>
      <c r="Z50" s="44" t="s">
        <v>262</v>
      </c>
      <c r="AA50" s="69">
        <v>0.81254016709511567</v>
      </c>
    </row>
    <row r="51" spans="1:27" ht="13.8" x14ac:dyDescent="0.3">
      <c r="A51" s="116" t="s">
        <v>259</v>
      </c>
      <c r="B51" s="117" t="s">
        <v>142</v>
      </c>
      <c r="C51" s="117">
        <v>17</v>
      </c>
      <c r="D51" s="117" t="s">
        <v>454</v>
      </c>
      <c r="E51" s="118">
        <f t="shared" si="6"/>
        <v>1</v>
      </c>
      <c r="F51" s="356"/>
      <c r="I51" s="122"/>
      <c r="J51" s="122"/>
      <c r="Q51" s="93" t="s">
        <v>304</v>
      </c>
      <c r="R51" s="94">
        <v>0.93520619672453054</v>
      </c>
      <c r="S51" s="93" t="s">
        <v>203</v>
      </c>
      <c r="W51" s="37" t="s">
        <v>267</v>
      </c>
      <c r="X51" s="44" t="s">
        <v>141</v>
      </c>
      <c r="Y51" s="44">
        <v>14</v>
      </c>
      <c r="Z51" s="44" t="s">
        <v>268</v>
      </c>
      <c r="AA51" s="69">
        <v>0.80341264723043471</v>
      </c>
    </row>
    <row r="52" spans="1:27" ht="13.8" x14ac:dyDescent="0.3">
      <c r="A52" s="37" t="s">
        <v>265</v>
      </c>
      <c r="B52" s="44" t="s">
        <v>142</v>
      </c>
      <c r="C52" s="44">
        <v>17</v>
      </c>
      <c r="D52" s="44" t="s">
        <v>266</v>
      </c>
      <c r="E52" s="60">
        <f t="shared" si="6"/>
        <v>0.7886228860092247</v>
      </c>
      <c r="F52" s="356"/>
      <c r="Q52" s="93" t="s">
        <v>282</v>
      </c>
      <c r="R52" s="94">
        <v>0.99126425624848336</v>
      </c>
      <c r="S52" s="93" t="s">
        <v>203</v>
      </c>
      <c r="W52" s="37" t="s">
        <v>265</v>
      </c>
      <c r="X52" s="44" t="s">
        <v>142</v>
      </c>
      <c r="Y52" s="44">
        <v>13</v>
      </c>
      <c r="Z52" s="44" t="s">
        <v>266</v>
      </c>
      <c r="AA52" s="69">
        <v>0.7886228860092247</v>
      </c>
    </row>
    <row r="53" spans="1:27" ht="13.8" x14ac:dyDescent="0.3">
      <c r="A53" s="37" t="s">
        <v>367</v>
      </c>
      <c r="B53" s="44" t="s">
        <v>142</v>
      </c>
      <c r="C53" s="44">
        <v>17</v>
      </c>
      <c r="D53" s="44" t="s">
        <v>368</v>
      </c>
      <c r="E53" s="60">
        <f t="shared" si="6"/>
        <v>1.0292149475019923</v>
      </c>
      <c r="F53" s="356"/>
      <c r="Q53" s="93" t="s">
        <v>383</v>
      </c>
      <c r="R53" s="94">
        <v>0.73349447513812149</v>
      </c>
      <c r="S53" s="93" t="s">
        <v>204</v>
      </c>
      <c r="W53" s="37" t="s">
        <v>464</v>
      </c>
      <c r="X53" s="44" t="s">
        <v>162</v>
      </c>
      <c r="Y53" s="44">
        <v>19</v>
      </c>
      <c r="Z53" s="44" t="s">
        <v>461</v>
      </c>
      <c r="AA53" s="69">
        <v>0.78418126509511765</v>
      </c>
    </row>
    <row r="54" spans="1:27" ht="13.8" x14ac:dyDescent="0.3">
      <c r="A54" s="37" t="s">
        <v>275</v>
      </c>
      <c r="B54" s="44" t="s">
        <v>142</v>
      </c>
      <c r="C54" s="44">
        <v>17</v>
      </c>
      <c r="D54" s="44" t="s">
        <v>276</v>
      </c>
      <c r="E54" s="60">
        <f t="shared" si="6"/>
        <v>0.64970550208303401</v>
      </c>
      <c r="F54" s="356"/>
      <c r="Q54" s="93" t="s">
        <v>286</v>
      </c>
      <c r="R54" s="94">
        <v>1</v>
      </c>
      <c r="S54" s="93" t="s">
        <v>203</v>
      </c>
      <c r="W54" s="37" t="s">
        <v>347</v>
      </c>
      <c r="X54" s="44" t="s">
        <v>140</v>
      </c>
      <c r="Y54" s="44">
        <v>15</v>
      </c>
      <c r="Z54" s="44" t="s">
        <v>348</v>
      </c>
      <c r="AA54" s="69">
        <v>0.77444478716841458</v>
      </c>
    </row>
    <row r="55" spans="1:27" ht="13.8" x14ac:dyDescent="0.3">
      <c r="A55" s="37" t="s">
        <v>279</v>
      </c>
      <c r="B55" s="44" t="s">
        <v>142</v>
      </c>
      <c r="C55" s="44">
        <v>17</v>
      </c>
      <c r="D55" s="44" t="s">
        <v>280</v>
      </c>
      <c r="E55" s="69">
        <f t="shared" si="6"/>
        <v>0.47637430521244206</v>
      </c>
      <c r="F55" s="356"/>
      <c r="Q55" s="93" t="s">
        <v>244</v>
      </c>
      <c r="R55" s="94">
        <v>0.61841824770837783</v>
      </c>
      <c r="S55" s="93" t="s">
        <v>204</v>
      </c>
      <c r="W55" s="37" t="s">
        <v>277</v>
      </c>
      <c r="X55" s="44" t="s">
        <v>140</v>
      </c>
      <c r="Y55" s="44">
        <v>15</v>
      </c>
      <c r="Z55" s="44" t="s">
        <v>278</v>
      </c>
      <c r="AA55" s="69">
        <v>0.76907329412838532</v>
      </c>
    </row>
    <row r="56" spans="1:27" ht="13.8" x14ac:dyDescent="0.3">
      <c r="A56" s="37" t="s">
        <v>287</v>
      </c>
      <c r="B56" s="44" t="s">
        <v>142</v>
      </c>
      <c r="C56" s="44">
        <v>17</v>
      </c>
      <c r="D56" s="44" t="s">
        <v>441</v>
      </c>
      <c r="E56" s="60">
        <f t="shared" si="6"/>
        <v>1</v>
      </c>
      <c r="F56" s="356"/>
      <c r="Q56" s="93" t="s">
        <v>456</v>
      </c>
      <c r="R56" s="94">
        <v>0.99461817608484948</v>
      </c>
      <c r="S56" s="93" t="s">
        <v>203</v>
      </c>
      <c r="W56" s="37" t="s">
        <v>263</v>
      </c>
      <c r="X56" s="44" t="s">
        <v>139</v>
      </c>
      <c r="Y56" s="44">
        <v>16</v>
      </c>
      <c r="Z56" s="44" t="s">
        <v>264</v>
      </c>
      <c r="AA56" s="69">
        <v>0.76510407852428497</v>
      </c>
    </row>
    <row r="57" spans="1:27" ht="13.8" x14ac:dyDescent="0.3">
      <c r="A57" s="37" t="s">
        <v>273</v>
      </c>
      <c r="B57" s="44" t="s">
        <v>142</v>
      </c>
      <c r="C57" s="44">
        <v>17</v>
      </c>
      <c r="D57" s="44" t="s">
        <v>274</v>
      </c>
      <c r="E57" s="60">
        <f t="shared" si="6"/>
        <v>0.57845507252191697</v>
      </c>
      <c r="F57" s="356"/>
      <c r="Q57" s="93" t="s">
        <v>348</v>
      </c>
      <c r="R57" s="94">
        <v>0.77444478716841458</v>
      </c>
      <c r="S57" s="93" t="s">
        <v>204</v>
      </c>
      <c r="W57" s="37" t="s">
        <v>408</v>
      </c>
      <c r="X57" s="44" t="s">
        <v>140</v>
      </c>
      <c r="Y57" s="44">
        <v>15</v>
      </c>
      <c r="Z57" s="44" t="s">
        <v>451</v>
      </c>
      <c r="AA57" s="69">
        <v>0.76017780502759058</v>
      </c>
    </row>
    <row r="58" spans="1:27" ht="13.8" x14ac:dyDescent="0.3">
      <c r="A58" s="37" t="s">
        <v>299</v>
      </c>
      <c r="B58" s="44" t="s">
        <v>142</v>
      </c>
      <c r="C58" s="44">
        <v>17</v>
      </c>
      <c r="D58" s="44" t="s">
        <v>300</v>
      </c>
      <c r="E58" s="60">
        <f t="shared" si="6"/>
        <v>0.62481029959532464</v>
      </c>
      <c r="F58" s="356"/>
      <c r="Q58" s="93" t="s">
        <v>294</v>
      </c>
      <c r="R58" s="94">
        <v>0.92936836749527552</v>
      </c>
      <c r="S58" s="93" t="s">
        <v>203</v>
      </c>
      <c r="W58" s="37" t="s">
        <v>382</v>
      </c>
      <c r="X58" s="44" t="s">
        <v>140</v>
      </c>
      <c r="Y58" s="44">
        <v>15</v>
      </c>
      <c r="Z58" s="44" t="s">
        <v>383</v>
      </c>
      <c r="AA58" s="69">
        <v>0.73349447513812149</v>
      </c>
    </row>
    <row r="59" spans="1:27" ht="13.8" x14ac:dyDescent="0.3">
      <c r="A59" s="45" t="s">
        <v>411</v>
      </c>
      <c r="B59" s="46" t="s">
        <v>173</v>
      </c>
      <c r="C59" s="46">
        <v>16</v>
      </c>
      <c r="D59" s="46" t="s">
        <v>412</v>
      </c>
      <c r="E59" s="61">
        <f t="shared" si="6"/>
        <v>0.99533285779852521</v>
      </c>
      <c r="F59" s="356"/>
      <c r="Q59" s="93" t="s">
        <v>292</v>
      </c>
      <c r="R59" s="94">
        <v>0.66251692368655679</v>
      </c>
      <c r="S59" s="93" t="s">
        <v>204</v>
      </c>
      <c r="W59" s="37" t="s">
        <v>249</v>
      </c>
      <c r="X59" s="44" t="s">
        <v>140</v>
      </c>
      <c r="Y59" s="44">
        <v>15</v>
      </c>
      <c r="Z59" s="44" t="s">
        <v>250</v>
      </c>
      <c r="AA59" s="69">
        <v>0.71562826313957539</v>
      </c>
    </row>
    <row r="60" spans="1:27" ht="13.8" x14ac:dyDescent="0.3">
      <c r="A60" s="45" t="s">
        <v>305</v>
      </c>
      <c r="B60" s="46" t="s">
        <v>173</v>
      </c>
      <c r="C60" s="46">
        <v>16</v>
      </c>
      <c r="D60" s="46" t="s">
        <v>456</v>
      </c>
      <c r="E60" s="61">
        <f t="shared" si="6"/>
        <v>0.99461817608484948</v>
      </c>
      <c r="F60" s="356"/>
      <c r="Q60" s="93" t="s">
        <v>375</v>
      </c>
      <c r="R60" s="94">
        <v>0.93843994106691131</v>
      </c>
      <c r="S60" s="93" t="s">
        <v>203</v>
      </c>
      <c r="W60" s="37" t="s">
        <v>245</v>
      </c>
      <c r="X60" s="44" t="s">
        <v>142</v>
      </c>
      <c r="Y60" s="44">
        <v>13</v>
      </c>
      <c r="Z60" s="44" t="s">
        <v>246</v>
      </c>
      <c r="AA60" s="69">
        <v>0.68875112521618576</v>
      </c>
    </row>
    <row r="61" spans="1:27" ht="13.8" x14ac:dyDescent="0.3">
      <c r="A61" s="37" t="s">
        <v>303</v>
      </c>
      <c r="B61" s="44" t="s">
        <v>175</v>
      </c>
      <c r="C61" s="44">
        <v>15</v>
      </c>
      <c r="D61" s="44" t="s">
        <v>304</v>
      </c>
      <c r="E61" s="69">
        <f t="shared" si="6"/>
        <v>0.93520619672453054</v>
      </c>
      <c r="F61" s="356"/>
      <c r="Q61" s="93" t="s">
        <v>396</v>
      </c>
      <c r="R61" s="94">
        <v>0.83267459864721705</v>
      </c>
      <c r="S61" s="93" t="s">
        <v>203</v>
      </c>
      <c r="W61" s="37" t="s">
        <v>291</v>
      </c>
      <c r="X61" s="44" t="s">
        <v>140</v>
      </c>
      <c r="Y61" s="44">
        <v>15</v>
      </c>
      <c r="Z61" s="44" t="s">
        <v>292</v>
      </c>
      <c r="AA61" s="69">
        <v>0.66251692368655679</v>
      </c>
    </row>
    <row r="62" spans="1:27" ht="14.4" thickBot="1" x14ac:dyDescent="0.35">
      <c r="A62" s="89" t="s">
        <v>371</v>
      </c>
      <c r="B62" s="90" t="s">
        <v>187</v>
      </c>
      <c r="C62" s="90">
        <v>9</v>
      </c>
      <c r="D62" s="90" t="s">
        <v>457</v>
      </c>
      <c r="E62" s="112">
        <f t="shared" si="6"/>
        <v>0.11951366732775717</v>
      </c>
      <c r="F62" s="356"/>
      <c r="Q62" s="93" t="s">
        <v>390</v>
      </c>
      <c r="R62" s="94">
        <v>0.98872477714287255</v>
      </c>
      <c r="S62" s="93" t="s">
        <v>203</v>
      </c>
      <c r="W62" s="37" t="s">
        <v>275</v>
      </c>
      <c r="X62" s="44" t="s">
        <v>142</v>
      </c>
      <c r="Y62" s="44">
        <v>13</v>
      </c>
      <c r="Z62" s="44" t="s">
        <v>276</v>
      </c>
      <c r="AA62" s="69">
        <v>0.64970550208303401</v>
      </c>
    </row>
    <row r="63" spans="1:27" ht="13.8" x14ac:dyDescent="0.3">
      <c r="A63" s="37" t="s">
        <v>384</v>
      </c>
      <c r="B63" s="44" t="s">
        <v>162</v>
      </c>
      <c r="C63" s="44">
        <v>23</v>
      </c>
      <c r="D63" s="44" t="s">
        <v>309</v>
      </c>
      <c r="E63" s="60">
        <f t="shared" si="6"/>
        <v>0.78418126509511765</v>
      </c>
      <c r="F63" s="356"/>
      <c r="Q63" s="93" t="s">
        <v>459</v>
      </c>
      <c r="R63" s="94">
        <v>0.97036252976978032</v>
      </c>
      <c r="S63" s="93" t="s">
        <v>203</v>
      </c>
      <c r="W63" s="37" t="s">
        <v>361</v>
      </c>
      <c r="X63" s="44" t="s">
        <v>139</v>
      </c>
      <c r="Y63" s="44">
        <v>16</v>
      </c>
      <c r="Z63" s="44" t="s">
        <v>194</v>
      </c>
      <c r="AA63" s="69">
        <v>0.63157463237392464</v>
      </c>
    </row>
    <row r="64" spans="1:27" ht="13.8" x14ac:dyDescent="0.3">
      <c r="A64" s="37" t="s">
        <v>416</v>
      </c>
      <c r="B64" s="44" t="s">
        <v>166</v>
      </c>
      <c r="C64" s="44">
        <v>21</v>
      </c>
      <c r="D64" s="44" t="s">
        <v>417</v>
      </c>
      <c r="E64" s="60">
        <f t="shared" si="6"/>
        <v>0.89001113183270453</v>
      </c>
      <c r="F64" s="356"/>
      <c r="Q64" s="93" t="s">
        <v>296</v>
      </c>
      <c r="R64" s="94">
        <v>0.98538704581358605</v>
      </c>
      <c r="S64" s="93" t="s">
        <v>203</v>
      </c>
      <c r="W64" s="37" t="s">
        <v>465</v>
      </c>
      <c r="X64" s="44" t="s">
        <v>142</v>
      </c>
      <c r="Y64" s="44">
        <v>13</v>
      </c>
      <c r="Z64" s="44" t="s">
        <v>448</v>
      </c>
      <c r="AA64" s="69">
        <v>0.62875460562079877</v>
      </c>
    </row>
    <row r="65" spans="1:27" ht="13.8" x14ac:dyDescent="0.3">
      <c r="A65" s="45" t="s">
        <v>399</v>
      </c>
      <c r="B65" s="46" t="s">
        <v>173</v>
      </c>
      <c r="C65" s="46">
        <v>16</v>
      </c>
      <c r="D65" s="46" t="s">
        <v>400</v>
      </c>
      <c r="E65" s="61">
        <f t="shared" si="6"/>
        <v>0.97036252976978032</v>
      </c>
      <c r="F65" s="356"/>
      <c r="Q65" s="93" t="s">
        <v>346</v>
      </c>
      <c r="R65" s="94">
        <v>0.975461842272901</v>
      </c>
      <c r="S65" s="93" t="s">
        <v>203</v>
      </c>
      <c r="W65" s="37" t="s">
        <v>299</v>
      </c>
      <c r="X65" s="44" t="s">
        <v>142</v>
      </c>
      <c r="Y65" s="44">
        <v>13</v>
      </c>
      <c r="Z65" s="44" t="s">
        <v>300</v>
      </c>
      <c r="AA65" s="69">
        <v>0.62481029959532464</v>
      </c>
    </row>
    <row r="66" spans="1:27" ht="13.8" x14ac:dyDescent="0.3">
      <c r="A66" s="37" t="s">
        <v>424</v>
      </c>
      <c r="B66" s="47" t="s">
        <v>423</v>
      </c>
      <c r="C66" s="47"/>
      <c r="D66" s="44" t="s">
        <v>425</v>
      </c>
      <c r="E66" s="69">
        <f t="shared" si="6"/>
        <v>0.99609846555590886</v>
      </c>
      <c r="F66" s="5"/>
      <c r="Q66" s="93" t="s">
        <v>248</v>
      </c>
      <c r="R66" s="94">
        <v>0.91865112788863534</v>
      </c>
      <c r="S66" s="93" t="s">
        <v>203</v>
      </c>
      <c r="W66" s="37" t="s">
        <v>243</v>
      </c>
      <c r="X66" s="44" t="s">
        <v>141</v>
      </c>
      <c r="Y66" s="44">
        <v>14</v>
      </c>
      <c r="Z66" s="44" t="s">
        <v>244</v>
      </c>
      <c r="AA66" s="69">
        <v>0.61841824770837783</v>
      </c>
    </row>
    <row r="67" spans="1:27" ht="14.4" thickBot="1" x14ac:dyDescent="0.35">
      <c r="A67" s="53" t="s">
        <v>295</v>
      </c>
      <c r="B67" s="54" t="s">
        <v>423</v>
      </c>
      <c r="C67" s="54"/>
      <c r="D67" s="54" t="s">
        <v>296</v>
      </c>
      <c r="E67" s="63">
        <f t="shared" si="6"/>
        <v>0.98538704581358605</v>
      </c>
      <c r="F67" s="5"/>
      <c r="Q67" s="93" t="s">
        <v>355</v>
      </c>
      <c r="R67" s="94">
        <v>1</v>
      </c>
      <c r="S67" s="93" t="s">
        <v>203</v>
      </c>
      <c r="W67" s="37" t="s">
        <v>269</v>
      </c>
      <c r="X67" s="44" t="s">
        <v>141</v>
      </c>
      <c r="Y67" s="44">
        <v>14</v>
      </c>
      <c r="Z67" s="44" t="s">
        <v>270</v>
      </c>
      <c r="AA67" s="69">
        <v>0.58646630934150079</v>
      </c>
    </row>
    <row r="68" spans="1:27" ht="13.8" x14ac:dyDescent="0.3">
      <c r="A68" s="41" t="s">
        <v>311</v>
      </c>
      <c r="B68" s="43" t="s">
        <v>141</v>
      </c>
      <c r="C68" s="42">
        <f>AVERAGE(C7:C62)</f>
        <v>18.160714285714285</v>
      </c>
      <c r="D68" s="42"/>
      <c r="E68" s="42"/>
      <c r="F68" s="5"/>
      <c r="G68" s="122"/>
      <c r="Q68" s="93" t="s">
        <v>252</v>
      </c>
      <c r="R68" s="94">
        <v>0.94700000000000006</v>
      </c>
      <c r="S68" s="93" t="s">
        <v>203</v>
      </c>
      <c r="W68" s="37" t="s">
        <v>273</v>
      </c>
      <c r="X68" s="44" t="s">
        <v>142</v>
      </c>
      <c r="Y68" s="44">
        <v>13</v>
      </c>
      <c r="Z68" s="44" t="s">
        <v>274</v>
      </c>
      <c r="AA68" s="69">
        <v>0.57845507252191697</v>
      </c>
    </row>
    <row r="69" spans="1:27" ht="13.8" x14ac:dyDescent="0.3">
      <c r="A69" s="3"/>
      <c r="B69" s="3"/>
      <c r="F69" s="5"/>
      <c r="Q69" s="93"/>
      <c r="R69" s="94"/>
      <c r="S69" s="93"/>
      <c r="W69" s="37" t="s">
        <v>289</v>
      </c>
      <c r="X69" s="44" t="s">
        <v>141</v>
      </c>
      <c r="Y69" s="44">
        <v>14</v>
      </c>
      <c r="Z69" s="44" t="s">
        <v>290</v>
      </c>
      <c r="AA69" s="69">
        <v>0.5641445718679996</v>
      </c>
    </row>
    <row r="70" spans="1:27" ht="13.8" x14ac:dyDescent="0.3">
      <c r="A70" s="3"/>
      <c r="B70" s="3"/>
      <c r="F70" s="9"/>
      <c r="G70" s="122"/>
      <c r="Q70" s="93"/>
      <c r="R70" s="94"/>
      <c r="S70" s="93"/>
      <c r="W70" s="37" t="s">
        <v>240</v>
      </c>
      <c r="X70" s="44" t="s">
        <v>139</v>
      </c>
      <c r="Y70" s="44">
        <v>16</v>
      </c>
      <c r="Z70" s="44" t="s">
        <v>241</v>
      </c>
      <c r="AA70" s="69">
        <v>0.541533003736272</v>
      </c>
    </row>
    <row r="71" spans="1:27" ht="13.8" x14ac:dyDescent="0.3">
      <c r="A71" s="48" t="s">
        <v>312</v>
      </c>
      <c r="F71" s="9"/>
      <c r="Q71" s="49"/>
      <c r="R71" s="58"/>
      <c r="S71" s="49"/>
      <c r="W71" s="37" t="s">
        <v>279</v>
      </c>
      <c r="X71" s="44" t="s">
        <v>142</v>
      </c>
      <c r="Y71" s="44">
        <v>13</v>
      </c>
      <c r="Z71" s="44" t="s">
        <v>280</v>
      </c>
      <c r="AA71" s="69">
        <v>0.47637430521244206</v>
      </c>
    </row>
    <row r="72" spans="1:27" ht="13.8" x14ac:dyDescent="0.3">
      <c r="A72" s="48" t="s">
        <v>313</v>
      </c>
      <c r="B72" s="86"/>
      <c r="C72" s="86"/>
      <c r="D72" s="86"/>
      <c r="E72" s="86"/>
      <c r="F72" s="9"/>
      <c r="Q72" s="49"/>
      <c r="R72" s="58"/>
      <c r="S72" s="49"/>
      <c r="W72" s="37" t="s">
        <v>271</v>
      </c>
      <c r="X72" s="44" t="s">
        <v>140</v>
      </c>
      <c r="Y72" s="44">
        <v>15</v>
      </c>
      <c r="Z72" s="44" t="s">
        <v>272</v>
      </c>
      <c r="AA72" s="69">
        <v>0.36101059894989318</v>
      </c>
    </row>
    <row r="73" spans="1:27" ht="13.8" x14ac:dyDescent="0.3">
      <c r="A73" s="85" t="s">
        <v>419</v>
      </c>
      <c r="B73" s="86"/>
      <c r="C73" s="86"/>
      <c r="D73" s="86"/>
      <c r="E73" s="86"/>
      <c r="F73" s="87"/>
      <c r="Q73" s="49"/>
      <c r="R73" s="58"/>
      <c r="S73" s="49"/>
      <c r="W73" s="37" t="s">
        <v>463</v>
      </c>
      <c r="X73" s="44" t="s">
        <v>142</v>
      </c>
      <c r="Y73" s="44">
        <v>13</v>
      </c>
      <c r="Z73" s="44" t="s">
        <v>452</v>
      </c>
      <c r="AA73" s="69">
        <v>0.33305692234682915</v>
      </c>
    </row>
    <row r="74" spans="1:27" ht="14.4" thickBot="1" x14ac:dyDescent="0.35">
      <c r="A74" s="85" t="s">
        <v>314</v>
      </c>
      <c r="B74" s="86"/>
      <c r="C74" s="86"/>
      <c r="D74" s="86"/>
      <c r="E74" s="86"/>
      <c r="F74" s="87"/>
      <c r="Q74" s="49"/>
      <c r="R74" s="58"/>
      <c r="S74" s="49"/>
      <c r="W74" s="53" t="s">
        <v>371</v>
      </c>
      <c r="X74" s="57" t="s">
        <v>187</v>
      </c>
      <c r="Y74" s="57">
        <v>5</v>
      </c>
      <c r="Z74" s="57" t="s">
        <v>457</v>
      </c>
      <c r="AA74" s="111">
        <v>0.11951366732775717</v>
      </c>
    </row>
    <row r="75" spans="1:27" ht="13.8" x14ac:dyDescent="0.3">
      <c r="A75" s="85" t="s">
        <v>466</v>
      </c>
      <c r="D75" s="9"/>
      <c r="F75" s="87"/>
      <c r="Q75" s="49"/>
      <c r="R75" s="58"/>
      <c r="S75" s="49"/>
    </row>
    <row r="76" spans="1:27" ht="13.8" x14ac:dyDescent="0.3">
      <c r="A76" s="48" t="s">
        <v>315</v>
      </c>
      <c r="D76" s="9"/>
      <c r="Q76" s="49"/>
      <c r="R76" s="58"/>
      <c r="S76" s="49"/>
    </row>
    <row r="77" spans="1:27" ht="13.8" x14ac:dyDescent="0.3">
      <c r="A77" s="48"/>
      <c r="D77" s="9"/>
      <c r="Q77" s="49"/>
      <c r="R77" s="59"/>
      <c r="S77" s="49"/>
    </row>
    <row r="78" spans="1:27" x14ac:dyDescent="0.25">
      <c r="A78" s="48"/>
    </row>
    <row r="79" spans="1:27" x14ac:dyDescent="0.25">
      <c r="A79" s="2"/>
      <c r="E79" s="74"/>
      <c r="F79" s="9"/>
      <c r="G79" s="86"/>
      <c r="W79" s="86"/>
      <c r="X79" s="86"/>
      <c r="Y79" s="86"/>
      <c r="Z79" s="86"/>
      <c r="AA79" s="88"/>
    </row>
    <row r="80" spans="1:27" s="86" customFormat="1" x14ac:dyDescent="0.25">
      <c r="A80"/>
      <c r="B80"/>
      <c r="C80"/>
      <c r="D80"/>
      <c r="E80" s="74"/>
      <c r="F80"/>
      <c r="Q80"/>
      <c r="R80"/>
      <c r="S80"/>
      <c r="AA80" s="88"/>
    </row>
    <row r="81" spans="1:27" s="86" customFormat="1" x14ac:dyDescent="0.25">
      <c r="A81"/>
      <c r="B81"/>
      <c r="C81"/>
      <c r="D81"/>
      <c r="E81" s="75"/>
      <c r="F81"/>
      <c r="AA81" s="88"/>
    </row>
    <row r="82" spans="1:27" s="86" customFormat="1" x14ac:dyDescent="0.25">
      <c r="A82"/>
      <c r="B82"/>
      <c r="C82"/>
      <c r="D82"/>
      <c r="E82"/>
      <c r="F82"/>
      <c r="G82"/>
      <c r="W82"/>
      <c r="X82"/>
      <c r="Y82"/>
      <c r="Z82"/>
      <c r="AA82"/>
    </row>
    <row r="83" spans="1:27" x14ac:dyDescent="0.25">
      <c r="Q83" s="86"/>
      <c r="R83" s="86"/>
      <c r="S83" s="86"/>
      <c r="AA83"/>
    </row>
    <row r="84" spans="1:27" x14ac:dyDescent="0.25">
      <c r="AA84"/>
    </row>
  </sheetData>
  <pageMargins left="0.17" right="0.18" top="0.28000000000000003" bottom="0.17" header="0.3" footer="0.3"/>
  <pageSetup scale="76" fitToWidth="0" orientation="portrait" horizontalDpi="1200" verticalDpi="120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002060"/>
    <pageSetUpPr fitToPage="1"/>
  </sheetPr>
  <dimension ref="A1:AH88"/>
  <sheetViews>
    <sheetView zoomScale="80" zoomScaleNormal="80" workbookViewId="0"/>
  </sheetViews>
  <sheetFormatPr defaultColWidth="9.109375" defaultRowHeight="13.2" outlineLevelCol="1" x14ac:dyDescent="0.25"/>
  <cols>
    <col min="1" max="1" width="35.109375" customWidth="1"/>
    <col min="4" max="4" width="9.109375" hidden="1" customWidth="1" outlineLevel="1"/>
    <col min="5" max="5" width="12.5546875" hidden="1" customWidth="1" outlineLevel="1"/>
    <col min="6" max="6" width="9.109375" collapsed="1"/>
    <col min="7" max="7" width="11.5546875" customWidth="1"/>
    <col min="11" max="11" width="11" bestFit="1" customWidth="1"/>
    <col min="12" max="12" width="4.88671875" bestFit="1" customWidth="1"/>
    <col min="17" max="26" width="9.109375" hidden="1" customWidth="1" outlineLevel="1"/>
    <col min="27" max="27" width="12.5546875" style="66" hidden="1" customWidth="1" outlineLevel="1"/>
    <col min="28" max="33" width="9.109375" hidden="1" customWidth="1" outlineLevel="1"/>
    <col min="34" max="34" width="9.109375" collapsed="1"/>
  </cols>
  <sheetData>
    <row r="1" spans="1:33" ht="18" x14ac:dyDescent="0.35">
      <c r="A1" s="40" t="s">
        <v>467</v>
      </c>
    </row>
    <row r="2" spans="1:33" ht="18" x14ac:dyDescent="0.35">
      <c r="A2" s="40"/>
    </row>
    <row r="3" spans="1:33" ht="18" x14ac:dyDescent="0.35">
      <c r="A3" s="40"/>
    </row>
    <row r="4" spans="1:33" ht="18" x14ac:dyDescent="0.35">
      <c r="A4" s="40"/>
    </row>
    <row r="5" spans="1:33" ht="13.8" x14ac:dyDescent="0.3">
      <c r="E5" s="65" t="s">
        <v>434</v>
      </c>
      <c r="AA5" s="65" t="s">
        <v>434</v>
      </c>
      <c r="AF5" s="82" t="s">
        <v>435</v>
      </c>
      <c r="AG5" s="81"/>
    </row>
    <row r="6" spans="1:33" ht="13.8" x14ac:dyDescent="0.3">
      <c r="A6" s="101" t="s">
        <v>212</v>
      </c>
      <c r="B6" s="102" t="s">
        <v>468</v>
      </c>
      <c r="C6" s="103"/>
      <c r="D6" s="103"/>
      <c r="E6" s="104">
        <v>40543</v>
      </c>
      <c r="W6" s="101" t="s">
        <v>212</v>
      </c>
      <c r="X6" s="102" t="s">
        <v>468</v>
      </c>
      <c r="Y6" s="103"/>
      <c r="Z6" s="103"/>
      <c r="AA6" s="104">
        <v>40543</v>
      </c>
      <c r="AC6" s="67" t="s">
        <v>136</v>
      </c>
      <c r="AD6" s="68"/>
      <c r="AE6" s="68"/>
      <c r="AF6" s="42">
        <f>AVERAGE(Y$13:Y$51)</f>
        <v>14.45945945945946</v>
      </c>
      <c r="AG6" s="79"/>
    </row>
    <row r="7" spans="1:33" ht="14.4" thickBot="1" x14ac:dyDescent="0.35">
      <c r="A7" s="45" t="s">
        <v>431</v>
      </c>
      <c r="B7" s="46" t="s">
        <v>164</v>
      </c>
      <c r="C7" s="46">
        <v>18</v>
      </c>
      <c r="D7" s="46" t="s">
        <v>432</v>
      </c>
      <c r="E7" s="61">
        <f>VLOOKUP($D7,$Q$7:$R$68,2,0)</f>
        <v>1</v>
      </c>
      <c r="F7" s="356"/>
      <c r="G7" s="57" t="s">
        <v>210</v>
      </c>
      <c r="H7" s="57" t="s">
        <v>134</v>
      </c>
      <c r="I7" s="57" t="s">
        <v>135</v>
      </c>
      <c r="N7" s="122"/>
      <c r="O7" s="122"/>
      <c r="Q7" s="93" t="s">
        <v>226</v>
      </c>
      <c r="R7" s="94">
        <v>0.84669359982989578</v>
      </c>
      <c r="S7" s="93" t="s">
        <v>203</v>
      </c>
      <c r="W7" s="113" t="s">
        <v>437</v>
      </c>
      <c r="X7" s="114" t="s">
        <v>139</v>
      </c>
      <c r="Y7" s="114">
        <v>16</v>
      </c>
      <c r="Z7" s="114" t="s">
        <v>438</v>
      </c>
      <c r="AA7" s="115" t="s">
        <v>423</v>
      </c>
      <c r="AC7" s="57" t="s">
        <v>210</v>
      </c>
      <c r="AD7" s="57" t="s">
        <v>134</v>
      </c>
      <c r="AE7" s="57" t="s">
        <v>135</v>
      </c>
      <c r="AG7" s="80"/>
    </row>
    <row r="8" spans="1:33" ht="13.8" x14ac:dyDescent="0.3">
      <c r="A8" s="37" t="s">
        <v>293</v>
      </c>
      <c r="B8" s="44" t="s">
        <v>166</v>
      </c>
      <c r="C8" s="44">
        <v>17</v>
      </c>
      <c r="D8" s="44" t="s">
        <v>294</v>
      </c>
      <c r="E8" s="60">
        <f t="shared" ref="E8:E14" si="0">VLOOKUP($D8,$Q$7:$R$68,2,0)</f>
        <v>0.92936836749527552</v>
      </c>
      <c r="F8" s="356"/>
      <c r="G8" s="37" t="s">
        <v>137</v>
      </c>
      <c r="H8" s="49">
        <f>COUNTIF(C$7:C$67,"&gt;16")</f>
        <v>4</v>
      </c>
      <c r="I8" s="50">
        <f>H8/H$14</f>
        <v>6.7796610169491525E-2</v>
      </c>
      <c r="K8" s="122"/>
      <c r="M8" s="49"/>
      <c r="N8" s="50"/>
      <c r="O8" s="122"/>
      <c r="Q8" s="93" t="s">
        <v>223</v>
      </c>
      <c r="R8" s="94">
        <v>0.96680210088197405</v>
      </c>
      <c r="S8" s="93" t="s">
        <v>203</v>
      </c>
      <c r="W8" s="37" t="s">
        <v>439</v>
      </c>
      <c r="X8" s="44" t="s">
        <v>139</v>
      </c>
      <c r="Y8" s="44">
        <v>16</v>
      </c>
      <c r="Z8" s="44" t="s">
        <v>440</v>
      </c>
      <c r="AA8" s="69" t="s">
        <v>423</v>
      </c>
      <c r="AC8" s="37" t="s">
        <v>137</v>
      </c>
      <c r="AD8" s="49">
        <f>COUNTIF(Y$13:Y$51,"&gt;16")</f>
        <v>3</v>
      </c>
      <c r="AE8" s="50">
        <f>AD8/AD$14</f>
        <v>8.1081081081081086E-2</v>
      </c>
      <c r="AG8" s="80"/>
    </row>
    <row r="9" spans="1:33" ht="13.8" x14ac:dyDescent="0.3">
      <c r="A9" s="45" t="s">
        <v>227</v>
      </c>
      <c r="B9" s="46" t="s">
        <v>139</v>
      </c>
      <c r="C9" s="46">
        <v>16</v>
      </c>
      <c r="D9" s="46" t="s">
        <v>228</v>
      </c>
      <c r="E9" s="61">
        <f t="shared" si="0"/>
        <v>0.89318320146074259</v>
      </c>
      <c r="F9" s="356"/>
      <c r="G9" s="37" t="s">
        <v>139</v>
      </c>
      <c r="H9" s="49">
        <f>COUNTIF(C$7:C$67,"=16")</f>
        <v>9</v>
      </c>
      <c r="I9" s="50">
        <f t="shared" ref="I9:I14" si="1">H9/H$14</f>
        <v>0.15254237288135594</v>
      </c>
      <c r="K9" s="122"/>
      <c r="M9" s="49"/>
      <c r="N9" s="50"/>
      <c r="O9" s="122"/>
      <c r="Q9" s="93" t="s">
        <v>441</v>
      </c>
      <c r="R9" s="94">
        <v>1</v>
      </c>
      <c r="S9" s="93" t="s">
        <v>203</v>
      </c>
      <c r="W9" s="37" t="s">
        <v>442</v>
      </c>
      <c r="X9" s="44" t="s">
        <v>140</v>
      </c>
      <c r="Y9" s="44">
        <v>15</v>
      </c>
      <c r="Z9" s="44" t="s">
        <v>443</v>
      </c>
      <c r="AA9" s="69" t="s">
        <v>423</v>
      </c>
      <c r="AC9" s="37" t="s">
        <v>139</v>
      </c>
      <c r="AD9" s="49">
        <f>COUNTIF(Y$13:Y$51,"=16")</f>
        <v>6</v>
      </c>
      <c r="AE9" s="50">
        <f t="shared" ref="AE9:AE14" si="2">AD9/AD$14</f>
        <v>0.16216216216216217</v>
      </c>
      <c r="AG9" s="80"/>
    </row>
    <row r="10" spans="1:33" ht="13.8" x14ac:dyDescent="0.3">
      <c r="A10" s="45" t="s">
        <v>361</v>
      </c>
      <c r="B10" s="46" t="s">
        <v>139</v>
      </c>
      <c r="C10" s="46">
        <v>16</v>
      </c>
      <c r="D10" s="46" t="s">
        <v>194</v>
      </c>
      <c r="E10" s="61">
        <f t="shared" si="0"/>
        <v>0.63157463237392464</v>
      </c>
      <c r="F10" s="356"/>
      <c r="G10" s="37" t="s">
        <v>140</v>
      </c>
      <c r="H10" s="49">
        <f>COUNTIF(C$7:C$67,"=15")</f>
        <v>15</v>
      </c>
      <c r="I10" s="50">
        <f t="shared" si="1"/>
        <v>0.25423728813559321</v>
      </c>
      <c r="K10" s="122"/>
      <c r="M10" s="49"/>
      <c r="N10" s="50"/>
      <c r="O10" s="122"/>
      <c r="Q10" s="93" t="s">
        <v>218</v>
      </c>
      <c r="R10" s="94">
        <v>0.91042888352305396</v>
      </c>
      <c r="S10" s="93" t="s">
        <v>203</v>
      </c>
      <c r="W10" s="37" t="s">
        <v>444</v>
      </c>
      <c r="X10" s="44" t="s">
        <v>140</v>
      </c>
      <c r="Y10" s="44">
        <v>15</v>
      </c>
      <c r="Z10" s="44" t="s">
        <v>445</v>
      </c>
      <c r="AA10" s="69" t="s">
        <v>423</v>
      </c>
      <c r="AC10" s="37" t="s">
        <v>140</v>
      </c>
      <c r="AD10" s="49">
        <f>COUNTIF(Y$13:Y$51,"=15")</f>
        <v>8</v>
      </c>
      <c r="AE10" s="50">
        <f t="shared" si="2"/>
        <v>0.21621621621621623</v>
      </c>
      <c r="AG10" s="80"/>
    </row>
    <row r="11" spans="1:33" ht="13.8" x14ac:dyDescent="0.3">
      <c r="A11" s="45" t="s">
        <v>259</v>
      </c>
      <c r="B11" s="46" t="s">
        <v>139</v>
      </c>
      <c r="C11" s="46">
        <v>16</v>
      </c>
      <c r="D11" s="46" t="s">
        <v>454</v>
      </c>
      <c r="E11" s="61">
        <f t="shared" si="0"/>
        <v>1</v>
      </c>
      <c r="F11" s="356"/>
      <c r="G11" s="37" t="s">
        <v>141</v>
      </c>
      <c r="H11" s="49">
        <f>COUNTIF(C$7:C$67,"=14")</f>
        <v>15</v>
      </c>
      <c r="I11" s="50">
        <f t="shared" si="1"/>
        <v>0.25423728813559321</v>
      </c>
      <c r="K11" s="122"/>
      <c r="M11" s="49"/>
      <c r="N11" s="50"/>
      <c r="O11" s="122"/>
      <c r="Q11" s="93" t="s">
        <v>239</v>
      </c>
      <c r="R11" s="94">
        <v>0.91095138568993894</v>
      </c>
      <c r="S11" s="93" t="s">
        <v>203</v>
      </c>
      <c r="W11" s="37" t="s">
        <v>446</v>
      </c>
      <c r="X11" s="44" t="s">
        <v>141</v>
      </c>
      <c r="Y11" s="44">
        <v>14</v>
      </c>
      <c r="Z11" s="44" t="s">
        <v>447</v>
      </c>
      <c r="AA11" s="69" t="s">
        <v>423</v>
      </c>
      <c r="AC11" s="37" t="s">
        <v>141</v>
      </c>
      <c r="AD11" s="49">
        <f>COUNTIF(Y$13:Y$51,"=14")</f>
        <v>12</v>
      </c>
      <c r="AE11" s="50">
        <f t="shared" si="2"/>
        <v>0.32432432432432434</v>
      </c>
      <c r="AG11" s="80"/>
    </row>
    <row r="12" spans="1:33" ht="13.8" x14ac:dyDescent="0.3">
      <c r="A12" s="45" t="s">
        <v>263</v>
      </c>
      <c r="B12" s="46" t="s">
        <v>139</v>
      </c>
      <c r="C12" s="46">
        <v>16</v>
      </c>
      <c r="D12" s="46" t="s">
        <v>264</v>
      </c>
      <c r="E12" s="61">
        <f t="shared" si="0"/>
        <v>0.76510407852428497</v>
      </c>
      <c r="F12" s="356"/>
      <c r="G12" s="37" t="s">
        <v>142</v>
      </c>
      <c r="H12" s="49">
        <f>COUNTIF(C$7:C$67,"=13")</f>
        <v>11</v>
      </c>
      <c r="I12" s="50">
        <f t="shared" si="1"/>
        <v>0.1864406779661017</v>
      </c>
      <c r="M12" s="49"/>
      <c r="N12" s="50"/>
      <c r="Q12" s="93" t="s">
        <v>448</v>
      </c>
      <c r="R12" s="94">
        <v>0.62875460562079877</v>
      </c>
      <c r="S12" s="93" t="s">
        <v>204</v>
      </c>
      <c r="W12" s="37" t="s">
        <v>449</v>
      </c>
      <c r="X12" s="44" t="s">
        <v>142</v>
      </c>
      <c r="Y12" s="44">
        <v>13</v>
      </c>
      <c r="Z12" s="44" t="s">
        <v>450</v>
      </c>
      <c r="AA12" s="69" t="s">
        <v>423</v>
      </c>
      <c r="AC12" s="37" t="s">
        <v>142</v>
      </c>
      <c r="AD12" s="49">
        <f>COUNTIF(Y$13:Y$51,"=13")</f>
        <v>4</v>
      </c>
      <c r="AE12" s="50">
        <f t="shared" si="2"/>
        <v>0.10810810810810811</v>
      </c>
      <c r="AG12" s="80"/>
    </row>
    <row r="13" spans="1:33" ht="14.4" thickBot="1" x14ac:dyDescent="0.35">
      <c r="A13" s="45" t="s">
        <v>460</v>
      </c>
      <c r="B13" s="46" t="s">
        <v>139</v>
      </c>
      <c r="C13" s="46">
        <v>16</v>
      </c>
      <c r="D13" s="46" t="s">
        <v>455</v>
      </c>
      <c r="E13" s="61">
        <f t="shared" si="0"/>
        <v>0.96341849943457658</v>
      </c>
      <c r="F13" s="356"/>
      <c r="G13" s="53" t="s">
        <v>143</v>
      </c>
      <c r="H13" s="55">
        <f>COUNTIF(C$7:C$67,"&lt;13")</f>
        <v>5</v>
      </c>
      <c r="I13" s="56">
        <f t="shared" si="1"/>
        <v>8.4745762711864403E-2</v>
      </c>
      <c r="M13" s="49"/>
      <c r="N13" s="50"/>
      <c r="Q13" s="93" t="s">
        <v>246</v>
      </c>
      <c r="R13" s="94">
        <v>0.68875112521618576</v>
      </c>
      <c r="S13" s="93" t="s">
        <v>204</v>
      </c>
      <c r="W13" s="37" t="s">
        <v>352</v>
      </c>
      <c r="X13" s="44" t="s">
        <v>141</v>
      </c>
      <c r="Y13" s="44">
        <v>14</v>
      </c>
      <c r="Z13" s="44" t="s">
        <v>353</v>
      </c>
      <c r="AA13" s="69">
        <v>1.0379329114785329</v>
      </c>
      <c r="AC13" s="53" t="s">
        <v>143</v>
      </c>
      <c r="AD13" s="55">
        <f>COUNTIF(Y$13:Y$51,"&lt;13")</f>
        <v>4</v>
      </c>
      <c r="AE13" s="56">
        <f t="shared" si="2"/>
        <v>0.10810810810810811</v>
      </c>
      <c r="AG13" s="80"/>
    </row>
    <row r="14" spans="1:33" ht="13.8" x14ac:dyDescent="0.3">
      <c r="A14" s="45" t="s">
        <v>240</v>
      </c>
      <c r="B14" s="46" t="s">
        <v>139</v>
      </c>
      <c r="C14" s="46">
        <v>16</v>
      </c>
      <c r="D14" s="46" t="s">
        <v>241</v>
      </c>
      <c r="E14" s="61">
        <f t="shared" si="0"/>
        <v>0.541533003736272</v>
      </c>
      <c r="F14" s="356"/>
      <c r="G14" s="41" t="s">
        <v>144</v>
      </c>
      <c r="H14" s="51">
        <f>SUM(H8:H13)</f>
        <v>59</v>
      </c>
      <c r="I14" s="52">
        <f t="shared" si="1"/>
        <v>1</v>
      </c>
      <c r="M14" s="51"/>
      <c r="N14" s="52"/>
      <c r="Q14" s="93" t="s">
        <v>451</v>
      </c>
      <c r="R14" s="94">
        <v>0.76017780502759058</v>
      </c>
      <c r="S14" s="93" t="s">
        <v>204</v>
      </c>
      <c r="W14" s="37" t="s">
        <v>367</v>
      </c>
      <c r="X14" s="44" t="s">
        <v>142</v>
      </c>
      <c r="Y14" s="44">
        <v>13</v>
      </c>
      <c r="Z14" s="44" t="s">
        <v>368</v>
      </c>
      <c r="AA14" s="69">
        <v>1.0292149475019923</v>
      </c>
      <c r="AC14" s="41" t="s">
        <v>144</v>
      </c>
      <c r="AD14" s="51">
        <f>SUM(AD8:AD13)</f>
        <v>37</v>
      </c>
      <c r="AE14" s="52">
        <f t="shared" si="2"/>
        <v>1</v>
      </c>
      <c r="AG14" s="80"/>
    </row>
    <row r="15" spans="1:33" ht="13.8" x14ac:dyDescent="0.3">
      <c r="A15" s="45" t="s">
        <v>345</v>
      </c>
      <c r="B15" s="46" t="s">
        <v>139</v>
      </c>
      <c r="C15" s="46">
        <v>16</v>
      </c>
      <c r="D15" s="46" t="s">
        <v>346</v>
      </c>
      <c r="E15" s="61">
        <f t="shared" ref="E15:E46" si="3">VLOOKUP($D15,$Q$7:$R$68,2,0)</f>
        <v>0.975461842272901</v>
      </c>
      <c r="F15" s="356"/>
      <c r="K15" s="5"/>
      <c r="Q15" s="93" t="s">
        <v>452</v>
      </c>
      <c r="R15" s="94">
        <v>0.33305692234682915</v>
      </c>
      <c r="S15" s="93" t="s">
        <v>194</v>
      </c>
      <c r="W15" s="37" t="s">
        <v>431</v>
      </c>
      <c r="X15" s="44" t="s">
        <v>164</v>
      </c>
      <c r="Y15" s="44">
        <v>18</v>
      </c>
      <c r="Z15" s="44" t="s">
        <v>432</v>
      </c>
      <c r="AA15" s="69">
        <v>1</v>
      </c>
      <c r="AG15" s="80"/>
    </row>
    <row r="16" spans="1:33" ht="13.8" x14ac:dyDescent="0.3">
      <c r="A16" s="45" t="s">
        <v>247</v>
      </c>
      <c r="B16" s="46" t="s">
        <v>139</v>
      </c>
      <c r="C16" s="46">
        <v>16</v>
      </c>
      <c r="D16" s="46" t="s">
        <v>248</v>
      </c>
      <c r="E16" s="61">
        <f t="shared" si="3"/>
        <v>0.91865112788863534</v>
      </c>
      <c r="F16" s="356"/>
      <c r="K16" s="5"/>
      <c r="Q16" s="93" t="s">
        <v>453</v>
      </c>
      <c r="R16" s="94">
        <v>0.89001113183270453</v>
      </c>
      <c r="S16" s="93" t="s">
        <v>203</v>
      </c>
      <c r="W16" s="37" t="s">
        <v>259</v>
      </c>
      <c r="X16" s="44" t="s">
        <v>139</v>
      </c>
      <c r="Y16" s="44">
        <v>16</v>
      </c>
      <c r="Z16" s="44" t="s">
        <v>454</v>
      </c>
      <c r="AA16" s="69">
        <v>1</v>
      </c>
      <c r="AG16" s="80"/>
    </row>
    <row r="17" spans="1:33" ht="13.8" x14ac:dyDescent="0.3">
      <c r="A17" s="45" t="s">
        <v>251</v>
      </c>
      <c r="B17" s="46" t="s">
        <v>139</v>
      </c>
      <c r="C17" s="46">
        <v>16</v>
      </c>
      <c r="D17" s="46" t="s">
        <v>252</v>
      </c>
      <c r="E17" s="61">
        <f t="shared" si="3"/>
        <v>0.94700000000000006</v>
      </c>
      <c r="F17" s="356"/>
      <c r="K17" s="5"/>
      <c r="Q17" s="93" t="s">
        <v>257</v>
      </c>
      <c r="R17" s="94">
        <v>0.89235399590163933</v>
      </c>
      <c r="S17" s="93" t="s">
        <v>203</v>
      </c>
      <c r="W17" s="37" t="s">
        <v>328</v>
      </c>
      <c r="X17" s="44" t="s">
        <v>141</v>
      </c>
      <c r="Y17" s="44">
        <v>14</v>
      </c>
      <c r="Z17" s="44" t="s">
        <v>331</v>
      </c>
      <c r="AA17" s="69">
        <v>1</v>
      </c>
      <c r="AC17" s="67" t="s">
        <v>145</v>
      </c>
      <c r="AD17" s="68"/>
      <c r="AE17" s="68"/>
      <c r="AF17" s="42">
        <f>AVERAGE(Y$52:Y$70)</f>
        <v>14.578947368421053</v>
      </c>
      <c r="AG17" s="79"/>
    </row>
    <row r="18" spans="1:33" ht="14.4" thickBot="1" x14ac:dyDescent="0.35">
      <c r="A18" s="37" t="s">
        <v>217</v>
      </c>
      <c r="B18" s="44" t="s">
        <v>140</v>
      </c>
      <c r="C18" s="44">
        <v>15</v>
      </c>
      <c r="D18" s="44" t="s">
        <v>218</v>
      </c>
      <c r="E18" s="60">
        <f t="shared" si="3"/>
        <v>0.91042888352305396</v>
      </c>
      <c r="F18" s="356"/>
      <c r="K18" s="5"/>
      <c r="Q18" s="93" t="s">
        <v>378</v>
      </c>
      <c r="R18" s="94">
        <v>0.91199977892108686</v>
      </c>
      <c r="S18" s="93" t="s">
        <v>203</v>
      </c>
      <c r="W18" s="37" t="s">
        <v>285</v>
      </c>
      <c r="X18" s="44" t="s">
        <v>141</v>
      </c>
      <c r="Y18" s="44">
        <v>14</v>
      </c>
      <c r="Z18" s="44" t="s">
        <v>286</v>
      </c>
      <c r="AA18" s="69">
        <v>1</v>
      </c>
      <c r="AC18" s="57" t="s">
        <v>210</v>
      </c>
      <c r="AD18" s="57" t="s">
        <v>134</v>
      </c>
      <c r="AE18" s="57" t="s">
        <v>135</v>
      </c>
      <c r="AG18" s="80"/>
    </row>
    <row r="19" spans="1:33" ht="13.8" x14ac:dyDescent="0.3">
      <c r="A19" s="37" t="s">
        <v>219</v>
      </c>
      <c r="B19" s="44" t="s">
        <v>140</v>
      </c>
      <c r="C19" s="44">
        <v>15</v>
      </c>
      <c r="D19" s="44" t="s">
        <v>220</v>
      </c>
      <c r="E19" s="60">
        <f t="shared" si="3"/>
        <v>0.86662573118314323</v>
      </c>
      <c r="F19" s="356"/>
      <c r="K19" s="5"/>
      <c r="Q19" s="93" t="s">
        <v>250</v>
      </c>
      <c r="R19" s="94">
        <v>0.71562826313957539</v>
      </c>
      <c r="S19" s="93" t="s">
        <v>204</v>
      </c>
      <c r="W19" s="37" t="s">
        <v>354</v>
      </c>
      <c r="X19" s="44" t="s">
        <v>141</v>
      </c>
      <c r="Y19" s="44">
        <v>14</v>
      </c>
      <c r="Z19" s="44" t="s">
        <v>355</v>
      </c>
      <c r="AA19" s="69">
        <v>1</v>
      </c>
      <c r="AC19" s="37" t="s">
        <v>137</v>
      </c>
      <c r="AD19" s="49">
        <f>COUNTIF(Y$52:Y$70,"&gt;16")</f>
        <v>1</v>
      </c>
      <c r="AE19" s="50">
        <f>AD19/AD$25</f>
        <v>5.2631578947368418E-2</v>
      </c>
      <c r="AG19" s="80"/>
    </row>
    <row r="20" spans="1:33" ht="13.8" x14ac:dyDescent="0.3">
      <c r="A20" s="37" t="s">
        <v>261</v>
      </c>
      <c r="B20" s="44" t="s">
        <v>140</v>
      </c>
      <c r="C20" s="44">
        <v>15</v>
      </c>
      <c r="D20" s="44" t="s">
        <v>262</v>
      </c>
      <c r="E20" s="69">
        <f t="shared" si="3"/>
        <v>0.81254016709511567</v>
      </c>
      <c r="F20" s="356"/>
      <c r="K20" s="5"/>
      <c r="Q20" s="93" t="s">
        <v>425</v>
      </c>
      <c r="R20" s="94">
        <v>0.99609846555590886</v>
      </c>
      <c r="S20" s="93" t="s">
        <v>203</v>
      </c>
      <c r="W20" s="37" t="s">
        <v>287</v>
      </c>
      <c r="X20" s="44" t="s">
        <v>142</v>
      </c>
      <c r="Y20" s="44">
        <v>13</v>
      </c>
      <c r="Z20" s="44" t="s">
        <v>441</v>
      </c>
      <c r="AA20" s="69">
        <v>1</v>
      </c>
      <c r="AC20" s="37" t="s">
        <v>139</v>
      </c>
      <c r="AD20" s="49">
        <f>COUNTIF(Y$52:Y$70,"=16")</f>
        <v>3</v>
      </c>
      <c r="AE20" s="50">
        <f t="shared" ref="AE20:AE25" si="4">AD20/AD$25</f>
        <v>0.15789473684210525</v>
      </c>
      <c r="AG20" s="80"/>
    </row>
    <row r="21" spans="1:33" ht="13.8" x14ac:dyDescent="0.3">
      <c r="A21" s="37" t="s">
        <v>395</v>
      </c>
      <c r="B21" s="44" t="s">
        <v>140</v>
      </c>
      <c r="C21" s="44">
        <v>15</v>
      </c>
      <c r="D21" s="44" t="s">
        <v>396</v>
      </c>
      <c r="E21" s="60">
        <f t="shared" si="3"/>
        <v>0.83267459864721705</v>
      </c>
      <c r="F21" s="356"/>
      <c r="Q21" s="93" t="s">
        <v>194</v>
      </c>
      <c r="R21" s="94">
        <v>0.63157463237392464</v>
      </c>
      <c r="S21" s="93" t="s">
        <v>204</v>
      </c>
      <c r="W21" s="37" t="s">
        <v>301</v>
      </c>
      <c r="X21" s="44" t="s">
        <v>140</v>
      </c>
      <c r="Y21" s="44">
        <v>15</v>
      </c>
      <c r="Z21" s="44" t="s">
        <v>302</v>
      </c>
      <c r="AA21" s="69">
        <v>0.99967409016838671</v>
      </c>
      <c r="AC21" s="37" t="s">
        <v>140</v>
      </c>
      <c r="AD21" s="49">
        <f>COUNTIF(Y$52:Y$70,"=15")</f>
        <v>6</v>
      </c>
      <c r="AE21" s="50">
        <f t="shared" si="4"/>
        <v>0.31578947368421051</v>
      </c>
      <c r="AG21" s="80"/>
    </row>
    <row r="22" spans="1:33" ht="13.8" x14ac:dyDescent="0.3">
      <c r="A22" s="37" t="s">
        <v>271</v>
      </c>
      <c r="B22" s="44" t="s">
        <v>140</v>
      </c>
      <c r="C22" s="44">
        <v>15</v>
      </c>
      <c r="D22" s="44" t="s">
        <v>272</v>
      </c>
      <c r="E22" s="60">
        <f t="shared" si="3"/>
        <v>0.36101059894989318</v>
      </c>
      <c r="F22" s="356"/>
      <c r="Q22" s="93" t="s">
        <v>454</v>
      </c>
      <c r="R22" s="94">
        <v>1</v>
      </c>
      <c r="S22" s="93" t="s">
        <v>203</v>
      </c>
      <c r="W22" s="37" t="s">
        <v>424</v>
      </c>
      <c r="X22" s="47" t="s">
        <v>423</v>
      </c>
      <c r="Y22" s="47"/>
      <c r="Z22" s="44" t="s">
        <v>425</v>
      </c>
      <c r="AA22" s="69">
        <v>0.99609846555590886</v>
      </c>
      <c r="AC22" s="37" t="s">
        <v>141</v>
      </c>
      <c r="AD22" s="49">
        <f>COUNTIF(Y$52:Y$70,"=14")</f>
        <v>3</v>
      </c>
      <c r="AE22" s="50">
        <f t="shared" si="4"/>
        <v>0.15789473684210525</v>
      </c>
      <c r="AG22" s="80"/>
    </row>
    <row r="23" spans="1:33" ht="13.8" x14ac:dyDescent="0.3">
      <c r="A23" s="37" t="s">
        <v>408</v>
      </c>
      <c r="B23" s="44" t="s">
        <v>140</v>
      </c>
      <c r="C23" s="44">
        <v>15</v>
      </c>
      <c r="D23" s="44" t="s">
        <v>451</v>
      </c>
      <c r="E23" s="60">
        <f t="shared" si="3"/>
        <v>0.76017780502759058</v>
      </c>
      <c r="F23" s="356"/>
      <c r="Q23" s="93" t="s">
        <v>262</v>
      </c>
      <c r="R23" s="94">
        <v>0.81254016709511567</v>
      </c>
      <c r="S23" s="93" t="s">
        <v>203</v>
      </c>
      <c r="W23" s="37" t="s">
        <v>297</v>
      </c>
      <c r="X23" s="44" t="s">
        <v>141</v>
      </c>
      <c r="Y23" s="44">
        <v>14</v>
      </c>
      <c r="Z23" s="44" t="s">
        <v>298</v>
      </c>
      <c r="AA23" s="69">
        <v>0.99569209153466032</v>
      </c>
      <c r="AC23" s="37" t="s">
        <v>142</v>
      </c>
      <c r="AD23" s="49">
        <f>COUNTIF(Y$52:Y$70,"=13")</f>
        <v>6</v>
      </c>
      <c r="AE23" s="50">
        <f t="shared" si="4"/>
        <v>0.31578947368421051</v>
      </c>
      <c r="AG23" s="80"/>
    </row>
    <row r="24" spans="1:33" ht="14.4" thickBot="1" x14ac:dyDescent="0.35">
      <c r="A24" s="37" t="s">
        <v>394</v>
      </c>
      <c r="B24" s="44" t="s">
        <v>140</v>
      </c>
      <c r="C24" s="44">
        <v>15</v>
      </c>
      <c r="D24" s="44" t="s">
        <v>236</v>
      </c>
      <c r="E24" s="69">
        <f t="shared" si="3"/>
        <v>0.95294725244456668</v>
      </c>
      <c r="F24" s="356"/>
      <c r="Q24" s="93" t="s">
        <v>264</v>
      </c>
      <c r="R24" s="94">
        <v>0.76510407852428497</v>
      </c>
      <c r="S24" s="93" t="s">
        <v>204</v>
      </c>
      <c r="W24" s="37" t="s">
        <v>411</v>
      </c>
      <c r="X24" s="44" t="s">
        <v>173</v>
      </c>
      <c r="Y24" s="44">
        <v>12</v>
      </c>
      <c r="Z24" s="44" t="s">
        <v>412</v>
      </c>
      <c r="AA24" s="69">
        <v>0.99533285779852521</v>
      </c>
      <c r="AC24" s="53" t="s">
        <v>143</v>
      </c>
      <c r="AD24" s="55">
        <f>COUNTIF(Y$52:Y$70,"&lt;13")</f>
        <v>0</v>
      </c>
      <c r="AE24" s="56">
        <f t="shared" si="4"/>
        <v>0</v>
      </c>
      <c r="AG24" s="80"/>
    </row>
    <row r="25" spans="1:33" ht="13.8" x14ac:dyDescent="0.3">
      <c r="A25" s="37" t="s">
        <v>277</v>
      </c>
      <c r="B25" s="44" t="s">
        <v>140</v>
      </c>
      <c r="C25" s="44">
        <v>15</v>
      </c>
      <c r="D25" s="44" t="s">
        <v>278</v>
      </c>
      <c r="E25" s="60">
        <f t="shared" si="3"/>
        <v>0.76907329412838532</v>
      </c>
      <c r="F25" s="356"/>
      <c r="Q25" s="93" t="s">
        <v>455</v>
      </c>
      <c r="R25" s="94">
        <v>0.96341849943457658</v>
      </c>
      <c r="S25" s="93" t="s">
        <v>203</v>
      </c>
      <c r="W25" s="37" t="s">
        <v>305</v>
      </c>
      <c r="X25" s="44" t="s">
        <v>173</v>
      </c>
      <c r="Y25" s="44">
        <v>12</v>
      </c>
      <c r="Z25" s="44" t="s">
        <v>456</v>
      </c>
      <c r="AA25" s="69">
        <v>0.99461817608484948</v>
      </c>
      <c r="AC25" s="41" t="s">
        <v>144</v>
      </c>
      <c r="AD25" s="51">
        <f>SUM(AD19:AD24)</f>
        <v>19</v>
      </c>
      <c r="AE25" s="52">
        <f t="shared" si="4"/>
        <v>1</v>
      </c>
      <c r="AG25" s="80"/>
    </row>
    <row r="26" spans="1:33" ht="13.8" x14ac:dyDescent="0.3">
      <c r="A26" s="37" t="s">
        <v>382</v>
      </c>
      <c r="B26" s="44" t="s">
        <v>140</v>
      </c>
      <c r="C26" s="44">
        <v>15</v>
      </c>
      <c r="D26" s="44" t="s">
        <v>383</v>
      </c>
      <c r="E26" s="69">
        <f t="shared" si="3"/>
        <v>0.73349447513812149</v>
      </c>
      <c r="F26" s="356"/>
      <c r="Q26" s="93" t="s">
        <v>228</v>
      </c>
      <c r="R26" s="94">
        <v>0.89318320146074259</v>
      </c>
      <c r="S26" s="93" t="s">
        <v>203</v>
      </c>
      <c r="W26" s="37" t="s">
        <v>281</v>
      </c>
      <c r="X26" s="44" t="s">
        <v>141</v>
      </c>
      <c r="Y26" s="44">
        <v>14</v>
      </c>
      <c r="Z26" s="44" t="s">
        <v>282</v>
      </c>
      <c r="AA26" s="69">
        <v>0.99126425624848336</v>
      </c>
      <c r="AG26" s="80"/>
    </row>
    <row r="27" spans="1:33" ht="13.8" x14ac:dyDescent="0.3">
      <c r="A27" s="37" t="s">
        <v>301</v>
      </c>
      <c r="B27" s="44" t="s">
        <v>140</v>
      </c>
      <c r="C27" s="44">
        <v>15</v>
      </c>
      <c r="D27" s="44" t="s">
        <v>302</v>
      </c>
      <c r="E27" s="60">
        <f t="shared" si="3"/>
        <v>0.99967409016838671</v>
      </c>
      <c r="F27" s="356"/>
      <c r="Q27" s="93" t="s">
        <v>368</v>
      </c>
      <c r="R27" s="94">
        <v>1.0292149475019923</v>
      </c>
      <c r="S27" s="93" t="s">
        <v>203</v>
      </c>
      <c r="W27" s="37" t="s">
        <v>389</v>
      </c>
      <c r="X27" s="44" t="s">
        <v>141</v>
      </c>
      <c r="Y27" s="44">
        <v>14</v>
      </c>
      <c r="Z27" s="44" t="s">
        <v>390</v>
      </c>
      <c r="AA27" s="69">
        <v>0.98872477714287255</v>
      </c>
      <c r="AG27" s="80"/>
    </row>
    <row r="28" spans="1:33" ht="13.8" x14ac:dyDescent="0.3">
      <c r="A28" s="37" t="s">
        <v>243</v>
      </c>
      <c r="B28" s="44" t="s">
        <v>140</v>
      </c>
      <c r="C28" s="44">
        <v>15</v>
      </c>
      <c r="D28" s="44" t="s">
        <v>244</v>
      </c>
      <c r="E28" s="69">
        <f t="shared" si="3"/>
        <v>0.61841824770837783</v>
      </c>
      <c r="F28" s="356"/>
      <c r="Q28" s="93" t="s">
        <v>331</v>
      </c>
      <c r="R28" s="94">
        <v>1</v>
      </c>
      <c r="S28" s="93" t="s">
        <v>203</v>
      </c>
      <c r="W28" s="37" t="s">
        <v>295</v>
      </c>
      <c r="X28" s="47" t="s">
        <v>423</v>
      </c>
      <c r="Y28" s="47"/>
      <c r="Z28" s="47" t="s">
        <v>296</v>
      </c>
      <c r="AA28" s="62">
        <v>0.98538704581358605</v>
      </c>
      <c r="AC28" s="67" t="s">
        <v>147</v>
      </c>
      <c r="AD28" s="68"/>
      <c r="AE28" s="68"/>
      <c r="AF28" s="42">
        <f>AVERAGE(Y$71:Y$74)</f>
        <v>11.5</v>
      </c>
      <c r="AG28" s="79"/>
    </row>
    <row r="29" spans="1:33" ht="14.4" thickBot="1" x14ac:dyDescent="0.35">
      <c r="A29" s="37" t="s">
        <v>427</v>
      </c>
      <c r="B29" s="44" t="s">
        <v>140</v>
      </c>
      <c r="C29" s="44">
        <v>15</v>
      </c>
      <c r="D29" s="44" t="s">
        <v>428</v>
      </c>
      <c r="E29" s="60">
        <f t="shared" si="3"/>
        <v>0.85816623707026407</v>
      </c>
      <c r="F29" s="356"/>
      <c r="Q29" s="93" t="s">
        <v>457</v>
      </c>
      <c r="R29" s="94">
        <v>0.11951366732775717</v>
      </c>
      <c r="S29" s="93" t="s">
        <v>194</v>
      </c>
      <c r="W29" s="37" t="s">
        <v>283</v>
      </c>
      <c r="X29" s="44" t="s">
        <v>141</v>
      </c>
      <c r="Y29" s="44">
        <v>14</v>
      </c>
      <c r="Z29" s="44" t="s">
        <v>284</v>
      </c>
      <c r="AA29" s="69">
        <v>0.97697589100213744</v>
      </c>
      <c r="AC29" s="57" t="s">
        <v>210</v>
      </c>
      <c r="AD29" s="57" t="s">
        <v>134</v>
      </c>
      <c r="AE29" s="57" t="s">
        <v>135</v>
      </c>
    </row>
    <row r="30" spans="1:33" ht="13.8" x14ac:dyDescent="0.3">
      <c r="A30" s="37" t="s">
        <v>347</v>
      </c>
      <c r="B30" s="44" t="s">
        <v>140</v>
      </c>
      <c r="C30" s="44">
        <v>15</v>
      </c>
      <c r="D30" s="44" t="s">
        <v>348</v>
      </c>
      <c r="E30" s="60">
        <f t="shared" si="3"/>
        <v>0.77444478716841458</v>
      </c>
      <c r="F30" s="356"/>
      <c r="Q30" s="93" t="s">
        <v>266</v>
      </c>
      <c r="R30" s="94">
        <v>0.7886228860092247</v>
      </c>
      <c r="S30" s="93" t="s">
        <v>204</v>
      </c>
      <c r="W30" s="37" t="s">
        <v>345</v>
      </c>
      <c r="X30" s="44" t="s">
        <v>139</v>
      </c>
      <c r="Y30" s="44">
        <v>16</v>
      </c>
      <c r="Z30" s="44" t="s">
        <v>346</v>
      </c>
      <c r="AA30" s="69">
        <v>0.975461842272901</v>
      </c>
      <c r="AC30" s="37" t="s">
        <v>137</v>
      </c>
      <c r="AD30" s="49">
        <f>COUNTIF(Y$71:Y$74,"&gt;16")</f>
        <v>0</v>
      </c>
      <c r="AE30" s="50">
        <f>AD30/AD$36</f>
        <v>0</v>
      </c>
    </row>
    <row r="31" spans="1:33" ht="13.8" x14ac:dyDescent="0.3">
      <c r="A31" s="37" t="s">
        <v>291</v>
      </c>
      <c r="B31" s="44" t="s">
        <v>140</v>
      </c>
      <c r="C31" s="44">
        <v>15</v>
      </c>
      <c r="D31" s="44" t="s">
        <v>292</v>
      </c>
      <c r="E31" s="60">
        <f t="shared" si="3"/>
        <v>0.66251692368655679</v>
      </c>
      <c r="F31" s="356"/>
      <c r="K31" s="122"/>
      <c r="L31" s="122"/>
      <c r="Q31" s="93" t="s">
        <v>268</v>
      </c>
      <c r="R31" s="94">
        <v>0.80341264723043471</v>
      </c>
      <c r="S31" s="93" t="s">
        <v>203</v>
      </c>
      <c r="W31" s="37" t="s">
        <v>458</v>
      </c>
      <c r="X31" s="44" t="s">
        <v>173</v>
      </c>
      <c r="Y31" s="44">
        <v>12</v>
      </c>
      <c r="Z31" s="44" t="s">
        <v>459</v>
      </c>
      <c r="AA31" s="69">
        <v>0.97036252976978032</v>
      </c>
      <c r="AC31" s="37" t="s">
        <v>139</v>
      </c>
      <c r="AD31" s="49">
        <f>COUNTIF(Y$71:Y$74,"=16")</f>
        <v>0</v>
      </c>
      <c r="AE31" s="50">
        <f t="shared" ref="AE31:AE36" si="5">AD31/AD$36</f>
        <v>0</v>
      </c>
    </row>
    <row r="32" spans="1:33" ht="13.8" x14ac:dyDescent="0.3">
      <c r="A32" s="37" t="s">
        <v>369</v>
      </c>
      <c r="B32" s="44" t="s">
        <v>140</v>
      </c>
      <c r="C32" s="44">
        <v>15</v>
      </c>
      <c r="D32" s="44" t="s">
        <v>375</v>
      </c>
      <c r="E32" s="69">
        <f t="shared" si="3"/>
        <v>0.93843994106691131</v>
      </c>
      <c r="F32" s="356"/>
      <c r="L32" s="122"/>
      <c r="Q32" s="93" t="s">
        <v>270</v>
      </c>
      <c r="R32" s="94">
        <v>0.58646630934150079</v>
      </c>
      <c r="S32" s="93" t="s">
        <v>204</v>
      </c>
      <c r="W32" s="37" t="s">
        <v>222</v>
      </c>
      <c r="X32" s="44" t="s">
        <v>141</v>
      </c>
      <c r="Y32" s="44">
        <v>14</v>
      </c>
      <c r="Z32" s="44" t="s">
        <v>223</v>
      </c>
      <c r="AA32" s="69">
        <v>0.96680210088197405</v>
      </c>
      <c r="AC32" s="37" t="s">
        <v>140</v>
      </c>
      <c r="AD32" s="49">
        <f>COUNTIF(Y$71:Y$74,"=15")</f>
        <v>1</v>
      </c>
      <c r="AE32" s="50">
        <f t="shared" si="5"/>
        <v>0.25</v>
      </c>
    </row>
    <row r="33" spans="1:31" ht="13.8" x14ac:dyDescent="0.3">
      <c r="A33" s="45" t="s">
        <v>222</v>
      </c>
      <c r="B33" s="46" t="s">
        <v>141</v>
      </c>
      <c r="C33" s="46">
        <v>14</v>
      </c>
      <c r="D33" s="46" t="s">
        <v>223</v>
      </c>
      <c r="E33" s="61">
        <f t="shared" si="3"/>
        <v>0.96680210088197405</v>
      </c>
      <c r="F33" s="356"/>
      <c r="L33" s="122"/>
      <c r="Q33" s="93" t="s">
        <v>276</v>
      </c>
      <c r="R33" s="94">
        <v>0.64970550208303401</v>
      </c>
      <c r="S33" s="93" t="s">
        <v>204</v>
      </c>
      <c r="W33" s="37" t="s">
        <v>460</v>
      </c>
      <c r="X33" s="44" t="s">
        <v>139</v>
      </c>
      <c r="Y33" s="44">
        <v>16</v>
      </c>
      <c r="Z33" s="44" t="s">
        <v>455</v>
      </c>
      <c r="AA33" s="69">
        <v>0.96341849943457658</v>
      </c>
      <c r="AC33" s="37" t="s">
        <v>141</v>
      </c>
      <c r="AD33" s="49">
        <f>COUNTIF(Y$71:Y$74,"=14")</f>
        <v>0</v>
      </c>
      <c r="AE33" s="50">
        <f t="shared" si="5"/>
        <v>0</v>
      </c>
    </row>
    <row r="34" spans="1:31" ht="13.8" x14ac:dyDescent="0.3">
      <c r="A34" s="45" t="s">
        <v>238</v>
      </c>
      <c r="B34" s="46" t="s">
        <v>141</v>
      </c>
      <c r="C34" s="46">
        <v>14</v>
      </c>
      <c r="D34" s="46" t="s">
        <v>239</v>
      </c>
      <c r="E34" s="61">
        <f t="shared" si="3"/>
        <v>0.91095138568993894</v>
      </c>
      <c r="F34" s="356"/>
      <c r="L34" s="122"/>
      <c r="Q34" s="93" t="s">
        <v>353</v>
      </c>
      <c r="R34" s="94">
        <v>1.0379329114785329</v>
      </c>
      <c r="S34" s="93" t="s">
        <v>203</v>
      </c>
      <c r="W34" s="37" t="s">
        <v>394</v>
      </c>
      <c r="X34" s="44" t="s">
        <v>140</v>
      </c>
      <c r="Y34" s="44">
        <v>15</v>
      </c>
      <c r="Z34" s="44" t="s">
        <v>236</v>
      </c>
      <c r="AA34" s="69">
        <v>0.95294725244456668</v>
      </c>
      <c r="AC34" s="37" t="s">
        <v>142</v>
      </c>
      <c r="AD34" s="49">
        <f>COUNTIF(Y$71:Y$74,"=13")</f>
        <v>2</v>
      </c>
      <c r="AE34" s="50">
        <f t="shared" si="5"/>
        <v>0.5</v>
      </c>
    </row>
    <row r="35" spans="1:31" ht="14.4" thickBot="1" x14ac:dyDescent="0.35">
      <c r="A35" s="45" t="s">
        <v>249</v>
      </c>
      <c r="B35" s="46" t="s">
        <v>141</v>
      </c>
      <c r="C35" s="46">
        <v>14</v>
      </c>
      <c r="D35" s="46" t="s">
        <v>250</v>
      </c>
      <c r="E35" s="61">
        <f t="shared" si="3"/>
        <v>0.71562826313957539</v>
      </c>
      <c r="F35" s="356"/>
      <c r="G35" s="49" t="s">
        <v>373</v>
      </c>
      <c r="L35" s="122"/>
      <c r="Q35" s="93" t="s">
        <v>280</v>
      </c>
      <c r="R35" s="94">
        <v>0.47637430521244206</v>
      </c>
      <c r="S35" s="93" t="s">
        <v>194</v>
      </c>
      <c r="W35" s="37" t="s">
        <v>251</v>
      </c>
      <c r="X35" s="44" t="s">
        <v>139</v>
      </c>
      <c r="Y35" s="44">
        <v>16</v>
      </c>
      <c r="Z35" s="44" t="s">
        <v>252</v>
      </c>
      <c r="AA35" s="69">
        <v>0.94700000000000006</v>
      </c>
      <c r="AC35" s="53" t="s">
        <v>143</v>
      </c>
      <c r="AD35" s="55">
        <f>COUNTIF(Y$71:Y$74,"&lt;13")</f>
        <v>1</v>
      </c>
      <c r="AE35" s="56">
        <f t="shared" si="5"/>
        <v>0.25</v>
      </c>
    </row>
    <row r="36" spans="1:31" ht="13.8" x14ac:dyDescent="0.3">
      <c r="A36" s="45" t="s">
        <v>254</v>
      </c>
      <c r="B36" s="46" t="s">
        <v>141</v>
      </c>
      <c r="C36" s="46">
        <v>14</v>
      </c>
      <c r="D36" s="46" t="s">
        <v>378</v>
      </c>
      <c r="E36" s="61">
        <f t="shared" si="3"/>
        <v>0.91199977892108686</v>
      </c>
      <c r="F36" s="356"/>
      <c r="G36" s="92"/>
      <c r="H36" s="7"/>
      <c r="I36" s="7"/>
      <c r="L36" s="122"/>
      <c r="Q36" s="93" t="s">
        <v>284</v>
      </c>
      <c r="R36" s="94">
        <v>0.97697589100213744</v>
      </c>
      <c r="S36" s="93" t="s">
        <v>203</v>
      </c>
      <c r="W36" s="37" t="s">
        <v>369</v>
      </c>
      <c r="X36" s="44" t="s">
        <v>140</v>
      </c>
      <c r="Y36" s="44">
        <v>15</v>
      </c>
      <c r="Z36" s="44" t="s">
        <v>375</v>
      </c>
      <c r="AA36" s="69">
        <v>0.93843994106691131</v>
      </c>
      <c r="AC36" s="41" t="s">
        <v>144</v>
      </c>
      <c r="AD36" s="51">
        <f>SUM(AD30:AD35)</f>
        <v>4</v>
      </c>
      <c r="AE36" s="52">
        <f t="shared" si="5"/>
        <v>1</v>
      </c>
    </row>
    <row r="37" spans="1:31" ht="13.8" x14ac:dyDescent="0.3">
      <c r="A37" s="45" t="s">
        <v>328</v>
      </c>
      <c r="B37" s="46" t="s">
        <v>141</v>
      </c>
      <c r="C37" s="46">
        <v>14</v>
      </c>
      <c r="D37" s="46" t="s">
        <v>331</v>
      </c>
      <c r="E37" s="61">
        <f t="shared" si="3"/>
        <v>1</v>
      </c>
      <c r="F37" s="356"/>
      <c r="H37" s="5"/>
      <c r="J37" s="7"/>
      <c r="Q37" s="93" t="s">
        <v>220</v>
      </c>
      <c r="R37" s="94">
        <v>0.86662573118314323</v>
      </c>
      <c r="S37" s="93" t="s">
        <v>203</v>
      </c>
      <c r="W37" s="37" t="s">
        <v>303</v>
      </c>
      <c r="X37" s="44" t="s">
        <v>175</v>
      </c>
      <c r="Y37" s="44">
        <v>11</v>
      </c>
      <c r="Z37" s="44" t="s">
        <v>304</v>
      </c>
      <c r="AA37" s="69">
        <v>0.93520619672453054</v>
      </c>
    </row>
    <row r="38" spans="1:31" ht="13.8" x14ac:dyDescent="0.3">
      <c r="A38" s="45" t="s">
        <v>267</v>
      </c>
      <c r="B38" s="46" t="s">
        <v>141</v>
      </c>
      <c r="C38" s="46">
        <v>14</v>
      </c>
      <c r="D38" s="46" t="s">
        <v>268</v>
      </c>
      <c r="E38" s="61">
        <f t="shared" si="3"/>
        <v>0.80341264723043471</v>
      </c>
      <c r="F38" s="356"/>
      <c r="H38" s="5"/>
      <c r="J38" s="8"/>
      <c r="Q38" s="93" t="s">
        <v>272</v>
      </c>
      <c r="R38" s="94">
        <v>0.36101059894989318</v>
      </c>
      <c r="S38" s="93" t="s">
        <v>194</v>
      </c>
      <c r="W38" s="37" t="s">
        <v>293</v>
      </c>
      <c r="X38" s="44" t="s">
        <v>166</v>
      </c>
      <c r="Y38" s="44">
        <v>17</v>
      </c>
      <c r="Z38" s="44" t="s">
        <v>294</v>
      </c>
      <c r="AA38" s="69">
        <v>0.92936836749527552</v>
      </c>
    </row>
    <row r="39" spans="1:31" ht="13.8" x14ac:dyDescent="0.3">
      <c r="A39" s="45" t="s">
        <v>269</v>
      </c>
      <c r="B39" s="46" t="s">
        <v>141</v>
      </c>
      <c r="C39" s="46">
        <v>14</v>
      </c>
      <c r="D39" s="46" t="s">
        <v>270</v>
      </c>
      <c r="E39" s="61">
        <f t="shared" si="3"/>
        <v>0.58646630934150079</v>
      </c>
      <c r="F39" s="356"/>
      <c r="H39" s="5"/>
      <c r="J39" s="8"/>
      <c r="Q39" s="93" t="s">
        <v>461</v>
      </c>
      <c r="R39" s="94">
        <v>0.78418126509511765</v>
      </c>
      <c r="S39" s="93" t="s">
        <v>204</v>
      </c>
      <c r="W39" s="37" t="s">
        <v>247</v>
      </c>
      <c r="X39" s="44" t="s">
        <v>139</v>
      </c>
      <c r="Y39" s="44">
        <v>16</v>
      </c>
      <c r="Z39" s="44" t="s">
        <v>248</v>
      </c>
      <c r="AA39" s="69">
        <v>0.91865112788863534</v>
      </c>
    </row>
    <row r="40" spans="1:31" ht="13.8" x14ac:dyDescent="0.3">
      <c r="A40" s="45" t="s">
        <v>352</v>
      </c>
      <c r="B40" s="46" t="s">
        <v>141</v>
      </c>
      <c r="C40" s="46">
        <v>14</v>
      </c>
      <c r="D40" s="46" t="s">
        <v>353</v>
      </c>
      <c r="E40" s="61">
        <f t="shared" si="3"/>
        <v>1.0379329114785329</v>
      </c>
      <c r="F40" s="356"/>
      <c r="H40" s="5"/>
      <c r="J40" s="8"/>
      <c r="Q40" s="93" t="s">
        <v>241</v>
      </c>
      <c r="R40" s="94">
        <v>0.541533003736272</v>
      </c>
      <c r="S40" s="93" t="s">
        <v>204</v>
      </c>
      <c r="W40" s="37" t="s">
        <v>254</v>
      </c>
      <c r="X40" s="44" t="s">
        <v>141</v>
      </c>
      <c r="Y40" s="44">
        <v>14</v>
      </c>
      <c r="Z40" s="44" t="s">
        <v>378</v>
      </c>
      <c r="AA40" s="69">
        <v>0.91199977892108686</v>
      </c>
    </row>
    <row r="41" spans="1:31" ht="13.8" x14ac:dyDescent="0.3">
      <c r="A41" s="45" t="s">
        <v>283</v>
      </c>
      <c r="B41" s="46" t="s">
        <v>141</v>
      </c>
      <c r="C41" s="46">
        <v>14</v>
      </c>
      <c r="D41" s="46" t="s">
        <v>284</v>
      </c>
      <c r="E41" s="61">
        <f t="shared" si="3"/>
        <v>0.97697589100213744</v>
      </c>
      <c r="F41" s="356"/>
      <c r="H41" s="5"/>
      <c r="J41" s="8"/>
      <c r="Q41" s="93" t="s">
        <v>274</v>
      </c>
      <c r="R41" s="94">
        <v>0.57845507252191697</v>
      </c>
      <c r="S41" s="93" t="s">
        <v>204</v>
      </c>
      <c r="W41" s="37" t="s">
        <v>238</v>
      </c>
      <c r="X41" s="44" t="s">
        <v>141</v>
      </c>
      <c r="Y41" s="44">
        <v>14</v>
      </c>
      <c r="Z41" s="44" t="s">
        <v>239</v>
      </c>
      <c r="AA41" s="69">
        <v>0.91095138568993894</v>
      </c>
    </row>
    <row r="42" spans="1:31" ht="13.8" x14ac:dyDescent="0.3">
      <c r="A42" s="45" t="s">
        <v>297</v>
      </c>
      <c r="B42" s="46" t="s">
        <v>141</v>
      </c>
      <c r="C42" s="46">
        <v>14</v>
      </c>
      <c r="D42" s="46" t="s">
        <v>298</v>
      </c>
      <c r="E42" s="61">
        <f t="shared" si="3"/>
        <v>0.99569209153466032</v>
      </c>
      <c r="F42" s="356"/>
      <c r="H42" s="5"/>
      <c r="J42" s="8"/>
      <c r="Q42" s="93" t="s">
        <v>432</v>
      </c>
      <c r="R42" s="94">
        <v>1</v>
      </c>
      <c r="S42" s="93" t="s">
        <v>203</v>
      </c>
      <c r="W42" s="37" t="s">
        <v>217</v>
      </c>
      <c r="X42" s="44" t="s">
        <v>140</v>
      </c>
      <c r="Y42" s="44">
        <v>15</v>
      </c>
      <c r="Z42" s="44" t="s">
        <v>218</v>
      </c>
      <c r="AA42" s="69">
        <v>0.91042888352305396</v>
      </c>
    </row>
    <row r="43" spans="1:31" ht="13.8" x14ac:dyDescent="0.3">
      <c r="A43" s="45" t="s">
        <v>281</v>
      </c>
      <c r="B43" s="46" t="s">
        <v>141</v>
      </c>
      <c r="C43" s="46">
        <v>14</v>
      </c>
      <c r="D43" s="46" t="s">
        <v>282</v>
      </c>
      <c r="E43" s="61">
        <f t="shared" si="3"/>
        <v>0.99126425624848336</v>
      </c>
      <c r="F43" s="356"/>
      <c r="Q43" s="93" t="s">
        <v>236</v>
      </c>
      <c r="R43" s="94">
        <v>0.95294725244456668</v>
      </c>
      <c r="S43" s="93" t="s">
        <v>203</v>
      </c>
      <c r="W43" s="37" t="s">
        <v>227</v>
      </c>
      <c r="X43" s="44" t="s">
        <v>139</v>
      </c>
      <c r="Y43" s="44">
        <v>16</v>
      </c>
      <c r="Z43" s="44" t="s">
        <v>228</v>
      </c>
      <c r="AA43" s="69">
        <v>0.89318320146074259</v>
      </c>
    </row>
    <row r="44" spans="1:31" ht="13.8" x14ac:dyDescent="0.3">
      <c r="A44" s="45" t="s">
        <v>285</v>
      </c>
      <c r="B44" s="46" t="s">
        <v>141</v>
      </c>
      <c r="C44" s="46">
        <v>14</v>
      </c>
      <c r="D44" s="46" t="s">
        <v>286</v>
      </c>
      <c r="E44" s="61">
        <f t="shared" si="3"/>
        <v>1</v>
      </c>
      <c r="F44" s="356"/>
      <c r="Q44" s="93" t="s">
        <v>412</v>
      </c>
      <c r="R44" s="94">
        <v>0.99533285779852521</v>
      </c>
      <c r="S44" s="93" t="s">
        <v>203</v>
      </c>
      <c r="W44" s="37" t="s">
        <v>256</v>
      </c>
      <c r="X44" s="44" t="s">
        <v>142</v>
      </c>
      <c r="Y44" s="44">
        <v>13</v>
      </c>
      <c r="Z44" s="44" t="s">
        <v>257</v>
      </c>
      <c r="AA44" s="69">
        <v>0.89235399590163933</v>
      </c>
    </row>
    <row r="45" spans="1:31" ht="13.8" x14ac:dyDescent="0.3">
      <c r="A45" s="45" t="s">
        <v>289</v>
      </c>
      <c r="B45" s="46" t="s">
        <v>141</v>
      </c>
      <c r="C45" s="46">
        <v>14</v>
      </c>
      <c r="D45" s="46" t="s">
        <v>290</v>
      </c>
      <c r="E45" s="61">
        <f t="shared" si="3"/>
        <v>0.5641445718679996</v>
      </c>
      <c r="F45" s="356"/>
      <c r="Q45" s="93" t="s">
        <v>298</v>
      </c>
      <c r="R45" s="94">
        <v>0.99569209153466032</v>
      </c>
      <c r="S45" s="93" t="s">
        <v>203</v>
      </c>
      <c r="W45" s="37" t="s">
        <v>462</v>
      </c>
      <c r="X45" s="44" t="s">
        <v>166</v>
      </c>
      <c r="Y45" s="44">
        <v>17</v>
      </c>
      <c r="Z45" s="44" t="s">
        <v>453</v>
      </c>
      <c r="AA45" s="69">
        <v>0.89001113183270453</v>
      </c>
    </row>
    <row r="46" spans="1:31" ht="13.8" x14ac:dyDescent="0.3">
      <c r="A46" s="45" t="s">
        <v>389</v>
      </c>
      <c r="B46" s="46" t="s">
        <v>141</v>
      </c>
      <c r="C46" s="46">
        <v>14</v>
      </c>
      <c r="D46" s="46" t="s">
        <v>390</v>
      </c>
      <c r="E46" s="61">
        <f t="shared" si="3"/>
        <v>0.98872477714287255</v>
      </c>
      <c r="F46" s="356"/>
      <c r="G46" s="122"/>
      <c r="J46" s="122"/>
      <c r="Q46" s="93" t="s">
        <v>278</v>
      </c>
      <c r="R46" s="94">
        <v>0.76907329412838532</v>
      </c>
      <c r="S46" s="93" t="s">
        <v>204</v>
      </c>
      <c r="W46" s="37" t="s">
        <v>219</v>
      </c>
      <c r="X46" s="44" t="s">
        <v>140</v>
      </c>
      <c r="Y46" s="44">
        <v>15</v>
      </c>
      <c r="Z46" s="44" t="s">
        <v>220</v>
      </c>
      <c r="AA46" s="69">
        <v>0.86662573118314323</v>
      </c>
    </row>
    <row r="47" spans="1:31" ht="13.8" x14ac:dyDescent="0.3">
      <c r="A47" s="45" t="s">
        <v>354</v>
      </c>
      <c r="B47" s="46" t="s">
        <v>141</v>
      </c>
      <c r="C47" s="46">
        <v>14</v>
      </c>
      <c r="D47" s="46" t="s">
        <v>355</v>
      </c>
      <c r="E47" s="61">
        <f t="shared" ref="E47:E67" si="6">VLOOKUP($D47,$Q$7:$R$68,2,0)</f>
        <v>1</v>
      </c>
      <c r="F47" s="356"/>
      <c r="G47" s="122"/>
      <c r="I47" s="122"/>
      <c r="J47" s="122"/>
      <c r="Q47" s="93" t="s">
        <v>300</v>
      </c>
      <c r="R47" s="94">
        <v>0.62481029959532464</v>
      </c>
      <c r="S47" s="93" t="s">
        <v>204</v>
      </c>
      <c r="W47" s="37" t="s">
        <v>427</v>
      </c>
      <c r="X47" s="44" t="s">
        <v>140</v>
      </c>
      <c r="Y47" s="44">
        <v>15</v>
      </c>
      <c r="Z47" s="44" t="s">
        <v>428</v>
      </c>
      <c r="AA47" s="69">
        <v>0.85816623707026407</v>
      </c>
    </row>
    <row r="48" spans="1:31" ht="13.8" x14ac:dyDescent="0.3">
      <c r="A48" s="37" t="s">
        <v>225</v>
      </c>
      <c r="B48" s="44" t="s">
        <v>142</v>
      </c>
      <c r="C48" s="44">
        <v>13</v>
      </c>
      <c r="D48" s="44" t="s">
        <v>226</v>
      </c>
      <c r="E48" s="60">
        <f t="shared" si="6"/>
        <v>0.84669359982989578</v>
      </c>
      <c r="F48" s="356"/>
      <c r="G48" s="122"/>
      <c r="I48" s="122"/>
      <c r="J48" s="122"/>
      <c r="Q48" s="93" t="s">
        <v>302</v>
      </c>
      <c r="R48" s="94">
        <v>0.99967409016838671</v>
      </c>
      <c r="S48" s="93" t="s">
        <v>203</v>
      </c>
      <c r="W48" s="37" t="s">
        <v>225</v>
      </c>
      <c r="X48" s="44" t="s">
        <v>142</v>
      </c>
      <c r="Y48" s="44">
        <v>13</v>
      </c>
      <c r="Z48" s="44" t="s">
        <v>226</v>
      </c>
      <c r="AA48" s="69">
        <v>0.84669359982989578</v>
      </c>
    </row>
    <row r="49" spans="1:27" ht="13.8" x14ac:dyDescent="0.3">
      <c r="A49" s="37" t="s">
        <v>245</v>
      </c>
      <c r="B49" s="44" t="s">
        <v>142</v>
      </c>
      <c r="C49" s="44">
        <v>13</v>
      </c>
      <c r="D49" s="44" t="s">
        <v>246</v>
      </c>
      <c r="E49" s="60">
        <f t="shared" si="6"/>
        <v>0.68875112521618576</v>
      </c>
      <c r="F49" s="356"/>
      <c r="G49" s="122"/>
      <c r="I49" s="122"/>
      <c r="J49" s="122"/>
      <c r="Q49" s="93" t="s">
        <v>290</v>
      </c>
      <c r="R49" s="94">
        <v>0.5641445718679996</v>
      </c>
      <c r="S49" s="93" t="s">
        <v>204</v>
      </c>
      <c r="W49" s="37" t="s">
        <v>395</v>
      </c>
      <c r="X49" s="44" t="s">
        <v>140</v>
      </c>
      <c r="Y49" s="44">
        <v>15</v>
      </c>
      <c r="Z49" s="44" t="s">
        <v>396</v>
      </c>
      <c r="AA49" s="69">
        <v>0.83267459864721705</v>
      </c>
    </row>
    <row r="50" spans="1:27" ht="13.8" x14ac:dyDescent="0.3">
      <c r="A50" s="37" t="s">
        <v>256</v>
      </c>
      <c r="B50" s="44" t="s">
        <v>142</v>
      </c>
      <c r="C50" s="44">
        <v>13</v>
      </c>
      <c r="D50" s="44" t="s">
        <v>257</v>
      </c>
      <c r="E50" s="60">
        <f t="shared" si="6"/>
        <v>0.89235399590163933</v>
      </c>
      <c r="F50" s="356"/>
      <c r="G50" s="122"/>
      <c r="I50" s="122"/>
      <c r="J50" s="122"/>
      <c r="Q50" s="93" t="s">
        <v>428</v>
      </c>
      <c r="R50" s="94">
        <v>0.85816623707026407</v>
      </c>
      <c r="S50" s="93" t="s">
        <v>203</v>
      </c>
      <c r="W50" s="37" t="s">
        <v>261</v>
      </c>
      <c r="X50" s="44" t="s">
        <v>140</v>
      </c>
      <c r="Y50" s="44">
        <v>15</v>
      </c>
      <c r="Z50" s="44" t="s">
        <v>262</v>
      </c>
      <c r="AA50" s="69">
        <v>0.81254016709511567</v>
      </c>
    </row>
    <row r="51" spans="1:27" ht="13.8" x14ac:dyDescent="0.3">
      <c r="A51" s="37" t="s">
        <v>463</v>
      </c>
      <c r="B51" s="44" t="s">
        <v>142</v>
      </c>
      <c r="C51" s="44">
        <v>13</v>
      </c>
      <c r="D51" s="44" t="s">
        <v>452</v>
      </c>
      <c r="E51" s="69">
        <f t="shared" si="6"/>
        <v>0.33305692234682915</v>
      </c>
      <c r="F51" s="356"/>
      <c r="I51" s="122"/>
      <c r="J51" s="122"/>
      <c r="Q51" s="93" t="s">
        <v>304</v>
      </c>
      <c r="R51" s="94">
        <v>0.93520619672453054</v>
      </c>
      <c r="S51" s="93" t="s">
        <v>203</v>
      </c>
      <c r="W51" s="37" t="s">
        <v>267</v>
      </c>
      <c r="X51" s="44" t="s">
        <v>141</v>
      </c>
      <c r="Y51" s="44">
        <v>14</v>
      </c>
      <c r="Z51" s="44" t="s">
        <v>268</v>
      </c>
      <c r="AA51" s="69">
        <v>0.80341264723043471</v>
      </c>
    </row>
    <row r="52" spans="1:27" ht="13.8" x14ac:dyDescent="0.3">
      <c r="A52" s="37" t="s">
        <v>265</v>
      </c>
      <c r="B52" s="44" t="s">
        <v>142</v>
      </c>
      <c r="C52" s="44">
        <v>13</v>
      </c>
      <c r="D52" s="44" t="s">
        <v>266</v>
      </c>
      <c r="E52" s="60">
        <f t="shared" si="6"/>
        <v>0.7886228860092247</v>
      </c>
      <c r="F52" s="356"/>
      <c r="Q52" s="93" t="s">
        <v>282</v>
      </c>
      <c r="R52" s="94">
        <v>0.99126425624848336</v>
      </c>
      <c r="S52" s="93" t="s">
        <v>203</v>
      </c>
      <c r="W52" s="37" t="s">
        <v>265</v>
      </c>
      <c r="X52" s="44" t="s">
        <v>142</v>
      </c>
      <c r="Y52" s="44">
        <v>13</v>
      </c>
      <c r="Z52" s="44" t="s">
        <v>266</v>
      </c>
      <c r="AA52" s="69">
        <v>0.7886228860092247</v>
      </c>
    </row>
    <row r="53" spans="1:27" ht="13.8" x14ac:dyDescent="0.3">
      <c r="A53" s="37" t="s">
        <v>367</v>
      </c>
      <c r="B53" s="44" t="s">
        <v>142</v>
      </c>
      <c r="C53" s="44">
        <v>13</v>
      </c>
      <c r="D53" s="44" t="s">
        <v>368</v>
      </c>
      <c r="E53" s="60">
        <f t="shared" si="6"/>
        <v>1.0292149475019923</v>
      </c>
      <c r="F53" s="356"/>
      <c r="Q53" s="93" t="s">
        <v>383</v>
      </c>
      <c r="R53" s="94">
        <v>0.73349447513812149</v>
      </c>
      <c r="S53" s="93" t="s">
        <v>204</v>
      </c>
      <c r="W53" s="37" t="s">
        <v>464</v>
      </c>
      <c r="X53" s="44" t="s">
        <v>162</v>
      </c>
      <c r="Y53" s="44">
        <v>19</v>
      </c>
      <c r="Z53" s="44" t="s">
        <v>461</v>
      </c>
      <c r="AA53" s="69">
        <v>0.78418126509511765</v>
      </c>
    </row>
    <row r="54" spans="1:27" ht="13.8" x14ac:dyDescent="0.3">
      <c r="A54" s="37" t="s">
        <v>275</v>
      </c>
      <c r="B54" s="44" t="s">
        <v>142</v>
      </c>
      <c r="C54" s="44">
        <v>13</v>
      </c>
      <c r="D54" s="44" t="s">
        <v>276</v>
      </c>
      <c r="E54" s="60">
        <f t="shared" si="6"/>
        <v>0.64970550208303401</v>
      </c>
      <c r="F54" s="356"/>
      <c r="Q54" s="93" t="s">
        <v>286</v>
      </c>
      <c r="R54" s="94">
        <v>1</v>
      </c>
      <c r="S54" s="93" t="s">
        <v>203</v>
      </c>
      <c r="W54" s="37" t="s">
        <v>347</v>
      </c>
      <c r="X54" s="44" t="s">
        <v>140</v>
      </c>
      <c r="Y54" s="44">
        <v>15</v>
      </c>
      <c r="Z54" s="44" t="s">
        <v>348</v>
      </c>
      <c r="AA54" s="69">
        <v>0.77444478716841458</v>
      </c>
    </row>
    <row r="55" spans="1:27" ht="13.8" x14ac:dyDescent="0.3">
      <c r="A55" s="37" t="s">
        <v>279</v>
      </c>
      <c r="B55" s="44" t="s">
        <v>142</v>
      </c>
      <c r="C55" s="44">
        <v>13</v>
      </c>
      <c r="D55" s="44" t="s">
        <v>280</v>
      </c>
      <c r="E55" s="69">
        <f t="shared" si="6"/>
        <v>0.47637430521244206</v>
      </c>
      <c r="F55" s="356"/>
      <c r="Q55" s="93" t="s">
        <v>244</v>
      </c>
      <c r="R55" s="94">
        <v>0.61841824770837783</v>
      </c>
      <c r="S55" s="93" t="s">
        <v>204</v>
      </c>
      <c r="W55" s="37" t="s">
        <v>277</v>
      </c>
      <c r="X55" s="44" t="s">
        <v>140</v>
      </c>
      <c r="Y55" s="44">
        <v>15</v>
      </c>
      <c r="Z55" s="44" t="s">
        <v>278</v>
      </c>
      <c r="AA55" s="69">
        <v>0.76907329412838532</v>
      </c>
    </row>
    <row r="56" spans="1:27" ht="13.8" x14ac:dyDescent="0.3">
      <c r="A56" s="37" t="s">
        <v>287</v>
      </c>
      <c r="B56" s="44" t="s">
        <v>142</v>
      </c>
      <c r="C56" s="44">
        <v>13</v>
      </c>
      <c r="D56" s="44" t="s">
        <v>441</v>
      </c>
      <c r="E56" s="60">
        <f t="shared" si="6"/>
        <v>1</v>
      </c>
      <c r="F56" s="356"/>
      <c r="Q56" s="93" t="s">
        <v>456</v>
      </c>
      <c r="R56" s="94">
        <v>0.99461817608484948</v>
      </c>
      <c r="S56" s="93" t="s">
        <v>203</v>
      </c>
      <c r="W56" s="37" t="s">
        <v>263</v>
      </c>
      <c r="X56" s="44" t="s">
        <v>139</v>
      </c>
      <c r="Y56" s="44">
        <v>16</v>
      </c>
      <c r="Z56" s="44" t="s">
        <v>264</v>
      </c>
      <c r="AA56" s="69">
        <v>0.76510407852428497</v>
      </c>
    </row>
    <row r="57" spans="1:27" ht="13.8" x14ac:dyDescent="0.3">
      <c r="A57" s="37" t="s">
        <v>273</v>
      </c>
      <c r="B57" s="44" t="s">
        <v>142</v>
      </c>
      <c r="C57" s="44">
        <v>13</v>
      </c>
      <c r="D57" s="44" t="s">
        <v>274</v>
      </c>
      <c r="E57" s="60">
        <f t="shared" si="6"/>
        <v>0.57845507252191697</v>
      </c>
      <c r="F57" s="356"/>
      <c r="Q57" s="93" t="s">
        <v>348</v>
      </c>
      <c r="R57" s="94">
        <v>0.77444478716841458</v>
      </c>
      <c r="S57" s="93" t="s">
        <v>204</v>
      </c>
      <c r="W57" s="37" t="s">
        <v>408</v>
      </c>
      <c r="X57" s="44" t="s">
        <v>140</v>
      </c>
      <c r="Y57" s="44">
        <v>15</v>
      </c>
      <c r="Z57" s="44" t="s">
        <v>451</v>
      </c>
      <c r="AA57" s="69">
        <v>0.76017780502759058</v>
      </c>
    </row>
    <row r="58" spans="1:27" ht="13.8" x14ac:dyDescent="0.3">
      <c r="A58" s="37" t="s">
        <v>299</v>
      </c>
      <c r="B58" s="44" t="s">
        <v>142</v>
      </c>
      <c r="C58" s="44">
        <v>13</v>
      </c>
      <c r="D58" s="44" t="s">
        <v>300</v>
      </c>
      <c r="E58" s="60">
        <f t="shared" si="6"/>
        <v>0.62481029959532464</v>
      </c>
      <c r="F58" s="356"/>
      <c r="Q58" s="93" t="s">
        <v>294</v>
      </c>
      <c r="R58" s="94">
        <v>0.92936836749527552</v>
      </c>
      <c r="S58" s="93" t="s">
        <v>203</v>
      </c>
      <c r="W58" s="37" t="s">
        <v>382</v>
      </c>
      <c r="X58" s="44" t="s">
        <v>140</v>
      </c>
      <c r="Y58" s="44">
        <v>15</v>
      </c>
      <c r="Z58" s="44" t="s">
        <v>383</v>
      </c>
      <c r="AA58" s="69">
        <v>0.73349447513812149</v>
      </c>
    </row>
    <row r="59" spans="1:27" ht="13.8" x14ac:dyDescent="0.3">
      <c r="A59" s="45" t="s">
        <v>305</v>
      </c>
      <c r="B59" s="46" t="s">
        <v>173</v>
      </c>
      <c r="C59" s="46">
        <v>12</v>
      </c>
      <c r="D59" s="46" t="s">
        <v>456</v>
      </c>
      <c r="E59" s="61">
        <f t="shared" si="6"/>
        <v>0.99461817608484948</v>
      </c>
      <c r="F59" s="356"/>
      <c r="Q59" s="93" t="s">
        <v>292</v>
      </c>
      <c r="R59" s="94">
        <v>0.66251692368655679</v>
      </c>
      <c r="S59" s="93" t="s">
        <v>204</v>
      </c>
      <c r="W59" s="37" t="s">
        <v>249</v>
      </c>
      <c r="X59" s="44" t="s">
        <v>141</v>
      </c>
      <c r="Y59" s="44">
        <v>14</v>
      </c>
      <c r="Z59" s="44" t="s">
        <v>250</v>
      </c>
      <c r="AA59" s="69">
        <v>0.71562826313957539</v>
      </c>
    </row>
    <row r="60" spans="1:27" ht="13.8" x14ac:dyDescent="0.3">
      <c r="A60" s="45" t="s">
        <v>411</v>
      </c>
      <c r="B60" s="46" t="s">
        <v>173</v>
      </c>
      <c r="C60" s="46">
        <v>12</v>
      </c>
      <c r="D60" s="46" t="s">
        <v>412</v>
      </c>
      <c r="E60" s="61">
        <f t="shared" si="6"/>
        <v>0.99533285779852521</v>
      </c>
      <c r="F60" s="356"/>
      <c r="Q60" s="93" t="s">
        <v>375</v>
      </c>
      <c r="R60" s="94">
        <v>0.93843994106691131</v>
      </c>
      <c r="S60" s="93" t="s">
        <v>203</v>
      </c>
      <c r="W60" s="37" t="s">
        <v>245</v>
      </c>
      <c r="X60" s="44" t="s">
        <v>142</v>
      </c>
      <c r="Y60" s="44">
        <v>13</v>
      </c>
      <c r="Z60" s="44" t="s">
        <v>246</v>
      </c>
      <c r="AA60" s="69">
        <v>0.68875112521618576</v>
      </c>
    </row>
    <row r="61" spans="1:27" ht="13.8" x14ac:dyDescent="0.3">
      <c r="A61" s="95" t="s">
        <v>303</v>
      </c>
      <c r="B61" s="96" t="s">
        <v>175</v>
      </c>
      <c r="C61" s="96">
        <v>11</v>
      </c>
      <c r="D61" s="96" t="s">
        <v>304</v>
      </c>
      <c r="E61" s="97">
        <f t="shared" si="6"/>
        <v>0.93520619672453054</v>
      </c>
      <c r="F61" s="356"/>
      <c r="Q61" s="93" t="s">
        <v>396</v>
      </c>
      <c r="R61" s="94">
        <v>0.83267459864721705</v>
      </c>
      <c r="S61" s="93" t="s">
        <v>203</v>
      </c>
      <c r="W61" s="37" t="s">
        <v>291</v>
      </c>
      <c r="X61" s="44" t="s">
        <v>140</v>
      </c>
      <c r="Y61" s="44">
        <v>15</v>
      </c>
      <c r="Z61" s="44" t="s">
        <v>292</v>
      </c>
      <c r="AA61" s="69">
        <v>0.66251692368655679</v>
      </c>
    </row>
    <row r="62" spans="1:27" ht="14.4" thickBot="1" x14ac:dyDescent="0.35">
      <c r="A62" s="89" t="s">
        <v>371</v>
      </c>
      <c r="B62" s="90" t="s">
        <v>187</v>
      </c>
      <c r="C62" s="90">
        <v>5</v>
      </c>
      <c r="D62" s="90" t="s">
        <v>457</v>
      </c>
      <c r="E62" s="112">
        <f t="shared" si="6"/>
        <v>0.11951366732775717</v>
      </c>
      <c r="F62" s="356"/>
      <c r="Q62" s="93" t="s">
        <v>390</v>
      </c>
      <c r="R62" s="94">
        <v>0.98872477714287255</v>
      </c>
      <c r="S62" s="93" t="s">
        <v>203</v>
      </c>
      <c r="W62" s="37" t="s">
        <v>275</v>
      </c>
      <c r="X62" s="44" t="s">
        <v>142</v>
      </c>
      <c r="Y62" s="44">
        <v>13</v>
      </c>
      <c r="Z62" s="44" t="s">
        <v>276</v>
      </c>
      <c r="AA62" s="69">
        <v>0.64970550208303401</v>
      </c>
    </row>
    <row r="63" spans="1:27" ht="13.8" x14ac:dyDescent="0.3">
      <c r="A63" s="37" t="s">
        <v>464</v>
      </c>
      <c r="B63" s="44" t="s">
        <v>162</v>
      </c>
      <c r="C63" s="44">
        <v>19</v>
      </c>
      <c r="D63" s="44" t="s">
        <v>461</v>
      </c>
      <c r="E63" s="60">
        <f t="shared" si="6"/>
        <v>0.78418126509511765</v>
      </c>
      <c r="F63" s="356"/>
      <c r="Q63" s="93" t="s">
        <v>459</v>
      </c>
      <c r="R63" s="94">
        <v>0.97036252976978032</v>
      </c>
      <c r="S63" s="93" t="s">
        <v>203</v>
      </c>
      <c r="W63" s="37" t="s">
        <v>361</v>
      </c>
      <c r="X63" s="44" t="s">
        <v>139</v>
      </c>
      <c r="Y63" s="44">
        <v>16</v>
      </c>
      <c r="Z63" s="44" t="s">
        <v>194</v>
      </c>
      <c r="AA63" s="69">
        <v>0.63157463237392464</v>
      </c>
    </row>
    <row r="64" spans="1:27" ht="13.8" x14ac:dyDescent="0.3">
      <c r="A64" s="37" t="s">
        <v>462</v>
      </c>
      <c r="B64" s="44" t="s">
        <v>166</v>
      </c>
      <c r="C64" s="44">
        <v>17</v>
      </c>
      <c r="D64" s="44" t="s">
        <v>453</v>
      </c>
      <c r="E64" s="60">
        <f t="shared" si="6"/>
        <v>0.89001113183270453</v>
      </c>
      <c r="F64" s="356"/>
      <c r="Q64" s="93" t="s">
        <v>296</v>
      </c>
      <c r="R64" s="94">
        <v>0.98538704581358605</v>
      </c>
      <c r="S64" s="93" t="s">
        <v>203</v>
      </c>
      <c r="W64" s="37" t="s">
        <v>465</v>
      </c>
      <c r="X64" s="44" t="s">
        <v>142</v>
      </c>
      <c r="Y64" s="44">
        <v>13</v>
      </c>
      <c r="Z64" s="44" t="s">
        <v>448</v>
      </c>
      <c r="AA64" s="69">
        <v>0.62875460562079877</v>
      </c>
    </row>
    <row r="65" spans="1:27" ht="13.8" x14ac:dyDescent="0.3">
      <c r="A65" s="45" t="s">
        <v>458</v>
      </c>
      <c r="B65" s="46" t="s">
        <v>173</v>
      </c>
      <c r="C65" s="46">
        <v>12</v>
      </c>
      <c r="D65" s="46" t="s">
        <v>459</v>
      </c>
      <c r="E65" s="61">
        <f t="shared" si="6"/>
        <v>0.97036252976978032</v>
      </c>
      <c r="F65" s="356"/>
      <c r="Q65" s="93" t="s">
        <v>346</v>
      </c>
      <c r="R65" s="94">
        <v>0.975461842272901</v>
      </c>
      <c r="S65" s="93" t="s">
        <v>203</v>
      </c>
      <c r="W65" s="37" t="s">
        <v>299</v>
      </c>
      <c r="X65" s="44" t="s">
        <v>142</v>
      </c>
      <c r="Y65" s="44">
        <v>13</v>
      </c>
      <c r="Z65" s="44" t="s">
        <v>300</v>
      </c>
      <c r="AA65" s="69">
        <v>0.62481029959532464</v>
      </c>
    </row>
    <row r="66" spans="1:27" ht="13.8" x14ac:dyDescent="0.3">
      <c r="A66" s="37" t="s">
        <v>424</v>
      </c>
      <c r="B66" s="47" t="s">
        <v>423</v>
      </c>
      <c r="C66" s="47"/>
      <c r="D66" s="44" t="s">
        <v>425</v>
      </c>
      <c r="E66" s="69">
        <f t="shared" si="6"/>
        <v>0.99609846555590886</v>
      </c>
      <c r="F66" s="5"/>
      <c r="Q66" s="93" t="s">
        <v>248</v>
      </c>
      <c r="R66" s="94">
        <v>0.91865112788863534</v>
      </c>
      <c r="S66" s="93" t="s">
        <v>203</v>
      </c>
      <c r="W66" s="37" t="s">
        <v>243</v>
      </c>
      <c r="X66" s="44" t="s">
        <v>140</v>
      </c>
      <c r="Y66" s="44">
        <v>15</v>
      </c>
      <c r="Z66" s="44" t="s">
        <v>244</v>
      </c>
      <c r="AA66" s="69">
        <v>0.61841824770837783</v>
      </c>
    </row>
    <row r="67" spans="1:27" ht="14.4" thickBot="1" x14ac:dyDescent="0.35">
      <c r="A67" s="53" t="s">
        <v>295</v>
      </c>
      <c r="B67" s="54" t="s">
        <v>423</v>
      </c>
      <c r="C67" s="54"/>
      <c r="D67" s="54" t="s">
        <v>296</v>
      </c>
      <c r="E67" s="63">
        <f t="shared" si="6"/>
        <v>0.98538704581358605</v>
      </c>
      <c r="F67" s="5"/>
      <c r="Q67" s="93" t="s">
        <v>355</v>
      </c>
      <c r="R67" s="94">
        <v>1</v>
      </c>
      <c r="S67" s="93" t="s">
        <v>203</v>
      </c>
      <c r="W67" s="37" t="s">
        <v>269</v>
      </c>
      <c r="X67" s="44" t="s">
        <v>141</v>
      </c>
      <c r="Y67" s="44">
        <v>14</v>
      </c>
      <c r="Z67" s="44" t="s">
        <v>270</v>
      </c>
      <c r="AA67" s="69">
        <v>0.58646630934150079</v>
      </c>
    </row>
    <row r="68" spans="1:27" ht="13.8" x14ac:dyDescent="0.3">
      <c r="A68" s="41" t="s">
        <v>311</v>
      </c>
      <c r="B68" s="43" t="s">
        <v>141</v>
      </c>
      <c r="C68" s="42">
        <f>AVERAGE(C7:C62)</f>
        <v>14.232142857142858</v>
      </c>
      <c r="D68" s="42"/>
      <c r="E68" s="42"/>
      <c r="F68" s="5"/>
      <c r="G68" s="122"/>
      <c r="Q68" s="93" t="s">
        <v>252</v>
      </c>
      <c r="R68" s="94">
        <v>0.94700000000000006</v>
      </c>
      <c r="S68" s="93" t="s">
        <v>203</v>
      </c>
      <c r="W68" s="37" t="s">
        <v>273</v>
      </c>
      <c r="X68" s="44" t="s">
        <v>142</v>
      </c>
      <c r="Y68" s="44">
        <v>13</v>
      </c>
      <c r="Z68" s="44" t="s">
        <v>274</v>
      </c>
      <c r="AA68" s="69">
        <v>0.57845507252191697</v>
      </c>
    </row>
    <row r="69" spans="1:27" ht="13.8" x14ac:dyDescent="0.3">
      <c r="A69" s="3"/>
      <c r="B69" s="3"/>
      <c r="F69" s="5"/>
      <c r="Q69" s="93"/>
      <c r="R69" s="94"/>
      <c r="S69" s="93"/>
      <c r="W69" s="37" t="s">
        <v>289</v>
      </c>
      <c r="X69" s="44" t="s">
        <v>141</v>
      </c>
      <c r="Y69" s="44">
        <v>14</v>
      </c>
      <c r="Z69" s="44" t="s">
        <v>290</v>
      </c>
      <c r="AA69" s="69">
        <v>0.5641445718679996</v>
      </c>
    </row>
    <row r="70" spans="1:27" ht="13.8" x14ac:dyDescent="0.3">
      <c r="A70" s="3"/>
      <c r="B70" s="3"/>
      <c r="F70" s="9"/>
      <c r="G70" s="122"/>
      <c r="Q70" s="93"/>
      <c r="R70" s="94"/>
      <c r="S70" s="93"/>
      <c r="W70" s="37" t="s">
        <v>240</v>
      </c>
      <c r="X70" s="44" t="s">
        <v>139</v>
      </c>
      <c r="Y70" s="44">
        <v>16</v>
      </c>
      <c r="Z70" s="44" t="s">
        <v>241</v>
      </c>
      <c r="AA70" s="69">
        <v>0.541533003736272</v>
      </c>
    </row>
    <row r="71" spans="1:27" ht="13.8" x14ac:dyDescent="0.3">
      <c r="A71" s="48" t="s">
        <v>312</v>
      </c>
      <c r="F71" s="9"/>
      <c r="Q71" s="49"/>
      <c r="R71" s="58"/>
      <c r="S71" s="49"/>
      <c r="W71" s="37" t="s">
        <v>279</v>
      </c>
      <c r="X71" s="44" t="s">
        <v>142</v>
      </c>
      <c r="Y71" s="44">
        <v>13</v>
      </c>
      <c r="Z71" s="44" t="s">
        <v>280</v>
      </c>
      <c r="AA71" s="69">
        <v>0.47637430521244206</v>
      </c>
    </row>
    <row r="72" spans="1:27" ht="13.8" x14ac:dyDescent="0.3">
      <c r="A72" s="48" t="s">
        <v>313</v>
      </c>
      <c r="B72" s="86"/>
      <c r="C72" s="86"/>
      <c r="D72" s="86"/>
      <c r="E72" s="86"/>
      <c r="F72" s="9"/>
      <c r="Q72" s="49"/>
      <c r="R72" s="58"/>
      <c r="S72" s="49"/>
      <c r="W72" s="37" t="s">
        <v>271</v>
      </c>
      <c r="X72" s="44" t="s">
        <v>140</v>
      </c>
      <c r="Y72" s="44">
        <v>15</v>
      </c>
      <c r="Z72" s="44" t="s">
        <v>272</v>
      </c>
      <c r="AA72" s="69">
        <v>0.36101059894989318</v>
      </c>
    </row>
    <row r="73" spans="1:27" ht="13.8" x14ac:dyDescent="0.3">
      <c r="A73" s="85" t="s">
        <v>419</v>
      </c>
      <c r="B73" s="86"/>
      <c r="C73" s="86"/>
      <c r="D73" s="86"/>
      <c r="E73" s="86"/>
      <c r="F73" s="87"/>
      <c r="Q73" s="49"/>
      <c r="R73" s="58"/>
      <c r="S73" s="49"/>
      <c r="W73" s="37" t="s">
        <v>463</v>
      </c>
      <c r="X73" s="44" t="s">
        <v>142</v>
      </c>
      <c r="Y73" s="44">
        <v>13</v>
      </c>
      <c r="Z73" s="44" t="s">
        <v>452</v>
      </c>
      <c r="AA73" s="69">
        <v>0.33305692234682915</v>
      </c>
    </row>
    <row r="74" spans="1:27" ht="14.4" thickBot="1" x14ac:dyDescent="0.35">
      <c r="A74" s="85" t="s">
        <v>314</v>
      </c>
      <c r="B74" s="86"/>
      <c r="C74" s="86"/>
      <c r="D74" s="86"/>
      <c r="E74" s="86"/>
      <c r="F74" s="87"/>
      <c r="Q74" s="49"/>
      <c r="R74" s="58"/>
      <c r="S74" s="49"/>
      <c r="W74" s="53" t="s">
        <v>371</v>
      </c>
      <c r="X74" s="57" t="s">
        <v>187</v>
      </c>
      <c r="Y74" s="57">
        <v>5</v>
      </c>
      <c r="Z74" s="57" t="s">
        <v>457</v>
      </c>
      <c r="AA74" s="111">
        <v>0.11951366732775717</v>
      </c>
    </row>
    <row r="75" spans="1:27" ht="13.8" x14ac:dyDescent="0.3">
      <c r="A75" s="85" t="s">
        <v>466</v>
      </c>
      <c r="D75" s="9"/>
      <c r="F75" s="87"/>
      <c r="Q75" s="49"/>
      <c r="R75" s="58"/>
      <c r="S75" s="49"/>
    </row>
    <row r="76" spans="1:27" ht="13.8" x14ac:dyDescent="0.3">
      <c r="A76" s="48" t="s">
        <v>315</v>
      </c>
      <c r="D76" s="9"/>
      <c r="Q76" s="49"/>
      <c r="R76" s="58"/>
      <c r="S76" s="49"/>
    </row>
    <row r="77" spans="1:27" ht="13.8" x14ac:dyDescent="0.3">
      <c r="A77" s="48"/>
      <c r="D77" s="9"/>
      <c r="Q77" s="49"/>
      <c r="R77" s="59"/>
      <c r="S77" s="49"/>
    </row>
    <row r="78" spans="1:27" x14ac:dyDescent="0.25">
      <c r="A78" s="48"/>
    </row>
    <row r="79" spans="1:27" x14ac:dyDescent="0.25">
      <c r="A79" s="2"/>
      <c r="E79" s="74"/>
      <c r="F79" s="9"/>
      <c r="G79" s="86"/>
      <c r="W79" s="86"/>
      <c r="X79" s="86"/>
      <c r="Y79" s="86"/>
      <c r="Z79" s="86"/>
      <c r="AA79" s="88"/>
    </row>
    <row r="80" spans="1:27" s="86" customFormat="1" x14ac:dyDescent="0.25">
      <c r="A80"/>
      <c r="B80"/>
      <c r="C80"/>
      <c r="D80"/>
      <c r="E80" s="74"/>
      <c r="F80"/>
      <c r="Q80"/>
      <c r="R80"/>
      <c r="S80"/>
      <c r="AA80" s="88"/>
    </row>
    <row r="81" spans="1:27" s="86" customFormat="1" x14ac:dyDescent="0.25">
      <c r="AA81" s="88"/>
    </row>
    <row r="82" spans="1:27" s="86" customFormat="1" x14ac:dyDescent="0.25">
      <c r="A82"/>
      <c r="B82"/>
      <c r="C82"/>
      <c r="D82"/>
      <c r="E82"/>
      <c r="F82"/>
      <c r="G82"/>
      <c r="W82"/>
      <c r="X82"/>
      <c r="Y82"/>
      <c r="Z82"/>
      <c r="AA82"/>
    </row>
    <row r="83" spans="1:27" x14ac:dyDescent="0.25">
      <c r="Q83" s="86"/>
      <c r="R83" s="86"/>
      <c r="S83" s="86"/>
      <c r="AA83"/>
    </row>
    <row r="84" spans="1:27" x14ac:dyDescent="0.25">
      <c r="AA84"/>
    </row>
    <row r="88" spans="1:27" x14ac:dyDescent="0.25">
      <c r="E88" s="75"/>
    </row>
  </sheetData>
  <pageMargins left="0.17" right="0.18" top="0.28000000000000003" bottom="0.17" header="0.3" footer="0.3"/>
  <pageSetup scale="76" fitToWidth="0" orientation="portrait" horizontalDpi="1200" verticalDpi="120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002060"/>
    <pageSetUpPr fitToPage="1"/>
  </sheetPr>
  <dimension ref="A1:AH88"/>
  <sheetViews>
    <sheetView zoomScale="80" zoomScaleNormal="80" workbookViewId="0"/>
  </sheetViews>
  <sheetFormatPr defaultColWidth="9.109375" defaultRowHeight="13.2" outlineLevelCol="1" x14ac:dyDescent="0.25"/>
  <cols>
    <col min="1" max="1" width="35.109375" customWidth="1"/>
    <col min="4" max="4" width="9.109375" hidden="1" customWidth="1" outlineLevel="1"/>
    <col min="5" max="5" width="12.5546875" hidden="1" customWidth="1" outlineLevel="1"/>
    <col min="6" max="6" width="9.109375" collapsed="1"/>
    <col min="7" max="7" width="11.5546875" customWidth="1"/>
    <col min="11" max="11" width="11" bestFit="1" customWidth="1"/>
    <col min="12" max="12" width="4.88671875" bestFit="1" customWidth="1"/>
    <col min="17" max="26" width="9.109375" hidden="1" customWidth="1" outlineLevel="1"/>
    <col min="27" max="27" width="12.5546875" style="66" hidden="1" customWidth="1" outlineLevel="1"/>
    <col min="28" max="33" width="9.109375" hidden="1" customWidth="1" outlineLevel="1"/>
    <col min="34" max="34" width="9.109375" collapsed="1"/>
  </cols>
  <sheetData>
    <row r="1" spans="1:33" ht="18" x14ac:dyDescent="0.35">
      <c r="A1" s="40" t="s">
        <v>469</v>
      </c>
    </row>
    <row r="2" spans="1:33" ht="18" x14ac:dyDescent="0.35">
      <c r="A2" s="40"/>
    </row>
    <row r="3" spans="1:33" ht="18" x14ac:dyDescent="0.35">
      <c r="A3" s="40"/>
    </row>
    <row r="4" spans="1:33" ht="18" x14ac:dyDescent="0.35">
      <c r="A4" s="40"/>
    </row>
    <row r="5" spans="1:33" ht="13.8" x14ac:dyDescent="0.3">
      <c r="E5" s="65" t="s">
        <v>434</v>
      </c>
      <c r="AA5" s="65" t="s">
        <v>434</v>
      </c>
      <c r="AF5" s="82" t="s">
        <v>435</v>
      </c>
      <c r="AG5" s="81"/>
    </row>
    <row r="6" spans="1:33" ht="13.8" x14ac:dyDescent="0.3">
      <c r="A6" s="101" t="s">
        <v>212</v>
      </c>
      <c r="B6" s="102" t="s">
        <v>470</v>
      </c>
      <c r="C6" s="103"/>
      <c r="D6" s="103"/>
      <c r="E6" s="104">
        <v>40543</v>
      </c>
      <c r="W6" s="101" t="s">
        <v>212</v>
      </c>
      <c r="X6" s="102" t="s">
        <v>470</v>
      </c>
      <c r="Y6" s="103"/>
      <c r="Z6" s="103"/>
      <c r="AA6" s="104">
        <v>40543</v>
      </c>
      <c r="AC6" s="67" t="s">
        <v>136</v>
      </c>
      <c r="AD6" s="68"/>
      <c r="AE6" s="68"/>
      <c r="AF6" s="42">
        <f>AVERAGE(Y$13:Y$51)</f>
        <v>14.432432432432432</v>
      </c>
      <c r="AG6" s="79"/>
    </row>
    <row r="7" spans="1:33" ht="14.4" thickBot="1" x14ac:dyDescent="0.35">
      <c r="A7" s="45" t="s">
        <v>431</v>
      </c>
      <c r="B7" s="46" t="s">
        <v>164</v>
      </c>
      <c r="C7" s="46">
        <v>18</v>
      </c>
      <c r="D7" s="46" t="s">
        <v>432</v>
      </c>
      <c r="E7" s="61">
        <f t="shared" ref="E7:E14" si="0">VLOOKUP($D7,$Q$7:$R$68,2,0)</f>
        <v>1</v>
      </c>
      <c r="F7" s="356"/>
      <c r="G7" s="57" t="s">
        <v>210</v>
      </c>
      <c r="H7" s="57" t="s">
        <v>134</v>
      </c>
      <c r="I7" s="57" t="s">
        <v>135</v>
      </c>
      <c r="N7" s="122"/>
      <c r="O7" s="122"/>
      <c r="Q7" s="93" t="s">
        <v>226</v>
      </c>
      <c r="R7" s="94">
        <v>0.84669359982989578</v>
      </c>
      <c r="S7" s="93" t="s">
        <v>203</v>
      </c>
      <c r="W7" s="113" t="s">
        <v>437</v>
      </c>
      <c r="X7" s="114" t="s">
        <v>139</v>
      </c>
      <c r="Y7" s="114">
        <v>16</v>
      </c>
      <c r="Z7" s="114" t="s">
        <v>438</v>
      </c>
      <c r="AA7" s="115" t="s">
        <v>423</v>
      </c>
      <c r="AC7" s="57" t="s">
        <v>210</v>
      </c>
      <c r="AD7" s="57" t="s">
        <v>134</v>
      </c>
      <c r="AE7" s="57" t="s">
        <v>135</v>
      </c>
      <c r="AG7" s="80"/>
    </row>
    <row r="8" spans="1:33" ht="13.8" x14ac:dyDescent="0.3">
      <c r="A8" s="37" t="s">
        <v>293</v>
      </c>
      <c r="B8" s="44" t="s">
        <v>166</v>
      </c>
      <c r="C8" s="44">
        <v>17</v>
      </c>
      <c r="D8" s="44" t="s">
        <v>294</v>
      </c>
      <c r="E8" s="60">
        <f t="shared" si="0"/>
        <v>0.92936836749527552</v>
      </c>
      <c r="F8" s="356"/>
      <c r="G8" s="37" t="s">
        <v>137</v>
      </c>
      <c r="H8" s="49">
        <f>COUNTIF(C$7:C$67,"&gt;16")</f>
        <v>4</v>
      </c>
      <c r="I8" s="50">
        <f>H8/H$14</f>
        <v>6.7796610169491525E-2</v>
      </c>
      <c r="K8" s="122"/>
      <c r="M8" s="122"/>
      <c r="N8" s="122"/>
      <c r="O8" s="122"/>
      <c r="Q8" s="93" t="s">
        <v>223</v>
      </c>
      <c r="R8" s="94">
        <v>0.96680210088197405</v>
      </c>
      <c r="S8" s="93" t="s">
        <v>203</v>
      </c>
      <c r="W8" s="37" t="s">
        <v>439</v>
      </c>
      <c r="X8" s="44" t="s">
        <v>139</v>
      </c>
      <c r="Y8" s="44">
        <v>16</v>
      </c>
      <c r="Z8" s="44" t="s">
        <v>440</v>
      </c>
      <c r="AA8" s="69" t="s">
        <v>423</v>
      </c>
      <c r="AC8" s="37" t="s">
        <v>137</v>
      </c>
      <c r="AD8" s="49">
        <f>COUNTIF(Y$13:Y$51,"&gt;16")</f>
        <v>3</v>
      </c>
      <c r="AE8" s="50">
        <f>AD8/AD$14</f>
        <v>8.1081081081081086E-2</v>
      </c>
      <c r="AG8" s="80"/>
    </row>
    <row r="9" spans="1:33" ht="13.8" x14ac:dyDescent="0.3">
      <c r="A9" s="45" t="s">
        <v>227</v>
      </c>
      <c r="B9" s="46" t="s">
        <v>139</v>
      </c>
      <c r="C9" s="46">
        <v>16</v>
      </c>
      <c r="D9" s="46" t="s">
        <v>228</v>
      </c>
      <c r="E9" s="61">
        <f t="shared" si="0"/>
        <v>0.89318320146074259</v>
      </c>
      <c r="F9" s="356"/>
      <c r="G9" s="37" t="s">
        <v>139</v>
      </c>
      <c r="H9" s="49">
        <f>COUNTIF(C$7:C$67,"=16")</f>
        <v>9</v>
      </c>
      <c r="I9" s="50">
        <f t="shared" ref="I9:I14" si="1">H9/H$14</f>
        <v>0.15254237288135594</v>
      </c>
      <c r="K9" s="122"/>
      <c r="M9" s="122"/>
      <c r="N9" s="122"/>
      <c r="O9" s="122"/>
      <c r="Q9" s="93" t="s">
        <v>441</v>
      </c>
      <c r="R9" s="94">
        <v>1</v>
      </c>
      <c r="S9" s="93" t="s">
        <v>203</v>
      </c>
      <c r="W9" s="37" t="s">
        <v>442</v>
      </c>
      <c r="X9" s="44" t="s">
        <v>140</v>
      </c>
      <c r="Y9" s="44">
        <v>15</v>
      </c>
      <c r="Z9" s="44" t="s">
        <v>443</v>
      </c>
      <c r="AA9" s="69" t="s">
        <v>423</v>
      </c>
      <c r="AC9" s="37" t="s">
        <v>139</v>
      </c>
      <c r="AD9" s="49">
        <f>COUNTIF(Y$13:Y$51,"=16")</f>
        <v>6</v>
      </c>
      <c r="AE9" s="50">
        <f t="shared" ref="AE9:AE14" si="2">AD9/AD$14</f>
        <v>0.16216216216216217</v>
      </c>
      <c r="AG9" s="80"/>
    </row>
    <row r="10" spans="1:33" ht="13.8" x14ac:dyDescent="0.3">
      <c r="A10" s="45" t="s">
        <v>361</v>
      </c>
      <c r="B10" s="46" t="s">
        <v>139</v>
      </c>
      <c r="C10" s="46">
        <v>16</v>
      </c>
      <c r="D10" s="46" t="s">
        <v>194</v>
      </c>
      <c r="E10" s="61">
        <f t="shared" si="0"/>
        <v>0.63157463237392464</v>
      </c>
      <c r="F10" s="356"/>
      <c r="G10" s="37" t="s">
        <v>140</v>
      </c>
      <c r="H10" s="49">
        <f>COUNTIF(C$7:C$67,"=15")</f>
        <v>15</v>
      </c>
      <c r="I10" s="50">
        <f t="shared" si="1"/>
        <v>0.25423728813559321</v>
      </c>
      <c r="K10" s="122"/>
      <c r="M10" s="122"/>
      <c r="N10" s="122"/>
      <c r="O10" s="122"/>
      <c r="Q10" s="93" t="s">
        <v>218</v>
      </c>
      <c r="R10" s="94">
        <v>0.91042888352305396</v>
      </c>
      <c r="S10" s="93" t="s">
        <v>203</v>
      </c>
      <c r="W10" s="37" t="s">
        <v>444</v>
      </c>
      <c r="X10" s="44" t="s">
        <v>140</v>
      </c>
      <c r="Y10" s="44">
        <v>15</v>
      </c>
      <c r="Z10" s="44" t="s">
        <v>445</v>
      </c>
      <c r="AA10" s="69" t="s">
        <v>423</v>
      </c>
      <c r="AC10" s="37" t="s">
        <v>140</v>
      </c>
      <c r="AD10" s="49">
        <f>COUNTIF(Y$13:Y$51,"=15")</f>
        <v>8</v>
      </c>
      <c r="AE10" s="50">
        <f t="shared" si="2"/>
        <v>0.21621621621621623</v>
      </c>
      <c r="AG10" s="80"/>
    </row>
    <row r="11" spans="1:33" ht="13.8" x14ac:dyDescent="0.3">
      <c r="A11" s="45" t="s">
        <v>259</v>
      </c>
      <c r="B11" s="46" t="s">
        <v>139</v>
      </c>
      <c r="C11" s="46">
        <v>16</v>
      </c>
      <c r="D11" s="46" t="s">
        <v>454</v>
      </c>
      <c r="E11" s="61">
        <f t="shared" si="0"/>
        <v>1</v>
      </c>
      <c r="F11" s="356"/>
      <c r="G11" s="37" t="s">
        <v>141</v>
      </c>
      <c r="H11" s="49">
        <f>COUNTIF(C$7:C$67,"=14")</f>
        <v>15</v>
      </c>
      <c r="I11" s="50">
        <f t="shared" si="1"/>
        <v>0.25423728813559321</v>
      </c>
      <c r="K11" s="122"/>
      <c r="M11" s="122"/>
      <c r="N11" s="122"/>
      <c r="O11" s="122"/>
      <c r="Q11" s="93" t="s">
        <v>239</v>
      </c>
      <c r="R11" s="94">
        <v>0.91095138568993894</v>
      </c>
      <c r="S11" s="93" t="s">
        <v>203</v>
      </c>
      <c r="W11" s="37" t="s">
        <v>446</v>
      </c>
      <c r="X11" s="44" t="s">
        <v>141</v>
      </c>
      <c r="Y11" s="44">
        <v>14</v>
      </c>
      <c r="Z11" s="44" t="s">
        <v>447</v>
      </c>
      <c r="AA11" s="69" t="s">
        <v>423</v>
      </c>
      <c r="AC11" s="37" t="s">
        <v>141</v>
      </c>
      <c r="AD11" s="49">
        <f>COUNTIF(Y$13:Y$51,"=14")</f>
        <v>12</v>
      </c>
      <c r="AE11" s="50">
        <f t="shared" si="2"/>
        <v>0.32432432432432434</v>
      </c>
      <c r="AG11" s="80"/>
    </row>
    <row r="12" spans="1:33" ht="13.8" x14ac:dyDescent="0.3">
      <c r="A12" s="45" t="s">
        <v>263</v>
      </c>
      <c r="B12" s="46" t="s">
        <v>139</v>
      </c>
      <c r="C12" s="46">
        <v>16</v>
      </c>
      <c r="D12" s="46" t="s">
        <v>264</v>
      </c>
      <c r="E12" s="61">
        <f t="shared" si="0"/>
        <v>0.76510407852428497</v>
      </c>
      <c r="F12" s="356"/>
      <c r="G12" s="37" t="s">
        <v>142</v>
      </c>
      <c r="H12" s="49">
        <f>COUNTIF(C$7:C$67,"=13")</f>
        <v>11</v>
      </c>
      <c r="I12" s="50">
        <f t="shared" si="1"/>
        <v>0.1864406779661017</v>
      </c>
      <c r="Q12" s="93" t="s">
        <v>448</v>
      </c>
      <c r="R12" s="94">
        <v>0.62875460562079877</v>
      </c>
      <c r="S12" s="93" t="s">
        <v>204</v>
      </c>
      <c r="W12" s="37" t="s">
        <v>449</v>
      </c>
      <c r="X12" s="44" t="s">
        <v>142</v>
      </c>
      <c r="Y12" s="44">
        <v>13</v>
      </c>
      <c r="Z12" s="44" t="s">
        <v>450</v>
      </c>
      <c r="AA12" s="69" t="s">
        <v>423</v>
      </c>
      <c r="AC12" s="37" t="s">
        <v>142</v>
      </c>
      <c r="AD12" s="49">
        <f>COUNTIF(Y$13:Y$51,"=13")</f>
        <v>4</v>
      </c>
      <c r="AE12" s="50">
        <f t="shared" si="2"/>
        <v>0.10810810810810811</v>
      </c>
      <c r="AG12" s="80"/>
    </row>
    <row r="13" spans="1:33" ht="14.4" thickBot="1" x14ac:dyDescent="0.35">
      <c r="A13" s="45" t="s">
        <v>460</v>
      </c>
      <c r="B13" s="46" t="s">
        <v>139</v>
      </c>
      <c r="C13" s="46">
        <v>16</v>
      </c>
      <c r="D13" s="46" t="s">
        <v>455</v>
      </c>
      <c r="E13" s="61">
        <f t="shared" si="0"/>
        <v>0.96341849943457658</v>
      </c>
      <c r="F13" s="356"/>
      <c r="G13" s="53" t="s">
        <v>143</v>
      </c>
      <c r="H13" s="55">
        <f>COUNTIF(C$7:C$67,"&lt;13")</f>
        <v>5</v>
      </c>
      <c r="I13" s="56">
        <f t="shared" si="1"/>
        <v>8.4745762711864403E-2</v>
      </c>
      <c r="Q13" s="93" t="s">
        <v>246</v>
      </c>
      <c r="R13" s="94">
        <v>0.68875112521618576</v>
      </c>
      <c r="S13" s="93" t="s">
        <v>204</v>
      </c>
      <c r="W13" s="37" t="s">
        <v>352</v>
      </c>
      <c r="X13" s="44" t="s">
        <v>141</v>
      </c>
      <c r="Y13" s="44">
        <v>14</v>
      </c>
      <c r="Z13" s="44" t="s">
        <v>353</v>
      </c>
      <c r="AA13" s="69">
        <v>1.0379329114785329</v>
      </c>
      <c r="AC13" s="53" t="s">
        <v>143</v>
      </c>
      <c r="AD13" s="55">
        <f>COUNTIF(Y$13:Y$51,"&lt;13")</f>
        <v>4</v>
      </c>
      <c r="AE13" s="56">
        <f t="shared" si="2"/>
        <v>0.10810810810810811</v>
      </c>
      <c r="AG13" s="80"/>
    </row>
    <row r="14" spans="1:33" ht="13.8" x14ac:dyDescent="0.3">
      <c r="A14" s="45" t="s">
        <v>240</v>
      </c>
      <c r="B14" s="46" t="s">
        <v>139</v>
      </c>
      <c r="C14" s="46">
        <v>16</v>
      </c>
      <c r="D14" s="46" t="s">
        <v>241</v>
      </c>
      <c r="E14" s="61">
        <f t="shared" si="0"/>
        <v>0.541533003736272</v>
      </c>
      <c r="F14" s="356"/>
      <c r="G14" s="41" t="s">
        <v>144</v>
      </c>
      <c r="H14" s="51">
        <f>SUM(H8:H13)</f>
        <v>59</v>
      </c>
      <c r="I14" s="52">
        <f t="shared" si="1"/>
        <v>1</v>
      </c>
      <c r="Q14" s="93" t="s">
        <v>451</v>
      </c>
      <c r="R14" s="94">
        <v>0.76017780502759058</v>
      </c>
      <c r="S14" s="93" t="s">
        <v>204</v>
      </c>
      <c r="W14" s="37" t="s">
        <v>367</v>
      </c>
      <c r="X14" s="44" t="s">
        <v>142</v>
      </c>
      <c r="Y14" s="44">
        <v>13</v>
      </c>
      <c r="Z14" s="44" t="s">
        <v>368</v>
      </c>
      <c r="AA14" s="69">
        <v>1.0292149475019923</v>
      </c>
      <c r="AC14" s="41" t="s">
        <v>144</v>
      </c>
      <c r="AD14" s="51">
        <f>SUM(AD8:AD13)</f>
        <v>37</v>
      </c>
      <c r="AE14" s="52">
        <f t="shared" si="2"/>
        <v>1</v>
      </c>
      <c r="AG14" s="80"/>
    </row>
    <row r="15" spans="1:33" ht="13.8" x14ac:dyDescent="0.3">
      <c r="A15" s="45" t="s">
        <v>345</v>
      </c>
      <c r="B15" s="46" t="s">
        <v>139</v>
      </c>
      <c r="C15" s="46">
        <v>16</v>
      </c>
      <c r="D15" s="46" t="s">
        <v>346</v>
      </c>
      <c r="E15" s="61">
        <f t="shared" ref="E15:E46" si="3">VLOOKUP($D15,$Q$7:$R$68,2,0)</f>
        <v>0.975461842272901</v>
      </c>
      <c r="F15" s="356"/>
      <c r="K15" s="5"/>
      <c r="Q15" s="93" t="s">
        <v>452</v>
      </c>
      <c r="R15" s="94">
        <v>0.33305692234682915</v>
      </c>
      <c r="S15" s="93" t="s">
        <v>194</v>
      </c>
      <c r="W15" s="37" t="s">
        <v>431</v>
      </c>
      <c r="X15" s="44" t="s">
        <v>164</v>
      </c>
      <c r="Y15" s="44">
        <v>18</v>
      </c>
      <c r="Z15" s="44" t="s">
        <v>432</v>
      </c>
      <c r="AA15" s="69">
        <v>1</v>
      </c>
      <c r="AG15" s="80"/>
    </row>
    <row r="16" spans="1:33" ht="13.8" x14ac:dyDescent="0.3">
      <c r="A16" s="95" t="s">
        <v>247</v>
      </c>
      <c r="B16" s="96" t="s">
        <v>139</v>
      </c>
      <c r="C16" s="96">
        <v>16</v>
      </c>
      <c r="D16" s="96" t="s">
        <v>248</v>
      </c>
      <c r="E16" s="97">
        <f t="shared" si="3"/>
        <v>0.91865112788863534</v>
      </c>
      <c r="F16" s="356"/>
      <c r="K16" s="5"/>
      <c r="Q16" s="93" t="s">
        <v>453</v>
      </c>
      <c r="R16" s="94">
        <v>0.89001113183270453</v>
      </c>
      <c r="S16" s="93" t="s">
        <v>203</v>
      </c>
      <c r="W16" s="37" t="s">
        <v>259</v>
      </c>
      <c r="X16" s="44" t="s">
        <v>139</v>
      </c>
      <c r="Y16" s="44">
        <v>16</v>
      </c>
      <c r="Z16" s="44" t="s">
        <v>454</v>
      </c>
      <c r="AA16" s="69">
        <v>1</v>
      </c>
      <c r="AG16" s="80"/>
    </row>
    <row r="17" spans="1:33" ht="13.8" x14ac:dyDescent="0.3">
      <c r="A17" s="45" t="s">
        <v>251</v>
      </c>
      <c r="B17" s="46" t="s">
        <v>139</v>
      </c>
      <c r="C17" s="46">
        <v>16</v>
      </c>
      <c r="D17" s="46" t="s">
        <v>252</v>
      </c>
      <c r="E17" s="61">
        <f t="shared" si="3"/>
        <v>0.94700000000000006</v>
      </c>
      <c r="F17" s="356"/>
      <c r="K17" s="5"/>
      <c r="Q17" s="93" t="s">
        <v>257</v>
      </c>
      <c r="R17" s="94">
        <v>0.89235399590163933</v>
      </c>
      <c r="S17" s="93" t="s">
        <v>203</v>
      </c>
      <c r="W17" s="37" t="s">
        <v>328</v>
      </c>
      <c r="X17" s="44" t="s">
        <v>141</v>
      </c>
      <c r="Y17" s="44">
        <v>14</v>
      </c>
      <c r="Z17" s="44" t="s">
        <v>331</v>
      </c>
      <c r="AA17" s="69">
        <v>1</v>
      </c>
      <c r="AC17" s="67" t="s">
        <v>145</v>
      </c>
      <c r="AD17" s="68"/>
      <c r="AE17" s="68"/>
      <c r="AF17" s="42">
        <f>AVERAGE(Y$52:Y$70)</f>
        <v>14.578947368421053</v>
      </c>
      <c r="AG17" s="79"/>
    </row>
    <row r="18" spans="1:33" ht="14.4" thickBot="1" x14ac:dyDescent="0.35">
      <c r="A18" s="37" t="s">
        <v>217</v>
      </c>
      <c r="B18" s="44" t="s">
        <v>140</v>
      </c>
      <c r="C18" s="44">
        <v>15</v>
      </c>
      <c r="D18" s="44" t="s">
        <v>218</v>
      </c>
      <c r="E18" s="60">
        <f t="shared" si="3"/>
        <v>0.91042888352305396</v>
      </c>
      <c r="F18" s="356"/>
      <c r="K18" s="5"/>
      <c r="Q18" s="93" t="s">
        <v>378</v>
      </c>
      <c r="R18" s="94">
        <v>0.91199977892108686</v>
      </c>
      <c r="S18" s="93" t="s">
        <v>203</v>
      </c>
      <c r="W18" s="37" t="s">
        <v>285</v>
      </c>
      <c r="X18" s="44" t="s">
        <v>141</v>
      </c>
      <c r="Y18" s="44">
        <v>14</v>
      </c>
      <c r="Z18" s="44" t="s">
        <v>286</v>
      </c>
      <c r="AA18" s="69">
        <v>1</v>
      </c>
      <c r="AC18" s="57" t="s">
        <v>210</v>
      </c>
      <c r="AD18" s="57" t="s">
        <v>134</v>
      </c>
      <c r="AE18" s="57" t="s">
        <v>135</v>
      </c>
      <c r="AG18" s="80"/>
    </row>
    <row r="19" spans="1:33" ht="13.8" x14ac:dyDescent="0.3">
      <c r="A19" s="37" t="s">
        <v>219</v>
      </c>
      <c r="B19" s="44" t="s">
        <v>140</v>
      </c>
      <c r="C19" s="44">
        <v>15</v>
      </c>
      <c r="D19" s="44" t="s">
        <v>220</v>
      </c>
      <c r="E19" s="60">
        <f t="shared" si="3"/>
        <v>0.86662573118314323</v>
      </c>
      <c r="F19" s="356"/>
      <c r="K19" s="5"/>
      <c r="Q19" s="93" t="s">
        <v>250</v>
      </c>
      <c r="R19" s="94">
        <v>0.71562826313957539</v>
      </c>
      <c r="S19" s="93" t="s">
        <v>204</v>
      </c>
      <c r="W19" s="37" t="s">
        <v>354</v>
      </c>
      <c r="X19" s="44" t="s">
        <v>141</v>
      </c>
      <c r="Y19" s="44">
        <v>14</v>
      </c>
      <c r="Z19" s="44" t="s">
        <v>355</v>
      </c>
      <c r="AA19" s="69">
        <v>1</v>
      </c>
      <c r="AC19" s="37" t="s">
        <v>137</v>
      </c>
      <c r="AD19" s="49">
        <f>COUNTIF(Y$52:Y$70,"&gt;16")</f>
        <v>1</v>
      </c>
      <c r="AE19" s="50">
        <f>AD19/AD$25</f>
        <v>5.2631578947368418E-2</v>
      </c>
      <c r="AG19" s="80"/>
    </row>
    <row r="20" spans="1:33" ht="13.8" x14ac:dyDescent="0.3">
      <c r="A20" s="37" t="s">
        <v>261</v>
      </c>
      <c r="B20" s="44" t="s">
        <v>140</v>
      </c>
      <c r="C20" s="44">
        <v>15</v>
      </c>
      <c r="D20" s="44" t="s">
        <v>262</v>
      </c>
      <c r="E20" s="69">
        <f t="shared" si="3"/>
        <v>0.81254016709511567</v>
      </c>
      <c r="F20" s="356"/>
      <c r="K20" s="5"/>
      <c r="Q20" s="93" t="s">
        <v>425</v>
      </c>
      <c r="R20" s="94">
        <v>0.99609846555590886</v>
      </c>
      <c r="S20" s="93" t="s">
        <v>203</v>
      </c>
      <c r="W20" s="37" t="s">
        <v>287</v>
      </c>
      <c r="X20" s="44" t="s">
        <v>142</v>
      </c>
      <c r="Y20" s="44">
        <v>13</v>
      </c>
      <c r="Z20" s="44" t="s">
        <v>441</v>
      </c>
      <c r="AA20" s="69">
        <v>1</v>
      </c>
      <c r="AC20" s="37" t="s">
        <v>139</v>
      </c>
      <c r="AD20" s="49">
        <f>COUNTIF(Y$52:Y$70,"=16")</f>
        <v>3</v>
      </c>
      <c r="AE20" s="50">
        <f t="shared" ref="AE20:AE25" si="4">AD20/AD$25</f>
        <v>0.15789473684210525</v>
      </c>
      <c r="AG20" s="80"/>
    </row>
    <row r="21" spans="1:33" ht="13.8" x14ac:dyDescent="0.3">
      <c r="A21" s="37" t="s">
        <v>395</v>
      </c>
      <c r="B21" s="44" t="s">
        <v>140</v>
      </c>
      <c r="C21" s="44">
        <v>15</v>
      </c>
      <c r="D21" s="44" t="s">
        <v>396</v>
      </c>
      <c r="E21" s="60">
        <f t="shared" si="3"/>
        <v>0.83267459864721705</v>
      </c>
      <c r="F21" s="356"/>
      <c r="Q21" s="93" t="s">
        <v>194</v>
      </c>
      <c r="R21" s="94">
        <v>0.63157463237392464</v>
      </c>
      <c r="S21" s="93" t="s">
        <v>204</v>
      </c>
      <c r="W21" s="37" t="s">
        <v>301</v>
      </c>
      <c r="X21" s="44" t="s">
        <v>140</v>
      </c>
      <c r="Y21" s="44">
        <v>15</v>
      </c>
      <c r="Z21" s="44" t="s">
        <v>302</v>
      </c>
      <c r="AA21" s="69">
        <v>0.99967409016838671</v>
      </c>
      <c r="AC21" s="37" t="s">
        <v>140</v>
      </c>
      <c r="AD21" s="49">
        <f>COUNTIF(Y$52:Y$70,"=15")</f>
        <v>6</v>
      </c>
      <c r="AE21" s="50">
        <f t="shared" si="4"/>
        <v>0.31578947368421051</v>
      </c>
      <c r="AG21" s="80"/>
    </row>
    <row r="22" spans="1:33" ht="13.8" x14ac:dyDescent="0.3">
      <c r="A22" s="37" t="s">
        <v>271</v>
      </c>
      <c r="B22" s="44" t="s">
        <v>140</v>
      </c>
      <c r="C22" s="44">
        <v>15</v>
      </c>
      <c r="D22" s="44" t="s">
        <v>272</v>
      </c>
      <c r="E22" s="60">
        <f t="shared" si="3"/>
        <v>0.36101059894989318</v>
      </c>
      <c r="F22" s="356"/>
      <c r="Q22" s="93" t="s">
        <v>454</v>
      </c>
      <c r="R22" s="94">
        <v>1</v>
      </c>
      <c r="S22" s="93" t="s">
        <v>203</v>
      </c>
      <c r="W22" s="37" t="s">
        <v>424</v>
      </c>
      <c r="X22" s="47" t="s">
        <v>423</v>
      </c>
      <c r="Y22" s="47"/>
      <c r="Z22" s="44" t="s">
        <v>425</v>
      </c>
      <c r="AA22" s="69">
        <v>0.99609846555590886</v>
      </c>
      <c r="AC22" s="37" t="s">
        <v>141</v>
      </c>
      <c r="AD22" s="49">
        <f>COUNTIF(Y$52:Y$70,"=14")</f>
        <v>3</v>
      </c>
      <c r="AE22" s="50">
        <f t="shared" si="4"/>
        <v>0.15789473684210525</v>
      </c>
      <c r="AG22" s="80"/>
    </row>
    <row r="23" spans="1:33" ht="13.8" x14ac:dyDescent="0.3">
      <c r="A23" s="37" t="s">
        <v>408</v>
      </c>
      <c r="B23" s="44" t="s">
        <v>140</v>
      </c>
      <c r="C23" s="44">
        <v>15</v>
      </c>
      <c r="D23" s="44" t="s">
        <v>451</v>
      </c>
      <c r="E23" s="60">
        <f t="shared" si="3"/>
        <v>0.76017780502759058</v>
      </c>
      <c r="F23" s="356"/>
      <c r="Q23" s="93" t="s">
        <v>262</v>
      </c>
      <c r="R23" s="94">
        <v>0.81254016709511567</v>
      </c>
      <c r="S23" s="93" t="s">
        <v>203</v>
      </c>
      <c r="W23" s="37" t="s">
        <v>297</v>
      </c>
      <c r="X23" s="44" t="s">
        <v>141</v>
      </c>
      <c r="Y23" s="44">
        <v>14</v>
      </c>
      <c r="Z23" s="44" t="s">
        <v>298</v>
      </c>
      <c r="AA23" s="69">
        <v>0.99569209153466032</v>
      </c>
      <c r="AC23" s="37" t="s">
        <v>142</v>
      </c>
      <c r="AD23" s="49">
        <f>COUNTIF(Y$52:Y$70,"=13")</f>
        <v>6</v>
      </c>
      <c r="AE23" s="50">
        <f t="shared" si="4"/>
        <v>0.31578947368421051</v>
      </c>
      <c r="AG23" s="80"/>
    </row>
    <row r="24" spans="1:33" ht="14.4" thickBot="1" x14ac:dyDescent="0.35">
      <c r="A24" s="95" t="s">
        <v>394</v>
      </c>
      <c r="B24" s="96" t="s">
        <v>140</v>
      </c>
      <c r="C24" s="96">
        <v>15</v>
      </c>
      <c r="D24" s="96" t="s">
        <v>236</v>
      </c>
      <c r="E24" s="97">
        <f t="shared" si="3"/>
        <v>0.95294725244456668</v>
      </c>
      <c r="F24" s="356"/>
      <c r="Q24" s="93" t="s">
        <v>264</v>
      </c>
      <c r="R24" s="94">
        <v>0.76510407852428497</v>
      </c>
      <c r="S24" s="93" t="s">
        <v>204</v>
      </c>
      <c r="W24" s="37" t="s">
        <v>411</v>
      </c>
      <c r="X24" s="44" t="s">
        <v>173</v>
      </c>
      <c r="Y24" s="44">
        <v>12</v>
      </c>
      <c r="Z24" s="44" t="s">
        <v>412</v>
      </c>
      <c r="AA24" s="69">
        <v>0.99533285779852521</v>
      </c>
      <c r="AC24" s="53" t="s">
        <v>143</v>
      </c>
      <c r="AD24" s="55">
        <f>COUNTIF(Y$52:Y$70,"&lt;13")</f>
        <v>0</v>
      </c>
      <c r="AE24" s="56">
        <f t="shared" si="4"/>
        <v>0</v>
      </c>
      <c r="AG24" s="80"/>
    </row>
    <row r="25" spans="1:33" ht="13.8" x14ac:dyDescent="0.3">
      <c r="A25" s="37" t="s">
        <v>277</v>
      </c>
      <c r="B25" s="44" t="s">
        <v>140</v>
      </c>
      <c r="C25" s="44">
        <v>15</v>
      </c>
      <c r="D25" s="44" t="s">
        <v>278</v>
      </c>
      <c r="E25" s="60">
        <f t="shared" si="3"/>
        <v>0.76907329412838532</v>
      </c>
      <c r="F25" s="356"/>
      <c r="Q25" s="93" t="s">
        <v>455</v>
      </c>
      <c r="R25" s="94">
        <v>0.96341849943457658</v>
      </c>
      <c r="S25" s="93" t="s">
        <v>203</v>
      </c>
      <c r="W25" s="37" t="s">
        <v>305</v>
      </c>
      <c r="X25" s="44" t="s">
        <v>173</v>
      </c>
      <c r="Y25" s="44">
        <v>12</v>
      </c>
      <c r="Z25" s="44" t="s">
        <v>456</v>
      </c>
      <c r="AA25" s="69">
        <v>0.99461817608484948</v>
      </c>
      <c r="AC25" s="41" t="s">
        <v>144</v>
      </c>
      <c r="AD25" s="51">
        <f>SUM(AD19:AD24)</f>
        <v>19</v>
      </c>
      <c r="AE25" s="52">
        <f t="shared" si="4"/>
        <v>1</v>
      </c>
      <c r="AG25" s="80"/>
    </row>
    <row r="26" spans="1:33" ht="13.8" x14ac:dyDescent="0.3">
      <c r="A26" s="37" t="s">
        <v>382</v>
      </c>
      <c r="B26" s="44" t="s">
        <v>140</v>
      </c>
      <c r="C26" s="44">
        <v>15</v>
      </c>
      <c r="D26" s="44" t="s">
        <v>383</v>
      </c>
      <c r="E26" s="69">
        <f t="shared" si="3"/>
        <v>0.73349447513812149</v>
      </c>
      <c r="F26" s="356"/>
      <c r="Q26" s="93" t="s">
        <v>228</v>
      </c>
      <c r="R26" s="94">
        <v>0.89318320146074259</v>
      </c>
      <c r="S26" s="93" t="s">
        <v>203</v>
      </c>
      <c r="W26" s="37" t="s">
        <v>281</v>
      </c>
      <c r="X26" s="44" t="s">
        <v>141</v>
      </c>
      <c r="Y26" s="44">
        <v>14</v>
      </c>
      <c r="Z26" s="44" t="s">
        <v>282</v>
      </c>
      <c r="AA26" s="69">
        <v>0.99126425624848336</v>
      </c>
      <c r="AG26" s="80"/>
    </row>
    <row r="27" spans="1:33" ht="13.8" x14ac:dyDescent="0.3">
      <c r="A27" s="37" t="s">
        <v>301</v>
      </c>
      <c r="B27" s="44" t="s">
        <v>140</v>
      </c>
      <c r="C27" s="44">
        <v>15</v>
      </c>
      <c r="D27" s="44" t="s">
        <v>302</v>
      </c>
      <c r="E27" s="60">
        <f t="shared" si="3"/>
        <v>0.99967409016838671</v>
      </c>
      <c r="F27" s="356"/>
      <c r="Q27" s="93" t="s">
        <v>368</v>
      </c>
      <c r="R27" s="94">
        <v>1.0292149475019923</v>
      </c>
      <c r="S27" s="93" t="s">
        <v>203</v>
      </c>
      <c r="W27" s="37" t="s">
        <v>389</v>
      </c>
      <c r="X27" s="44" t="s">
        <v>141</v>
      </c>
      <c r="Y27" s="44">
        <v>14</v>
      </c>
      <c r="Z27" s="44" t="s">
        <v>390</v>
      </c>
      <c r="AA27" s="69">
        <v>0.98872477714287255</v>
      </c>
      <c r="AG27" s="80"/>
    </row>
    <row r="28" spans="1:33" ht="13.8" x14ac:dyDescent="0.3">
      <c r="A28" s="37" t="s">
        <v>243</v>
      </c>
      <c r="B28" s="44" t="s">
        <v>140</v>
      </c>
      <c r="C28" s="44">
        <v>15</v>
      </c>
      <c r="D28" s="44" t="s">
        <v>244</v>
      </c>
      <c r="E28" s="69">
        <f t="shared" si="3"/>
        <v>0.61841824770837783</v>
      </c>
      <c r="F28" s="356"/>
      <c r="Q28" s="93" t="s">
        <v>331</v>
      </c>
      <c r="R28" s="94">
        <v>1</v>
      </c>
      <c r="S28" s="93" t="s">
        <v>203</v>
      </c>
      <c r="W28" s="37" t="s">
        <v>295</v>
      </c>
      <c r="X28" s="47" t="s">
        <v>423</v>
      </c>
      <c r="Y28" s="47"/>
      <c r="Z28" s="47" t="s">
        <v>296</v>
      </c>
      <c r="AA28" s="62">
        <v>0.98538704581358605</v>
      </c>
      <c r="AC28" s="67" t="s">
        <v>147</v>
      </c>
      <c r="AD28" s="68"/>
      <c r="AE28" s="68"/>
      <c r="AF28" s="42">
        <f>AVERAGE(Y$71:Y$74)</f>
        <v>11.5</v>
      </c>
      <c r="AG28" s="79"/>
    </row>
    <row r="29" spans="1:33" ht="14.4" thickBot="1" x14ac:dyDescent="0.35">
      <c r="A29" s="37" t="s">
        <v>427</v>
      </c>
      <c r="B29" s="44" t="s">
        <v>140</v>
      </c>
      <c r="C29" s="44">
        <v>15</v>
      </c>
      <c r="D29" s="44" t="s">
        <v>428</v>
      </c>
      <c r="E29" s="60">
        <f t="shared" si="3"/>
        <v>0.85816623707026407</v>
      </c>
      <c r="F29" s="356"/>
      <c r="Q29" s="93" t="s">
        <v>457</v>
      </c>
      <c r="R29" s="94">
        <v>0.11951366732775717</v>
      </c>
      <c r="S29" s="93" t="s">
        <v>194</v>
      </c>
      <c r="W29" s="37" t="s">
        <v>283</v>
      </c>
      <c r="X29" s="44" t="s">
        <v>141</v>
      </c>
      <c r="Y29" s="44">
        <v>14</v>
      </c>
      <c r="Z29" s="44" t="s">
        <v>284</v>
      </c>
      <c r="AA29" s="69">
        <v>0.97697589100213744</v>
      </c>
      <c r="AC29" s="57" t="s">
        <v>210</v>
      </c>
      <c r="AD29" s="57" t="s">
        <v>134</v>
      </c>
      <c r="AE29" s="57" t="s">
        <v>135</v>
      </c>
    </row>
    <row r="30" spans="1:33" ht="13.8" x14ac:dyDescent="0.3">
      <c r="A30" s="37" t="s">
        <v>347</v>
      </c>
      <c r="B30" s="44" t="s">
        <v>140</v>
      </c>
      <c r="C30" s="44">
        <v>15</v>
      </c>
      <c r="D30" s="44" t="s">
        <v>348</v>
      </c>
      <c r="E30" s="60">
        <f t="shared" si="3"/>
        <v>0.77444478716841458</v>
      </c>
      <c r="F30" s="356"/>
      <c r="Q30" s="93" t="s">
        <v>266</v>
      </c>
      <c r="R30" s="94">
        <v>0.7886228860092247</v>
      </c>
      <c r="S30" s="93" t="s">
        <v>204</v>
      </c>
      <c r="W30" s="37" t="s">
        <v>345</v>
      </c>
      <c r="X30" s="44" t="s">
        <v>139</v>
      </c>
      <c r="Y30" s="44">
        <v>16</v>
      </c>
      <c r="Z30" s="44" t="s">
        <v>346</v>
      </c>
      <c r="AA30" s="69">
        <v>0.975461842272901</v>
      </c>
      <c r="AC30" s="37" t="s">
        <v>137</v>
      </c>
      <c r="AD30" s="49">
        <f>COUNTIF(Y$71:Y$74,"&gt;16")</f>
        <v>0</v>
      </c>
      <c r="AE30" s="50">
        <f>AD30/AD$36</f>
        <v>0</v>
      </c>
    </row>
    <row r="31" spans="1:33" ht="13.8" x14ac:dyDescent="0.3">
      <c r="A31" s="37" t="s">
        <v>291</v>
      </c>
      <c r="B31" s="44" t="s">
        <v>140</v>
      </c>
      <c r="C31" s="44">
        <v>15</v>
      </c>
      <c r="D31" s="44" t="s">
        <v>292</v>
      </c>
      <c r="E31" s="60">
        <f t="shared" si="3"/>
        <v>0.66251692368655679</v>
      </c>
      <c r="F31" s="356"/>
      <c r="K31" s="122"/>
      <c r="L31" s="122"/>
      <c r="Q31" s="93" t="s">
        <v>268</v>
      </c>
      <c r="R31" s="94">
        <v>0.80341264723043471</v>
      </c>
      <c r="S31" s="93" t="s">
        <v>203</v>
      </c>
      <c r="W31" s="37" t="s">
        <v>458</v>
      </c>
      <c r="X31" s="44" t="s">
        <v>173</v>
      </c>
      <c r="Y31" s="44">
        <v>12</v>
      </c>
      <c r="Z31" s="44" t="s">
        <v>459</v>
      </c>
      <c r="AA31" s="69">
        <v>0.97036252976978032</v>
      </c>
      <c r="AC31" s="37" t="s">
        <v>139</v>
      </c>
      <c r="AD31" s="49">
        <f>COUNTIF(Y$71:Y$74,"=16")</f>
        <v>0</v>
      </c>
      <c r="AE31" s="50">
        <f t="shared" ref="AE31:AE36" si="5">AD31/AD$36</f>
        <v>0</v>
      </c>
    </row>
    <row r="32" spans="1:33" ht="13.8" x14ac:dyDescent="0.3">
      <c r="A32" s="95" t="s">
        <v>369</v>
      </c>
      <c r="B32" s="96" t="s">
        <v>140</v>
      </c>
      <c r="C32" s="96">
        <v>15</v>
      </c>
      <c r="D32" s="96" t="s">
        <v>375</v>
      </c>
      <c r="E32" s="97">
        <f t="shared" si="3"/>
        <v>0.93843994106691131</v>
      </c>
      <c r="F32" s="356"/>
      <c r="L32" s="122"/>
      <c r="Q32" s="93" t="s">
        <v>270</v>
      </c>
      <c r="R32" s="94">
        <v>0.58646630934150079</v>
      </c>
      <c r="S32" s="93" t="s">
        <v>204</v>
      </c>
      <c r="W32" s="37" t="s">
        <v>222</v>
      </c>
      <c r="X32" s="44" t="s">
        <v>141</v>
      </c>
      <c r="Y32" s="44">
        <v>14</v>
      </c>
      <c r="Z32" s="44" t="s">
        <v>223</v>
      </c>
      <c r="AA32" s="69">
        <v>0.96680210088197405</v>
      </c>
      <c r="AC32" s="37" t="s">
        <v>140</v>
      </c>
      <c r="AD32" s="49">
        <f>COUNTIF(Y$71:Y$74,"=15")</f>
        <v>1</v>
      </c>
      <c r="AE32" s="50">
        <f t="shared" si="5"/>
        <v>0.25</v>
      </c>
    </row>
    <row r="33" spans="1:31" ht="13.8" x14ac:dyDescent="0.3">
      <c r="A33" s="45" t="s">
        <v>222</v>
      </c>
      <c r="B33" s="46" t="s">
        <v>141</v>
      </c>
      <c r="C33" s="46">
        <v>14</v>
      </c>
      <c r="D33" s="46" t="s">
        <v>223</v>
      </c>
      <c r="E33" s="61">
        <f t="shared" si="3"/>
        <v>0.96680210088197405</v>
      </c>
      <c r="F33" s="356"/>
      <c r="L33" s="122"/>
      <c r="Q33" s="93" t="s">
        <v>276</v>
      </c>
      <c r="R33" s="94">
        <v>0.64970550208303401</v>
      </c>
      <c r="S33" s="93" t="s">
        <v>204</v>
      </c>
      <c r="W33" s="37" t="s">
        <v>460</v>
      </c>
      <c r="X33" s="44" t="s">
        <v>139</v>
      </c>
      <c r="Y33" s="44">
        <v>16</v>
      </c>
      <c r="Z33" s="44" t="s">
        <v>455</v>
      </c>
      <c r="AA33" s="69">
        <v>0.96341849943457658</v>
      </c>
      <c r="AC33" s="37" t="s">
        <v>141</v>
      </c>
      <c r="AD33" s="49">
        <f>COUNTIF(Y$71:Y$74,"=14")</f>
        <v>0</v>
      </c>
      <c r="AE33" s="50">
        <f t="shared" si="5"/>
        <v>0</v>
      </c>
    </row>
    <row r="34" spans="1:31" ht="13.8" x14ac:dyDescent="0.3">
      <c r="A34" s="45" t="s">
        <v>238</v>
      </c>
      <c r="B34" s="46" t="s">
        <v>141</v>
      </c>
      <c r="C34" s="46">
        <v>14</v>
      </c>
      <c r="D34" s="46" t="s">
        <v>239</v>
      </c>
      <c r="E34" s="61">
        <f t="shared" si="3"/>
        <v>0.91095138568993894</v>
      </c>
      <c r="F34" s="356"/>
      <c r="L34" s="122"/>
      <c r="Q34" s="93" t="s">
        <v>353</v>
      </c>
      <c r="R34" s="94">
        <v>1.0379329114785329</v>
      </c>
      <c r="S34" s="93" t="s">
        <v>203</v>
      </c>
      <c r="W34" s="37" t="s">
        <v>394</v>
      </c>
      <c r="X34" s="44" t="s">
        <v>140</v>
      </c>
      <c r="Y34" s="44">
        <v>15</v>
      </c>
      <c r="Z34" s="44" t="s">
        <v>236</v>
      </c>
      <c r="AA34" s="69">
        <v>0.95294725244456668</v>
      </c>
      <c r="AC34" s="37" t="s">
        <v>142</v>
      </c>
      <c r="AD34" s="49">
        <f>COUNTIF(Y$71:Y$74,"=13")</f>
        <v>2</v>
      </c>
      <c r="AE34" s="50">
        <f t="shared" si="5"/>
        <v>0.5</v>
      </c>
    </row>
    <row r="35" spans="1:31" ht="14.4" thickBot="1" x14ac:dyDescent="0.35">
      <c r="A35" s="45" t="s">
        <v>249</v>
      </c>
      <c r="B35" s="46" t="s">
        <v>141</v>
      </c>
      <c r="C35" s="46">
        <v>14</v>
      </c>
      <c r="D35" s="46" t="s">
        <v>250</v>
      </c>
      <c r="E35" s="61">
        <f t="shared" si="3"/>
        <v>0.71562826313957539</v>
      </c>
      <c r="F35" s="356"/>
      <c r="G35" s="49" t="s">
        <v>373</v>
      </c>
      <c r="L35" s="122"/>
      <c r="Q35" s="93" t="s">
        <v>280</v>
      </c>
      <c r="R35" s="94">
        <v>0.47637430521244206</v>
      </c>
      <c r="S35" s="93" t="s">
        <v>194</v>
      </c>
      <c r="W35" s="37" t="s">
        <v>251</v>
      </c>
      <c r="X35" s="44" t="s">
        <v>139</v>
      </c>
      <c r="Y35" s="44">
        <v>16</v>
      </c>
      <c r="Z35" s="44" t="s">
        <v>252</v>
      </c>
      <c r="AA35" s="69">
        <v>0.94700000000000006</v>
      </c>
      <c r="AC35" s="53" t="s">
        <v>143</v>
      </c>
      <c r="AD35" s="55">
        <f>COUNTIF(Y$71:Y$74,"&lt;13")</f>
        <v>1</v>
      </c>
      <c r="AE35" s="56">
        <f t="shared" si="5"/>
        <v>0.25</v>
      </c>
    </row>
    <row r="36" spans="1:31" ht="13.8" x14ac:dyDescent="0.3">
      <c r="A36" s="45" t="s">
        <v>254</v>
      </c>
      <c r="B36" s="46" t="s">
        <v>141</v>
      </c>
      <c r="C36" s="46">
        <v>14</v>
      </c>
      <c r="D36" s="46" t="s">
        <v>378</v>
      </c>
      <c r="E36" s="61">
        <f t="shared" si="3"/>
        <v>0.91199977892108686</v>
      </c>
      <c r="F36" s="356"/>
      <c r="G36" s="92"/>
      <c r="H36" s="7"/>
      <c r="I36" s="7"/>
      <c r="L36" s="122"/>
      <c r="Q36" s="93" t="s">
        <v>284</v>
      </c>
      <c r="R36" s="94">
        <v>0.97697589100213744</v>
      </c>
      <c r="S36" s="93" t="s">
        <v>203</v>
      </c>
      <c r="W36" s="37" t="s">
        <v>369</v>
      </c>
      <c r="X36" s="44" t="s">
        <v>140</v>
      </c>
      <c r="Y36" s="44">
        <v>15</v>
      </c>
      <c r="Z36" s="44" t="s">
        <v>375</v>
      </c>
      <c r="AA36" s="69">
        <v>0.93843994106691131</v>
      </c>
      <c r="AC36" s="41" t="s">
        <v>144</v>
      </c>
      <c r="AD36" s="51">
        <f>SUM(AD30:AD35)</f>
        <v>4</v>
      </c>
      <c r="AE36" s="52">
        <f t="shared" si="5"/>
        <v>1</v>
      </c>
    </row>
    <row r="37" spans="1:31" ht="13.8" x14ac:dyDescent="0.3">
      <c r="A37" s="45" t="s">
        <v>328</v>
      </c>
      <c r="B37" s="46" t="s">
        <v>141</v>
      </c>
      <c r="C37" s="46">
        <v>14</v>
      </c>
      <c r="D37" s="46" t="s">
        <v>331</v>
      </c>
      <c r="E37" s="61">
        <f t="shared" si="3"/>
        <v>1</v>
      </c>
      <c r="F37" s="356"/>
      <c r="H37" s="5"/>
      <c r="J37" s="7"/>
      <c r="Q37" s="93" t="s">
        <v>220</v>
      </c>
      <c r="R37" s="94">
        <v>0.86662573118314323</v>
      </c>
      <c r="S37" s="93" t="s">
        <v>203</v>
      </c>
      <c r="W37" s="37" t="s">
        <v>303</v>
      </c>
      <c r="X37" s="44" t="s">
        <v>177</v>
      </c>
      <c r="Y37" s="44">
        <v>10</v>
      </c>
      <c r="Z37" s="44" t="s">
        <v>304</v>
      </c>
      <c r="AA37" s="69">
        <v>0.93520619672453054</v>
      </c>
    </row>
    <row r="38" spans="1:31" ht="13.8" x14ac:dyDescent="0.3">
      <c r="A38" s="45" t="s">
        <v>267</v>
      </c>
      <c r="B38" s="46" t="s">
        <v>141</v>
      </c>
      <c r="C38" s="46">
        <v>14</v>
      </c>
      <c r="D38" s="46" t="s">
        <v>268</v>
      </c>
      <c r="E38" s="61">
        <f t="shared" si="3"/>
        <v>0.80341264723043471</v>
      </c>
      <c r="F38" s="356"/>
      <c r="H38" s="5"/>
      <c r="J38" s="8"/>
      <c r="Q38" s="93" t="s">
        <v>272</v>
      </c>
      <c r="R38" s="94">
        <v>0.36101059894989318</v>
      </c>
      <c r="S38" s="93" t="s">
        <v>194</v>
      </c>
      <c r="W38" s="37" t="s">
        <v>293</v>
      </c>
      <c r="X38" s="44" t="s">
        <v>166</v>
      </c>
      <c r="Y38" s="44">
        <v>17</v>
      </c>
      <c r="Z38" s="44" t="s">
        <v>294</v>
      </c>
      <c r="AA38" s="69">
        <v>0.92936836749527552</v>
      </c>
    </row>
    <row r="39" spans="1:31" ht="13.8" x14ac:dyDescent="0.3">
      <c r="A39" s="45" t="s">
        <v>269</v>
      </c>
      <c r="B39" s="46" t="s">
        <v>141</v>
      </c>
      <c r="C39" s="46">
        <v>14</v>
      </c>
      <c r="D39" s="46" t="s">
        <v>270</v>
      </c>
      <c r="E39" s="61">
        <f t="shared" si="3"/>
        <v>0.58646630934150079</v>
      </c>
      <c r="F39" s="356"/>
      <c r="H39" s="5"/>
      <c r="J39" s="8"/>
      <c r="Q39" s="93" t="s">
        <v>461</v>
      </c>
      <c r="R39" s="94">
        <v>0.78418126509511765</v>
      </c>
      <c r="S39" s="93" t="s">
        <v>204</v>
      </c>
      <c r="W39" s="37" t="s">
        <v>247</v>
      </c>
      <c r="X39" s="44" t="s">
        <v>139</v>
      </c>
      <c r="Y39" s="44">
        <v>16</v>
      </c>
      <c r="Z39" s="44" t="s">
        <v>248</v>
      </c>
      <c r="AA39" s="69">
        <v>0.91865112788863534</v>
      </c>
    </row>
    <row r="40" spans="1:31" ht="13.8" x14ac:dyDescent="0.3">
      <c r="A40" s="45" t="s">
        <v>352</v>
      </c>
      <c r="B40" s="46" t="s">
        <v>141</v>
      </c>
      <c r="C40" s="46">
        <v>14</v>
      </c>
      <c r="D40" s="46" t="s">
        <v>353</v>
      </c>
      <c r="E40" s="61">
        <f t="shared" si="3"/>
        <v>1.0379329114785329</v>
      </c>
      <c r="F40" s="356"/>
      <c r="H40" s="5"/>
      <c r="J40" s="8"/>
      <c r="Q40" s="93" t="s">
        <v>241</v>
      </c>
      <c r="R40" s="94">
        <v>0.541533003736272</v>
      </c>
      <c r="S40" s="93" t="s">
        <v>204</v>
      </c>
      <c r="W40" s="37" t="s">
        <v>254</v>
      </c>
      <c r="X40" s="44" t="s">
        <v>141</v>
      </c>
      <c r="Y40" s="44">
        <v>14</v>
      </c>
      <c r="Z40" s="44" t="s">
        <v>378</v>
      </c>
      <c r="AA40" s="69">
        <v>0.91199977892108686</v>
      </c>
    </row>
    <row r="41" spans="1:31" ht="13.8" x14ac:dyDescent="0.3">
      <c r="A41" s="45" t="s">
        <v>283</v>
      </c>
      <c r="B41" s="46" t="s">
        <v>141</v>
      </c>
      <c r="C41" s="46">
        <v>14</v>
      </c>
      <c r="D41" s="46" t="s">
        <v>284</v>
      </c>
      <c r="E41" s="61">
        <f t="shared" si="3"/>
        <v>0.97697589100213744</v>
      </c>
      <c r="F41" s="356"/>
      <c r="H41" s="5"/>
      <c r="J41" s="8"/>
      <c r="Q41" s="93" t="s">
        <v>274</v>
      </c>
      <c r="R41" s="94">
        <v>0.57845507252191697</v>
      </c>
      <c r="S41" s="93" t="s">
        <v>204</v>
      </c>
      <c r="W41" s="37" t="s">
        <v>238</v>
      </c>
      <c r="X41" s="44" t="s">
        <v>141</v>
      </c>
      <c r="Y41" s="44">
        <v>14</v>
      </c>
      <c r="Z41" s="44" t="s">
        <v>239</v>
      </c>
      <c r="AA41" s="69">
        <v>0.91095138568993894</v>
      </c>
    </row>
    <row r="42" spans="1:31" ht="13.8" x14ac:dyDescent="0.3">
      <c r="A42" s="45" t="s">
        <v>297</v>
      </c>
      <c r="B42" s="46" t="s">
        <v>141</v>
      </c>
      <c r="C42" s="46">
        <v>14</v>
      </c>
      <c r="D42" s="46" t="s">
        <v>298</v>
      </c>
      <c r="E42" s="61">
        <f t="shared" si="3"/>
        <v>0.99569209153466032</v>
      </c>
      <c r="F42" s="356"/>
      <c r="H42" s="5"/>
      <c r="J42" s="8"/>
      <c r="Q42" s="93" t="s">
        <v>432</v>
      </c>
      <c r="R42" s="94">
        <v>1</v>
      </c>
      <c r="S42" s="93" t="s">
        <v>203</v>
      </c>
      <c r="W42" s="37" t="s">
        <v>217</v>
      </c>
      <c r="X42" s="44" t="s">
        <v>140</v>
      </c>
      <c r="Y42" s="44">
        <v>15</v>
      </c>
      <c r="Z42" s="44" t="s">
        <v>218</v>
      </c>
      <c r="AA42" s="69">
        <v>0.91042888352305396</v>
      </c>
    </row>
    <row r="43" spans="1:31" ht="13.8" x14ac:dyDescent="0.3">
      <c r="A43" s="95" t="s">
        <v>281</v>
      </c>
      <c r="B43" s="96" t="s">
        <v>141</v>
      </c>
      <c r="C43" s="96">
        <v>14</v>
      </c>
      <c r="D43" s="96" t="s">
        <v>282</v>
      </c>
      <c r="E43" s="97">
        <f t="shared" si="3"/>
        <v>0.99126425624848336</v>
      </c>
      <c r="F43" s="356"/>
      <c r="Q43" s="93" t="s">
        <v>236</v>
      </c>
      <c r="R43" s="94">
        <v>0.95294725244456668</v>
      </c>
      <c r="S43" s="93" t="s">
        <v>203</v>
      </c>
      <c r="W43" s="37" t="s">
        <v>227</v>
      </c>
      <c r="X43" s="44" t="s">
        <v>139</v>
      </c>
      <c r="Y43" s="44">
        <v>16</v>
      </c>
      <c r="Z43" s="44" t="s">
        <v>228</v>
      </c>
      <c r="AA43" s="69">
        <v>0.89318320146074259</v>
      </c>
    </row>
    <row r="44" spans="1:31" ht="13.8" x14ac:dyDescent="0.3">
      <c r="A44" s="45" t="s">
        <v>285</v>
      </c>
      <c r="B44" s="46" t="s">
        <v>141</v>
      </c>
      <c r="C44" s="46">
        <v>14</v>
      </c>
      <c r="D44" s="46" t="s">
        <v>286</v>
      </c>
      <c r="E44" s="61">
        <f t="shared" si="3"/>
        <v>1</v>
      </c>
      <c r="F44" s="356"/>
      <c r="Q44" s="93" t="s">
        <v>412</v>
      </c>
      <c r="R44" s="94">
        <v>0.99533285779852521</v>
      </c>
      <c r="S44" s="93" t="s">
        <v>203</v>
      </c>
      <c r="W44" s="37" t="s">
        <v>256</v>
      </c>
      <c r="X44" s="44" t="s">
        <v>142</v>
      </c>
      <c r="Y44" s="44">
        <v>13</v>
      </c>
      <c r="Z44" s="44" t="s">
        <v>257</v>
      </c>
      <c r="AA44" s="69">
        <v>0.89235399590163933</v>
      </c>
    </row>
    <row r="45" spans="1:31" ht="13.8" x14ac:dyDescent="0.3">
      <c r="A45" s="45" t="s">
        <v>289</v>
      </c>
      <c r="B45" s="46" t="s">
        <v>141</v>
      </c>
      <c r="C45" s="46">
        <v>14</v>
      </c>
      <c r="D45" s="46" t="s">
        <v>290</v>
      </c>
      <c r="E45" s="61">
        <f t="shared" si="3"/>
        <v>0.5641445718679996</v>
      </c>
      <c r="F45" s="356"/>
      <c r="Q45" s="93" t="s">
        <v>298</v>
      </c>
      <c r="R45" s="94">
        <v>0.99569209153466032</v>
      </c>
      <c r="S45" s="93" t="s">
        <v>203</v>
      </c>
      <c r="W45" s="37" t="s">
        <v>462</v>
      </c>
      <c r="X45" s="44" t="s">
        <v>166</v>
      </c>
      <c r="Y45" s="44">
        <v>17</v>
      </c>
      <c r="Z45" s="44" t="s">
        <v>453</v>
      </c>
      <c r="AA45" s="69">
        <v>0.89001113183270453</v>
      </c>
    </row>
    <row r="46" spans="1:31" ht="13.8" x14ac:dyDescent="0.3">
      <c r="A46" s="45" t="s">
        <v>389</v>
      </c>
      <c r="B46" s="46" t="s">
        <v>141</v>
      </c>
      <c r="C46" s="46">
        <v>14</v>
      </c>
      <c r="D46" s="46" t="s">
        <v>390</v>
      </c>
      <c r="E46" s="61">
        <f t="shared" si="3"/>
        <v>0.98872477714287255</v>
      </c>
      <c r="F46" s="356"/>
      <c r="G46" s="122"/>
      <c r="J46" s="122"/>
      <c r="Q46" s="93" t="s">
        <v>278</v>
      </c>
      <c r="R46" s="94">
        <v>0.76907329412838532</v>
      </c>
      <c r="S46" s="93" t="s">
        <v>204</v>
      </c>
      <c r="W46" s="37" t="s">
        <v>219</v>
      </c>
      <c r="X46" s="44" t="s">
        <v>140</v>
      </c>
      <c r="Y46" s="44">
        <v>15</v>
      </c>
      <c r="Z46" s="44" t="s">
        <v>220</v>
      </c>
      <c r="AA46" s="69">
        <v>0.86662573118314323</v>
      </c>
    </row>
    <row r="47" spans="1:31" ht="13.8" x14ac:dyDescent="0.3">
      <c r="A47" s="45" t="s">
        <v>354</v>
      </c>
      <c r="B47" s="46" t="s">
        <v>141</v>
      </c>
      <c r="C47" s="46">
        <v>14</v>
      </c>
      <c r="D47" s="46" t="s">
        <v>355</v>
      </c>
      <c r="E47" s="61">
        <f t="shared" ref="E47:E67" si="6">VLOOKUP($D47,$Q$7:$R$68,2,0)</f>
        <v>1</v>
      </c>
      <c r="F47" s="356"/>
      <c r="G47" s="122"/>
      <c r="I47" s="122"/>
      <c r="J47" s="122"/>
      <c r="Q47" s="93" t="s">
        <v>300</v>
      </c>
      <c r="R47" s="94">
        <v>0.62481029959532464</v>
      </c>
      <c r="S47" s="93" t="s">
        <v>204</v>
      </c>
      <c r="W47" s="37" t="s">
        <v>427</v>
      </c>
      <c r="X47" s="44" t="s">
        <v>140</v>
      </c>
      <c r="Y47" s="44">
        <v>15</v>
      </c>
      <c r="Z47" s="44" t="s">
        <v>428</v>
      </c>
      <c r="AA47" s="69">
        <v>0.85816623707026407</v>
      </c>
    </row>
    <row r="48" spans="1:31" ht="13.8" x14ac:dyDescent="0.3">
      <c r="A48" s="37" t="s">
        <v>225</v>
      </c>
      <c r="B48" s="44" t="s">
        <v>142</v>
      </c>
      <c r="C48" s="44">
        <v>13</v>
      </c>
      <c r="D48" s="44" t="s">
        <v>226</v>
      </c>
      <c r="E48" s="60">
        <f t="shared" si="6"/>
        <v>0.84669359982989578</v>
      </c>
      <c r="F48" s="356"/>
      <c r="G48" s="122"/>
      <c r="I48" s="122"/>
      <c r="J48" s="122"/>
      <c r="Q48" s="93" t="s">
        <v>302</v>
      </c>
      <c r="R48" s="94">
        <v>0.99967409016838671</v>
      </c>
      <c r="S48" s="93" t="s">
        <v>203</v>
      </c>
      <c r="W48" s="37" t="s">
        <v>225</v>
      </c>
      <c r="X48" s="44" t="s">
        <v>142</v>
      </c>
      <c r="Y48" s="44">
        <v>13</v>
      </c>
      <c r="Z48" s="44" t="s">
        <v>226</v>
      </c>
      <c r="AA48" s="69">
        <v>0.84669359982989578</v>
      </c>
    </row>
    <row r="49" spans="1:27" ht="13.8" x14ac:dyDescent="0.3">
      <c r="A49" s="37" t="s">
        <v>245</v>
      </c>
      <c r="B49" s="44" t="s">
        <v>142</v>
      </c>
      <c r="C49" s="44">
        <v>13</v>
      </c>
      <c r="D49" s="44" t="s">
        <v>246</v>
      </c>
      <c r="E49" s="60">
        <f t="shared" si="6"/>
        <v>0.68875112521618576</v>
      </c>
      <c r="F49" s="356"/>
      <c r="G49" s="122"/>
      <c r="I49" s="122"/>
      <c r="J49" s="122"/>
      <c r="Q49" s="93" t="s">
        <v>290</v>
      </c>
      <c r="R49" s="94">
        <v>0.5641445718679996</v>
      </c>
      <c r="S49" s="93" t="s">
        <v>204</v>
      </c>
      <c r="W49" s="37" t="s">
        <v>395</v>
      </c>
      <c r="X49" s="44" t="s">
        <v>140</v>
      </c>
      <c r="Y49" s="44">
        <v>15</v>
      </c>
      <c r="Z49" s="44" t="s">
        <v>396</v>
      </c>
      <c r="AA49" s="69">
        <v>0.83267459864721705</v>
      </c>
    </row>
    <row r="50" spans="1:27" ht="13.8" x14ac:dyDescent="0.3">
      <c r="A50" s="37" t="s">
        <v>256</v>
      </c>
      <c r="B50" s="44" t="s">
        <v>142</v>
      </c>
      <c r="C50" s="44">
        <v>13</v>
      </c>
      <c r="D50" s="44" t="s">
        <v>257</v>
      </c>
      <c r="E50" s="60">
        <f t="shared" si="6"/>
        <v>0.89235399590163933</v>
      </c>
      <c r="F50" s="356"/>
      <c r="G50" s="122"/>
      <c r="I50" s="122"/>
      <c r="J50" s="122"/>
      <c r="Q50" s="93" t="s">
        <v>428</v>
      </c>
      <c r="R50" s="94">
        <v>0.85816623707026407</v>
      </c>
      <c r="S50" s="93" t="s">
        <v>203</v>
      </c>
      <c r="W50" s="37" t="s">
        <v>261</v>
      </c>
      <c r="X50" s="44" t="s">
        <v>140</v>
      </c>
      <c r="Y50" s="44">
        <v>15</v>
      </c>
      <c r="Z50" s="44" t="s">
        <v>262</v>
      </c>
      <c r="AA50" s="69">
        <v>0.81254016709511567</v>
      </c>
    </row>
    <row r="51" spans="1:27" ht="13.8" x14ac:dyDescent="0.3">
      <c r="A51" s="37" t="s">
        <v>463</v>
      </c>
      <c r="B51" s="44" t="s">
        <v>142</v>
      </c>
      <c r="C51" s="44">
        <v>13</v>
      </c>
      <c r="D51" s="44" t="s">
        <v>452</v>
      </c>
      <c r="E51" s="69">
        <f t="shared" si="6"/>
        <v>0.33305692234682915</v>
      </c>
      <c r="F51" s="356"/>
      <c r="I51" s="122"/>
      <c r="J51" s="122"/>
      <c r="Q51" s="93" t="s">
        <v>304</v>
      </c>
      <c r="R51" s="94">
        <v>0.93520619672453054</v>
      </c>
      <c r="S51" s="93" t="s">
        <v>203</v>
      </c>
      <c r="W51" s="37" t="s">
        <v>267</v>
      </c>
      <c r="X51" s="44" t="s">
        <v>141</v>
      </c>
      <c r="Y51" s="44">
        <v>14</v>
      </c>
      <c r="Z51" s="44" t="s">
        <v>268</v>
      </c>
      <c r="AA51" s="69">
        <v>0.80341264723043471</v>
      </c>
    </row>
    <row r="52" spans="1:27" ht="13.8" x14ac:dyDescent="0.3">
      <c r="A52" s="37" t="s">
        <v>265</v>
      </c>
      <c r="B52" s="44" t="s">
        <v>142</v>
      </c>
      <c r="C52" s="44">
        <v>13</v>
      </c>
      <c r="D52" s="44" t="s">
        <v>266</v>
      </c>
      <c r="E52" s="60">
        <f t="shared" si="6"/>
        <v>0.7886228860092247</v>
      </c>
      <c r="F52" s="356"/>
      <c r="Q52" s="93" t="s">
        <v>282</v>
      </c>
      <c r="R52" s="94">
        <v>0.99126425624848336</v>
      </c>
      <c r="S52" s="93" t="s">
        <v>203</v>
      </c>
      <c r="W52" s="37" t="s">
        <v>265</v>
      </c>
      <c r="X52" s="44" t="s">
        <v>142</v>
      </c>
      <c r="Y52" s="44">
        <v>13</v>
      </c>
      <c r="Z52" s="44" t="s">
        <v>266</v>
      </c>
      <c r="AA52" s="69">
        <v>0.7886228860092247</v>
      </c>
    </row>
    <row r="53" spans="1:27" ht="13.8" x14ac:dyDescent="0.3">
      <c r="A53" s="37" t="s">
        <v>367</v>
      </c>
      <c r="B53" s="44" t="s">
        <v>142</v>
      </c>
      <c r="C53" s="44">
        <v>13</v>
      </c>
      <c r="D53" s="44" t="s">
        <v>368</v>
      </c>
      <c r="E53" s="60">
        <f t="shared" si="6"/>
        <v>1.0292149475019923</v>
      </c>
      <c r="F53" s="356"/>
      <c r="Q53" s="93" t="s">
        <v>383</v>
      </c>
      <c r="R53" s="94">
        <v>0.73349447513812149</v>
      </c>
      <c r="S53" s="93" t="s">
        <v>204</v>
      </c>
      <c r="W53" s="37" t="s">
        <v>464</v>
      </c>
      <c r="X53" s="44" t="s">
        <v>162</v>
      </c>
      <c r="Y53" s="44">
        <v>19</v>
      </c>
      <c r="Z53" s="44" t="s">
        <v>461</v>
      </c>
      <c r="AA53" s="69">
        <v>0.78418126509511765</v>
      </c>
    </row>
    <row r="54" spans="1:27" ht="13.8" x14ac:dyDescent="0.3">
      <c r="A54" s="37" t="s">
        <v>275</v>
      </c>
      <c r="B54" s="44" t="s">
        <v>142</v>
      </c>
      <c r="C54" s="44">
        <v>13</v>
      </c>
      <c r="D54" s="44" t="s">
        <v>276</v>
      </c>
      <c r="E54" s="60">
        <f t="shared" si="6"/>
        <v>0.64970550208303401</v>
      </c>
      <c r="F54" s="356"/>
      <c r="Q54" s="93" t="s">
        <v>286</v>
      </c>
      <c r="R54" s="94">
        <v>1</v>
      </c>
      <c r="S54" s="93" t="s">
        <v>203</v>
      </c>
      <c r="W54" s="37" t="s">
        <v>347</v>
      </c>
      <c r="X54" s="44" t="s">
        <v>140</v>
      </c>
      <c r="Y54" s="44">
        <v>15</v>
      </c>
      <c r="Z54" s="44" t="s">
        <v>348</v>
      </c>
      <c r="AA54" s="69">
        <v>0.77444478716841458</v>
      </c>
    </row>
    <row r="55" spans="1:27" ht="13.8" x14ac:dyDescent="0.3">
      <c r="A55" s="37" t="s">
        <v>279</v>
      </c>
      <c r="B55" s="44" t="s">
        <v>142</v>
      </c>
      <c r="C55" s="44">
        <v>13</v>
      </c>
      <c r="D55" s="44" t="s">
        <v>280</v>
      </c>
      <c r="E55" s="69">
        <f t="shared" si="6"/>
        <v>0.47637430521244206</v>
      </c>
      <c r="F55" s="356"/>
      <c r="Q55" s="93" t="s">
        <v>244</v>
      </c>
      <c r="R55" s="94">
        <v>0.61841824770837783</v>
      </c>
      <c r="S55" s="93" t="s">
        <v>204</v>
      </c>
      <c r="W55" s="37" t="s">
        <v>277</v>
      </c>
      <c r="X55" s="44" t="s">
        <v>140</v>
      </c>
      <c r="Y55" s="44">
        <v>15</v>
      </c>
      <c r="Z55" s="44" t="s">
        <v>278</v>
      </c>
      <c r="AA55" s="69">
        <v>0.76907329412838532</v>
      </c>
    </row>
    <row r="56" spans="1:27" ht="13.8" x14ac:dyDescent="0.3">
      <c r="A56" s="37" t="s">
        <v>287</v>
      </c>
      <c r="B56" s="44" t="s">
        <v>142</v>
      </c>
      <c r="C56" s="44">
        <v>13</v>
      </c>
      <c r="D56" s="44" t="s">
        <v>441</v>
      </c>
      <c r="E56" s="60">
        <f t="shared" si="6"/>
        <v>1</v>
      </c>
      <c r="F56" s="356"/>
      <c r="Q56" s="93" t="s">
        <v>456</v>
      </c>
      <c r="R56" s="94">
        <v>0.99461817608484948</v>
      </c>
      <c r="S56" s="93" t="s">
        <v>203</v>
      </c>
      <c r="W56" s="37" t="s">
        <v>263</v>
      </c>
      <c r="X56" s="44" t="s">
        <v>139</v>
      </c>
      <c r="Y56" s="44">
        <v>16</v>
      </c>
      <c r="Z56" s="44" t="s">
        <v>264</v>
      </c>
      <c r="AA56" s="69">
        <v>0.76510407852428497</v>
      </c>
    </row>
    <row r="57" spans="1:27" ht="13.8" x14ac:dyDescent="0.3">
      <c r="A57" s="37" t="s">
        <v>273</v>
      </c>
      <c r="B57" s="44" t="s">
        <v>142</v>
      </c>
      <c r="C57" s="44">
        <v>13</v>
      </c>
      <c r="D57" s="44" t="s">
        <v>274</v>
      </c>
      <c r="E57" s="60">
        <f t="shared" si="6"/>
        <v>0.57845507252191697</v>
      </c>
      <c r="F57" s="356"/>
      <c r="Q57" s="93" t="s">
        <v>348</v>
      </c>
      <c r="R57" s="94">
        <v>0.77444478716841458</v>
      </c>
      <c r="S57" s="93" t="s">
        <v>204</v>
      </c>
      <c r="W57" s="37" t="s">
        <v>408</v>
      </c>
      <c r="X57" s="44" t="s">
        <v>140</v>
      </c>
      <c r="Y57" s="44">
        <v>15</v>
      </c>
      <c r="Z57" s="44" t="s">
        <v>451</v>
      </c>
      <c r="AA57" s="69">
        <v>0.76017780502759058</v>
      </c>
    </row>
    <row r="58" spans="1:27" ht="13.8" x14ac:dyDescent="0.3">
      <c r="A58" s="37" t="s">
        <v>299</v>
      </c>
      <c r="B58" s="44" t="s">
        <v>142</v>
      </c>
      <c r="C58" s="44">
        <v>13</v>
      </c>
      <c r="D58" s="44" t="s">
        <v>300</v>
      </c>
      <c r="E58" s="60">
        <f t="shared" si="6"/>
        <v>0.62481029959532464</v>
      </c>
      <c r="F58" s="356"/>
      <c r="Q58" s="93" t="s">
        <v>294</v>
      </c>
      <c r="R58" s="94">
        <v>0.92936836749527552</v>
      </c>
      <c r="S58" s="93" t="s">
        <v>203</v>
      </c>
      <c r="W58" s="37" t="s">
        <v>382</v>
      </c>
      <c r="X58" s="44" t="s">
        <v>140</v>
      </c>
      <c r="Y58" s="44">
        <v>15</v>
      </c>
      <c r="Z58" s="44" t="s">
        <v>383</v>
      </c>
      <c r="AA58" s="69">
        <v>0.73349447513812149</v>
      </c>
    </row>
    <row r="59" spans="1:27" ht="13.8" x14ac:dyDescent="0.3">
      <c r="A59" s="45" t="s">
        <v>305</v>
      </c>
      <c r="B59" s="46" t="s">
        <v>173</v>
      </c>
      <c r="C59" s="46">
        <v>12</v>
      </c>
      <c r="D59" s="46" t="s">
        <v>456</v>
      </c>
      <c r="E59" s="61">
        <f t="shared" si="6"/>
        <v>0.99461817608484948</v>
      </c>
      <c r="F59" s="356"/>
      <c r="Q59" s="93" t="s">
        <v>292</v>
      </c>
      <c r="R59" s="94">
        <v>0.66251692368655679</v>
      </c>
      <c r="S59" s="93" t="s">
        <v>204</v>
      </c>
      <c r="W59" s="37" t="s">
        <v>249</v>
      </c>
      <c r="X59" s="44" t="s">
        <v>141</v>
      </c>
      <c r="Y59" s="44">
        <v>14</v>
      </c>
      <c r="Z59" s="44" t="s">
        <v>250</v>
      </c>
      <c r="AA59" s="69">
        <v>0.71562826313957539</v>
      </c>
    </row>
    <row r="60" spans="1:27" ht="13.8" x14ac:dyDescent="0.3">
      <c r="A60" s="45" t="s">
        <v>411</v>
      </c>
      <c r="B60" s="46" t="s">
        <v>173</v>
      </c>
      <c r="C60" s="46">
        <v>12</v>
      </c>
      <c r="D60" s="46" t="s">
        <v>412</v>
      </c>
      <c r="E60" s="61">
        <f t="shared" si="6"/>
        <v>0.99533285779852521</v>
      </c>
      <c r="F60" s="356"/>
      <c r="Q60" s="93" t="s">
        <v>375</v>
      </c>
      <c r="R60" s="94">
        <v>0.93843994106691131</v>
      </c>
      <c r="S60" s="93" t="s">
        <v>203</v>
      </c>
      <c r="W60" s="37" t="s">
        <v>245</v>
      </c>
      <c r="X60" s="44" t="s">
        <v>142</v>
      </c>
      <c r="Y60" s="44">
        <v>13</v>
      </c>
      <c r="Z60" s="44" t="s">
        <v>246</v>
      </c>
      <c r="AA60" s="69">
        <v>0.68875112521618576</v>
      </c>
    </row>
    <row r="61" spans="1:27" ht="13.8" x14ac:dyDescent="0.3">
      <c r="A61" s="45" t="s">
        <v>303</v>
      </c>
      <c r="B61" s="46" t="s">
        <v>177</v>
      </c>
      <c r="C61" s="46">
        <v>10</v>
      </c>
      <c r="D61" s="46" t="s">
        <v>304</v>
      </c>
      <c r="E61" s="61">
        <f t="shared" si="6"/>
        <v>0.93520619672453054</v>
      </c>
      <c r="F61" s="356"/>
      <c r="Q61" s="93" t="s">
        <v>396</v>
      </c>
      <c r="R61" s="94">
        <v>0.83267459864721705</v>
      </c>
      <c r="S61" s="93" t="s">
        <v>203</v>
      </c>
      <c r="W61" s="37" t="s">
        <v>291</v>
      </c>
      <c r="X61" s="44" t="s">
        <v>140</v>
      </c>
      <c r="Y61" s="44">
        <v>15</v>
      </c>
      <c r="Z61" s="44" t="s">
        <v>292</v>
      </c>
      <c r="AA61" s="69">
        <v>0.66251692368655679</v>
      </c>
    </row>
    <row r="62" spans="1:27" ht="14.4" thickBot="1" x14ac:dyDescent="0.35">
      <c r="A62" s="150" t="s">
        <v>371</v>
      </c>
      <c r="B62" s="151" t="s">
        <v>187</v>
      </c>
      <c r="C62" s="151">
        <v>5</v>
      </c>
      <c r="D62" s="151" t="s">
        <v>457</v>
      </c>
      <c r="E62" s="152">
        <f t="shared" si="6"/>
        <v>0.11951366732775717</v>
      </c>
      <c r="F62" s="356"/>
      <c r="Q62" s="93" t="s">
        <v>390</v>
      </c>
      <c r="R62" s="94">
        <v>0.98872477714287255</v>
      </c>
      <c r="S62" s="93" t="s">
        <v>203</v>
      </c>
      <c r="W62" s="37" t="s">
        <v>275</v>
      </c>
      <c r="X62" s="44" t="s">
        <v>142</v>
      </c>
      <c r="Y62" s="44">
        <v>13</v>
      </c>
      <c r="Z62" s="44" t="s">
        <v>276</v>
      </c>
      <c r="AA62" s="69">
        <v>0.64970550208303401</v>
      </c>
    </row>
    <row r="63" spans="1:27" ht="13.8" x14ac:dyDescent="0.3">
      <c r="A63" s="37" t="s">
        <v>464</v>
      </c>
      <c r="B63" s="44" t="s">
        <v>162</v>
      </c>
      <c r="C63" s="44">
        <v>19</v>
      </c>
      <c r="D63" s="44" t="s">
        <v>461</v>
      </c>
      <c r="E63" s="60">
        <f t="shared" si="6"/>
        <v>0.78418126509511765</v>
      </c>
      <c r="F63" s="356"/>
      <c r="Q63" s="93" t="s">
        <v>459</v>
      </c>
      <c r="R63" s="94">
        <v>0.97036252976978032</v>
      </c>
      <c r="S63" s="93" t="s">
        <v>203</v>
      </c>
      <c r="W63" s="37" t="s">
        <v>361</v>
      </c>
      <c r="X63" s="44" t="s">
        <v>139</v>
      </c>
      <c r="Y63" s="44">
        <v>16</v>
      </c>
      <c r="Z63" s="44" t="s">
        <v>194</v>
      </c>
      <c r="AA63" s="69">
        <v>0.63157463237392464</v>
      </c>
    </row>
    <row r="64" spans="1:27" ht="13.8" x14ac:dyDescent="0.3">
      <c r="A64" s="37" t="s">
        <v>462</v>
      </c>
      <c r="B64" s="44" t="s">
        <v>166</v>
      </c>
      <c r="C64" s="44">
        <v>17</v>
      </c>
      <c r="D64" s="44" t="s">
        <v>453</v>
      </c>
      <c r="E64" s="60">
        <f t="shared" si="6"/>
        <v>0.89001113183270453</v>
      </c>
      <c r="F64" s="356"/>
      <c r="Q64" s="93" t="s">
        <v>296</v>
      </c>
      <c r="R64" s="94">
        <v>0.98538704581358605</v>
      </c>
      <c r="S64" s="93" t="s">
        <v>203</v>
      </c>
      <c r="W64" s="37" t="s">
        <v>465</v>
      </c>
      <c r="X64" s="44" t="s">
        <v>142</v>
      </c>
      <c r="Y64" s="44">
        <v>13</v>
      </c>
      <c r="Z64" s="44" t="s">
        <v>448</v>
      </c>
      <c r="AA64" s="69">
        <v>0.62875460562079877</v>
      </c>
    </row>
    <row r="65" spans="1:27" ht="13.8" x14ac:dyDescent="0.3">
      <c r="A65" s="45" t="s">
        <v>458</v>
      </c>
      <c r="B65" s="46" t="s">
        <v>173</v>
      </c>
      <c r="C65" s="46">
        <v>12</v>
      </c>
      <c r="D65" s="46" t="s">
        <v>459</v>
      </c>
      <c r="E65" s="61">
        <f t="shared" si="6"/>
        <v>0.97036252976978032</v>
      </c>
      <c r="F65" s="356"/>
      <c r="Q65" s="93" t="s">
        <v>346</v>
      </c>
      <c r="R65" s="94">
        <v>0.975461842272901</v>
      </c>
      <c r="S65" s="93" t="s">
        <v>203</v>
      </c>
      <c r="W65" s="37" t="s">
        <v>299</v>
      </c>
      <c r="X65" s="44" t="s">
        <v>142</v>
      </c>
      <c r="Y65" s="44">
        <v>13</v>
      </c>
      <c r="Z65" s="44" t="s">
        <v>300</v>
      </c>
      <c r="AA65" s="69">
        <v>0.62481029959532464</v>
      </c>
    </row>
    <row r="66" spans="1:27" ht="13.8" x14ac:dyDescent="0.3">
      <c r="A66" s="37" t="s">
        <v>424</v>
      </c>
      <c r="B66" s="47" t="s">
        <v>423</v>
      </c>
      <c r="C66" s="47"/>
      <c r="D66" s="44" t="s">
        <v>425</v>
      </c>
      <c r="E66" s="69">
        <f t="shared" si="6"/>
        <v>0.99609846555590886</v>
      </c>
      <c r="F66" s="5"/>
      <c r="Q66" s="93" t="s">
        <v>248</v>
      </c>
      <c r="R66" s="94">
        <v>0.91865112788863534</v>
      </c>
      <c r="S66" s="93" t="s">
        <v>203</v>
      </c>
      <c r="W66" s="37" t="s">
        <v>243</v>
      </c>
      <c r="X66" s="44" t="s">
        <v>140</v>
      </c>
      <c r="Y66" s="44">
        <v>15</v>
      </c>
      <c r="Z66" s="44" t="s">
        <v>244</v>
      </c>
      <c r="AA66" s="69">
        <v>0.61841824770837783</v>
      </c>
    </row>
    <row r="67" spans="1:27" ht="14.4" thickBot="1" x14ac:dyDescent="0.35">
      <c r="A67" s="53" t="s">
        <v>295</v>
      </c>
      <c r="B67" s="54" t="s">
        <v>423</v>
      </c>
      <c r="C67" s="54"/>
      <c r="D67" s="54" t="s">
        <v>296</v>
      </c>
      <c r="E67" s="63">
        <f t="shared" si="6"/>
        <v>0.98538704581358605</v>
      </c>
      <c r="F67" s="5"/>
      <c r="Q67" s="93" t="s">
        <v>355</v>
      </c>
      <c r="R67" s="94">
        <v>1</v>
      </c>
      <c r="S67" s="93" t="s">
        <v>203</v>
      </c>
      <c r="W67" s="37" t="s">
        <v>269</v>
      </c>
      <c r="X67" s="44" t="s">
        <v>141</v>
      </c>
      <c r="Y67" s="44">
        <v>14</v>
      </c>
      <c r="Z67" s="44" t="s">
        <v>270</v>
      </c>
      <c r="AA67" s="69">
        <v>0.58646630934150079</v>
      </c>
    </row>
    <row r="68" spans="1:27" ht="13.8" x14ac:dyDescent="0.3">
      <c r="A68" s="41" t="s">
        <v>311</v>
      </c>
      <c r="B68" s="43" t="s">
        <v>141</v>
      </c>
      <c r="C68" s="42">
        <f>AVERAGE(C7:C62)</f>
        <v>14.214285714285714</v>
      </c>
      <c r="D68" s="42"/>
      <c r="E68" s="42"/>
      <c r="F68" s="5"/>
      <c r="G68" s="122"/>
      <c r="Q68" s="93" t="s">
        <v>252</v>
      </c>
      <c r="R68" s="94">
        <v>0.94700000000000006</v>
      </c>
      <c r="S68" s="93" t="s">
        <v>203</v>
      </c>
      <c r="W68" s="37" t="s">
        <v>273</v>
      </c>
      <c r="X68" s="44" t="s">
        <v>142</v>
      </c>
      <c r="Y68" s="44">
        <v>13</v>
      </c>
      <c r="Z68" s="44" t="s">
        <v>274</v>
      </c>
      <c r="AA68" s="69">
        <v>0.57845507252191697</v>
      </c>
    </row>
    <row r="69" spans="1:27" ht="13.8" x14ac:dyDescent="0.3">
      <c r="A69" s="3"/>
      <c r="B69" s="3"/>
      <c r="F69" s="5"/>
      <c r="Q69" s="93"/>
      <c r="R69" s="94"/>
      <c r="S69" s="93"/>
      <c r="W69" s="37" t="s">
        <v>289</v>
      </c>
      <c r="X69" s="44" t="s">
        <v>141</v>
      </c>
      <c r="Y69" s="44">
        <v>14</v>
      </c>
      <c r="Z69" s="44" t="s">
        <v>290</v>
      </c>
      <c r="AA69" s="69">
        <v>0.5641445718679996</v>
      </c>
    </row>
    <row r="70" spans="1:27" ht="13.8" x14ac:dyDescent="0.3">
      <c r="A70" s="3"/>
      <c r="B70" s="3"/>
      <c r="F70" s="9"/>
      <c r="G70" s="122"/>
      <c r="Q70" s="93"/>
      <c r="R70" s="94"/>
      <c r="S70" s="93"/>
      <c r="W70" s="37" t="s">
        <v>240</v>
      </c>
      <c r="X70" s="44" t="s">
        <v>139</v>
      </c>
      <c r="Y70" s="44">
        <v>16</v>
      </c>
      <c r="Z70" s="44" t="s">
        <v>241</v>
      </c>
      <c r="AA70" s="69">
        <v>0.541533003736272</v>
      </c>
    </row>
    <row r="71" spans="1:27" ht="13.8" x14ac:dyDescent="0.3">
      <c r="A71" s="48" t="s">
        <v>312</v>
      </c>
      <c r="F71" s="9"/>
      <c r="Q71" s="49"/>
      <c r="R71" s="58"/>
      <c r="S71" s="49"/>
      <c r="W71" s="37" t="s">
        <v>279</v>
      </c>
      <c r="X71" s="44" t="s">
        <v>142</v>
      </c>
      <c r="Y71" s="44">
        <v>13</v>
      </c>
      <c r="Z71" s="44" t="s">
        <v>280</v>
      </c>
      <c r="AA71" s="69">
        <v>0.47637430521244206</v>
      </c>
    </row>
    <row r="72" spans="1:27" ht="13.8" x14ac:dyDescent="0.3">
      <c r="A72" s="48" t="s">
        <v>313</v>
      </c>
      <c r="B72" s="86"/>
      <c r="C72" s="86"/>
      <c r="D72" s="86"/>
      <c r="E72" s="86"/>
      <c r="F72" s="9"/>
      <c r="Q72" s="49"/>
      <c r="R72" s="58"/>
      <c r="S72" s="49"/>
      <c r="W72" s="37" t="s">
        <v>271</v>
      </c>
      <c r="X72" s="44" t="s">
        <v>140</v>
      </c>
      <c r="Y72" s="44">
        <v>15</v>
      </c>
      <c r="Z72" s="44" t="s">
        <v>272</v>
      </c>
      <c r="AA72" s="69">
        <v>0.36101059894989318</v>
      </c>
    </row>
    <row r="73" spans="1:27" ht="13.8" x14ac:dyDescent="0.3">
      <c r="A73" s="85" t="s">
        <v>419</v>
      </c>
      <c r="B73" s="86"/>
      <c r="C73" s="86"/>
      <c r="D73" s="86"/>
      <c r="E73" s="86"/>
      <c r="F73" s="87"/>
      <c r="Q73" s="49"/>
      <c r="R73" s="58"/>
      <c r="S73" s="49"/>
      <c r="W73" s="37" t="s">
        <v>463</v>
      </c>
      <c r="X73" s="44" t="s">
        <v>142</v>
      </c>
      <c r="Y73" s="44">
        <v>13</v>
      </c>
      <c r="Z73" s="44" t="s">
        <v>452</v>
      </c>
      <c r="AA73" s="69">
        <v>0.33305692234682915</v>
      </c>
    </row>
    <row r="74" spans="1:27" ht="14.4" thickBot="1" x14ac:dyDescent="0.35">
      <c r="A74" s="85" t="s">
        <v>314</v>
      </c>
      <c r="B74" s="86"/>
      <c r="C74" s="86"/>
      <c r="D74" s="86"/>
      <c r="E74" s="86"/>
      <c r="F74" s="87"/>
      <c r="Q74" s="49"/>
      <c r="R74" s="58"/>
      <c r="S74" s="49"/>
      <c r="W74" s="53" t="s">
        <v>371</v>
      </c>
      <c r="X74" s="57" t="s">
        <v>187</v>
      </c>
      <c r="Y74" s="57">
        <v>5</v>
      </c>
      <c r="Z74" s="57" t="s">
        <v>457</v>
      </c>
      <c r="AA74" s="111">
        <v>0.11951366732775717</v>
      </c>
    </row>
    <row r="75" spans="1:27" ht="13.8" x14ac:dyDescent="0.3">
      <c r="A75" s="85" t="s">
        <v>466</v>
      </c>
      <c r="D75" s="9"/>
      <c r="F75" s="87"/>
      <c r="Q75" s="49"/>
      <c r="R75" s="58"/>
      <c r="S75" s="49"/>
    </row>
    <row r="76" spans="1:27" ht="13.8" x14ac:dyDescent="0.3">
      <c r="A76" s="48" t="s">
        <v>315</v>
      </c>
      <c r="D76" s="9"/>
      <c r="Q76" s="49"/>
      <c r="R76" s="58"/>
      <c r="S76" s="49"/>
    </row>
    <row r="77" spans="1:27" ht="13.8" x14ac:dyDescent="0.3">
      <c r="A77" s="48"/>
      <c r="D77" s="9"/>
      <c r="Q77" s="49"/>
      <c r="R77" s="59"/>
      <c r="S77" s="49"/>
    </row>
    <row r="78" spans="1:27" x14ac:dyDescent="0.25">
      <c r="A78" s="48"/>
    </row>
    <row r="79" spans="1:27" x14ac:dyDescent="0.25">
      <c r="A79" s="2"/>
      <c r="E79" s="74"/>
      <c r="F79" s="9"/>
      <c r="G79" s="86"/>
      <c r="W79" s="86"/>
      <c r="X79" s="86"/>
      <c r="Y79" s="86"/>
      <c r="Z79" s="86"/>
      <c r="AA79" s="88"/>
    </row>
    <row r="80" spans="1:27" s="86" customFormat="1" x14ac:dyDescent="0.25">
      <c r="A80"/>
      <c r="B80"/>
      <c r="C80"/>
      <c r="D80"/>
      <c r="E80"/>
      <c r="F80"/>
      <c r="Q80"/>
      <c r="R80"/>
      <c r="S80"/>
      <c r="AA80" s="88"/>
    </row>
    <row r="81" spans="1:27" s="86" customFormat="1" x14ac:dyDescent="0.25">
      <c r="AA81" s="88"/>
    </row>
    <row r="82" spans="1:27" s="86" customFormat="1" x14ac:dyDescent="0.25">
      <c r="A82"/>
      <c r="B82"/>
      <c r="C82"/>
      <c r="D82"/>
      <c r="E82"/>
      <c r="F82"/>
      <c r="G82"/>
      <c r="W82"/>
      <c r="X82"/>
      <c r="Y82"/>
      <c r="Z82"/>
      <c r="AA82"/>
    </row>
    <row r="83" spans="1:27" x14ac:dyDescent="0.25">
      <c r="Q83" s="86"/>
      <c r="R83" s="86"/>
      <c r="S83" s="86"/>
      <c r="AA83"/>
    </row>
    <row r="84" spans="1:27" x14ac:dyDescent="0.25">
      <c r="AA84"/>
    </row>
    <row r="87" spans="1:27" x14ac:dyDescent="0.25">
      <c r="E87" s="74"/>
    </row>
    <row r="88" spans="1:27" x14ac:dyDescent="0.25">
      <c r="E88" s="75"/>
    </row>
  </sheetData>
  <pageMargins left="0.17" right="0.18" top="0.28000000000000003" bottom="0.17" header="0.3" footer="0.3"/>
  <pageSetup scale="76" fitToWidth="0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0"/>
  </sheetPr>
  <dimension ref="A1:D41"/>
  <sheetViews>
    <sheetView zoomScale="90" zoomScaleNormal="90" workbookViewId="0"/>
  </sheetViews>
  <sheetFormatPr defaultColWidth="9.109375" defaultRowHeight="13.8" x14ac:dyDescent="0.3"/>
  <cols>
    <col min="1" max="1" width="19.33203125" style="49" customWidth="1"/>
    <col min="2" max="2" width="9" style="44" customWidth="1"/>
    <col min="3" max="3" width="6.44140625" style="44" customWidth="1"/>
    <col min="4" max="4" width="8" style="44" customWidth="1"/>
    <col min="5" max="16384" width="9.109375" style="49"/>
  </cols>
  <sheetData>
    <row r="1" spans="1:4" ht="18" x14ac:dyDescent="0.35">
      <c r="A1" s="40" t="s">
        <v>150</v>
      </c>
    </row>
    <row r="4" spans="1:4" x14ac:dyDescent="0.3">
      <c r="A4" s="76" t="s">
        <v>151</v>
      </c>
      <c r="B4" s="144" t="s">
        <v>152</v>
      </c>
      <c r="C4" s="144" t="s">
        <v>153</v>
      </c>
      <c r="D4" s="144" t="s">
        <v>154</v>
      </c>
    </row>
    <row r="5" spans="1:4" x14ac:dyDescent="0.3">
      <c r="A5" s="77"/>
      <c r="B5" s="145" t="s">
        <v>155</v>
      </c>
      <c r="C5" s="145" t="s">
        <v>156</v>
      </c>
      <c r="D5" s="145" t="s">
        <v>156</v>
      </c>
    </row>
    <row r="6" spans="1:4" x14ac:dyDescent="0.3">
      <c r="A6" s="77"/>
      <c r="B6" s="145"/>
      <c r="C6" s="145"/>
      <c r="D6" s="145"/>
    </row>
    <row r="7" spans="1:4" x14ac:dyDescent="0.3">
      <c r="A7" s="48"/>
      <c r="B7" s="145" t="s">
        <v>157</v>
      </c>
      <c r="C7" s="145" t="s">
        <v>158</v>
      </c>
      <c r="D7" s="145" t="s">
        <v>158</v>
      </c>
    </row>
    <row r="8" spans="1:4" x14ac:dyDescent="0.3">
      <c r="B8" s="145" t="s">
        <v>159</v>
      </c>
      <c r="C8" s="145" t="s">
        <v>160</v>
      </c>
      <c r="D8" s="145" t="s">
        <v>160</v>
      </c>
    </row>
    <row r="9" spans="1:4" x14ac:dyDescent="0.3">
      <c r="B9" s="145" t="s">
        <v>161</v>
      </c>
      <c r="C9" s="145" t="s">
        <v>162</v>
      </c>
      <c r="D9" s="145" t="s">
        <v>162</v>
      </c>
    </row>
    <row r="10" spans="1:4" x14ac:dyDescent="0.3">
      <c r="A10" s="48"/>
      <c r="B10" s="145"/>
      <c r="C10" s="145"/>
      <c r="D10" s="145"/>
    </row>
    <row r="11" spans="1:4" x14ac:dyDescent="0.3">
      <c r="A11" s="48"/>
      <c r="B11" s="145" t="s">
        <v>163</v>
      </c>
      <c r="C11" s="145" t="s">
        <v>164</v>
      </c>
      <c r="D11" s="145" t="s">
        <v>164</v>
      </c>
    </row>
    <row r="12" spans="1:4" x14ac:dyDescent="0.3">
      <c r="A12" s="48"/>
      <c r="B12" s="145" t="s">
        <v>165</v>
      </c>
      <c r="C12" s="145" t="s">
        <v>166</v>
      </c>
      <c r="D12" s="145" t="s">
        <v>166</v>
      </c>
    </row>
    <row r="13" spans="1:4" x14ac:dyDescent="0.3">
      <c r="A13" s="48"/>
      <c r="B13" s="145" t="s">
        <v>167</v>
      </c>
      <c r="C13" s="145" t="s">
        <v>139</v>
      </c>
      <c r="D13" s="145" t="s">
        <v>139</v>
      </c>
    </row>
    <row r="14" spans="1:4" x14ac:dyDescent="0.3">
      <c r="A14" s="48"/>
      <c r="B14" s="145"/>
      <c r="C14" s="145"/>
      <c r="D14" s="145"/>
    </row>
    <row r="15" spans="1:4" x14ac:dyDescent="0.3">
      <c r="A15" s="48"/>
      <c r="B15" s="145" t="s">
        <v>168</v>
      </c>
      <c r="C15" s="145" t="s">
        <v>140</v>
      </c>
      <c r="D15" s="145" t="s">
        <v>140</v>
      </c>
    </row>
    <row r="16" spans="1:4" x14ac:dyDescent="0.3">
      <c r="A16" s="48"/>
      <c r="B16" s="145" t="s">
        <v>169</v>
      </c>
      <c r="C16" s="145" t="s">
        <v>141</v>
      </c>
      <c r="D16" s="145" t="s">
        <v>141</v>
      </c>
    </row>
    <row r="17" spans="1:4" x14ac:dyDescent="0.3">
      <c r="A17" s="48"/>
      <c r="B17" s="145" t="s">
        <v>170</v>
      </c>
      <c r="C17" s="145" t="s">
        <v>142</v>
      </c>
      <c r="D17" s="145" t="s">
        <v>142</v>
      </c>
    </row>
    <row r="18" spans="1:4" x14ac:dyDescent="0.3">
      <c r="A18" s="48"/>
      <c r="B18" s="145"/>
      <c r="C18" s="145"/>
      <c r="D18" s="145"/>
    </row>
    <row r="19" spans="1:4" x14ac:dyDescent="0.3">
      <c r="A19" s="76" t="s">
        <v>171</v>
      </c>
      <c r="B19" s="144" t="s">
        <v>152</v>
      </c>
      <c r="C19" s="144" t="s">
        <v>153</v>
      </c>
      <c r="D19" s="144" t="s">
        <v>154</v>
      </c>
    </row>
    <row r="20" spans="1:4" x14ac:dyDescent="0.3">
      <c r="A20" s="78"/>
      <c r="B20" s="77"/>
      <c r="C20" s="77"/>
      <c r="D20" s="77"/>
    </row>
    <row r="21" spans="1:4" x14ac:dyDescent="0.3">
      <c r="A21" s="48"/>
      <c r="B21" s="145" t="s">
        <v>172</v>
      </c>
      <c r="C21" s="145" t="s">
        <v>173</v>
      </c>
      <c r="D21" s="145" t="s">
        <v>173</v>
      </c>
    </row>
    <row r="22" spans="1:4" x14ac:dyDescent="0.3">
      <c r="A22" s="48"/>
      <c r="B22" s="145" t="s">
        <v>174</v>
      </c>
      <c r="C22" s="145" t="s">
        <v>175</v>
      </c>
      <c r="D22" s="145" t="s">
        <v>175</v>
      </c>
    </row>
    <row r="23" spans="1:4" x14ac:dyDescent="0.3">
      <c r="A23" s="48"/>
      <c r="B23" s="145" t="s">
        <v>176</v>
      </c>
      <c r="C23" s="145" t="s">
        <v>177</v>
      </c>
      <c r="D23" s="145" t="s">
        <v>177</v>
      </c>
    </row>
    <row r="24" spans="1:4" x14ac:dyDescent="0.3">
      <c r="A24" s="48"/>
      <c r="B24" s="145"/>
      <c r="C24" s="145"/>
      <c r="D24" s="145"/>
    </row>
    <row r="25" spans="1:4" x14ac:dyDescent="0.3">
      <c r="A25" s="77"/>
      <c r="B25" s="145" t="s">
        <v>178</v>
      </c>
      <c r="C25" s="145" t="s">
        <v>179</v>
      </c>
      <c r="D25" s="145" t="s">
        <v>179</v>
      </c>
    </row>
    <row r="26" spans="1:4" x14ac:dyDescent="0.3">
      <c r="A26" s="48"/>
      <c r="B26" s="145" t="s">
        <v>180</v>
      </c>
      <c r="C26" s="145" t="s">
        <v>181</v>
      </c>
      <c r="D26" s="145" t="s">
        <v>181</v>
      </c>
    </row>
    <row r="27" spans="1:4" x14ac:dyDescent="0.3">
      <c r="A27" s="48"/>
      <c r="B27" s="145" t="s">
        <v>182</v>
      </c>
      <c r="C27" s="145" t="s">
        <v>183</v>
      </c>
      <c r="D27" s="145" t="s">
        <v>183</v>
      </c>
    </row>
    <row r="28" spans="1:4" x14ac:dyDescent="0.3">
      <c r="A28" s="48"/>
      <c r="B28" s="145"/>
      <c r="C28" s="145"/>
      <c r="D28" s="145"/>
    </row>
    <row r="29" spans="1:4" x14ac:dyDescent="0.3">
      <c r="A29" s="48"/>
      <c r="B29" s="145" t="s">
        <v>184</v>
      </c>
      <c r="C29" s="145" t="s">
        <v>185</v>
      </c>
      <c r="D29" s="145" t="s">
        <v>185</v>
      </c>
    </row>
    <row r="30" spans="1:4" x14ac:dyDescent="0.3">
      <c r="A30" s="48"/>
      <c r="B30" s="145" t="s">
        <v>186</v>
      </c>
      <c r="C30" s="145" t="s">
        <v>187</v>
      </c>
      <c r="D30" s="145" t="s">
        <v>187</v>
      </c>
    </row>
    <row r="31" spans="1:4" x14ac:dyDescent="0.3">
      <c r="A31" s="48"/>
      <c r="B31" s="145" t="s">
        <v>188</v>
      </c>
      <c r="C31" s="145" t="s">
        <v>189</v>
      </c>
      <c r="D31" s="145" t="s">
        <v>189</v>
      </c>
    </row>
    <row r="32" spans="1:4" x14ac:dyDescent="0.3">
      <c r="A32" s="48"/>
      <c r="B32" s="145"/>
      <c r="C32" s="145"/>
      <c r="D32" s="145"/>
    </row>
    <row r="33" spans="1:4" x14ac:dyDescent="0.3">
      <c r="A33" s="48"/>
      <c r="B33" s="145" t="s">
        <v>190</v>
      </c>
      <c r="C33" s="145" t="s">
        <v>191</v>
      </c>
      <c r="D33" s="145" t="s">
        <v>191</v>
      </c>
    </row>
    <row r="34" spans="1:4" x14ac:dyDescent="0.3">
      <c r="A34" s="48"/>
      <c r="B34" s="145"/>
      <c r="C34" s="145"/>
      <c r="D34" s="145"/>
    </row>
    <row r="35" spans="1:4" x14ac:dyDescent="0.3">
      <c r="A35" s="48"/>
      <c r="B35" s="145" t="s">
        <v>192</v>
      </c>
      <c r="C35" s="145" t="s">
        <v>192</v>
      </c>
      <c r="D35" s="145" t="s">
        <v>192</v>
      </c>
    </row>
    <row r="36" spans="1:4" x14ac:dyDescent="0.3">
      <c r="A36" s="48"/>
      <c r="B36" s="145"/>
      <c r="C36" s="145"/>
      <c r="D36" s="145"/>
    </row>
    <row r="37" spans="1:4" x14ac:dyDescent="0.3">
      <c r="A37" s="76" t="s">
        <v>193</v>
      </c>
      <c r="B37" s="144" t="s">
        <v>152</v>
      </c>
      <c r="C37" s="144" t="s">
        <v>153</v>
      </c>
      <c r="D37" s="144" t="s">
        <v>154</v>
      </c>
    </row>
    <row r="38" spans="1:4" x14ac:dyDescent="0.3">
      <c r="A38" s="77"/>
      <c r="B38" s="145" t="s">
        <v>192</v>
      </c>
      <c r="C38" s="145" t="s">
        <v>194</v>
      </c>
      <c r="D38" s="145" t="s">
        <v>194</v>
      </c>
    </row>
    <row r="39" spans="1:4" x14ac:dyDescent="0.3">
      <c r="A39" s="48"/>
      <c r="B39" s="145"/>
      <c r="C39" s="145"/>
      <c r="D39" s="145"/>
    </row>
    <row r="41" spans="1:4" x14ac:dyDescent="0.3">
      <c r="A41" s="48" t="s">
        <v>118</v>
      </c>
    </row>
  </sheetData>
  <phoneticPr fontId="3" type="noConversion"/>
  <printOptions gridLines="1"/>
  <pageMargins left="0.75" right="0.75" top="0.2" bottom="1" header="0.2" footer="0.5"/>
  <pageSetup paperSize="136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002060"/>
    <pageSetUpPr fitToPage="1"/>
  </sheetPr>
  <dimension ref="A1:AH84"/>
  <sheetViews>
    <sheetView zoomScale="80" zoomScaleNormal="80" workbookViewId="0"/>
  </sheetViews>
  <sheetFormatPr defaultColWidth="9.109375" defaultRowHeight="13.2" outlineLevelCol="1" x14ac:dyDescent="0.25"/>
  <cols>
    <col min="1" max="1" width="35.109375" customWidth="1"/>
    <col min="4" max="4" width="9.109375" hidden="1" customWidth="1" outlineLevel="1"/>
    <col min="5" max="5" width="12.5546875" hidden="1" customWidth="1" outlineLevel="1"/>
    <col min="6" max="6" width="9.109375" collapsed="1"/>
    <col min="7" max="7" width="11.5546875" customWidth="1"/>
    <col min="11" max="11" width="11" bestFit="1" customWidth="1"/>
    <col min="12" max="12" width="4.88671875" bestFit="1" customWidth="1"/>
    <col min="17" max="26" width="9.109375" hidden="1" customWidth="1" outlineLevel="1"/>
    <col min="27" max="27" width="12.5546875" style="66" hidden="1" customWidth="1" outlineLevel="1"/>
    <col min="28" max="33" width="9.109375" hidden="1" customWidth="1" outlineLevel="1"/>
    <col min="34" max="34" width="9.109375" collapsed="1"/>
  </cols>
  <sheetData>
    <row r="1" spans="1:33" ht="18" x14ac:dyDescent="0.35">
      <c r="A1" s="40" t="s">
        <v>471</v>
      </c>
    </row>
    <row r="2" spans="1:33" ht="18" x14ac:dyDescent="0.35">
      <c r="A2" s="40"/>
    </row>
    <row r="3" spans="1:33" ht="18" x14ac:dyDescent="0.35">
      <c r="A3" s="40"/>
    </row>
    <row r="4" spans="1:33" ht="18" x14ac:dyDescent="0.35">
      <c r="A4" s="40"/>
    </row>
    <row r="5" spans="1:33" ht="13.8" x14ac:dyDescent="0.3">
      <c r="E5" s="65" t="s">
        <v>434</v>
      </c>
      <c r="AA5" s="65" t="s">
        <v>434</v>
      </c>
      <c r="AF5" s="82" t="s">
        <v>435</v>
      </c>
      <c r="AG5" s="81"/>
    </row>
    <row r="6" spans="1:33" ht="13.8" x14ac:dyDescent="0.3">
      <c r="A6" s="101" t="s">
        <v>212</v>
      </c>
      <c r="B6" s="102" t="s">
        <v>472</v>
      </c>
      <c r="C6" s="103"/>
      <c r="D6" s="103"/>
      <c r="E6" s="104">
        <v>40543</v>
      </c>
      <c r="W6" s="101" t="s">
        <v>212</v>
      </c>
      <c r="X6" s="102" t="s">
        <v>472</v>
      </c>
      <c r="Y6" s="103"/>
      <c r="Z6" s="103"/>
      <c r="AA6" s="104">
        <v>40543</v>
      </c>
      <c r="AC6" s="67" t="s">
        <v>136</v>
      </c>
      <c r="AD6" s="68"/>
      <c r="AE6" s="68"/>
      <c r="AF6" s="42">
        <f>AVERAGE(Y$13:Y$51)</f>
        <v>14.324324324324325</v>
      </c>
      <c r="AG6" s="79"/>
    </row>
    <row r="7" spans="1:33" ht="14.4" thickBot="1" x14ac:dyDescent="0.35">
      <c r="A7" s="45" t="s">
        <v>431</v>
      </c>
      <c r="B7" s="46" t="s">
        <v>164</v>
      </c>
      <c r="C7" s="46">
        <v>18</v>
      </c>
      <c r="D7" s="46" t="s">
        <v>432</v>
      </c>
      <c r="E7" s="61">
        <f t="shared" ref="E7:E14" si="0">VLOOKUP($D7,$Q$7:$R$68,2,0)</f>
        <v>1</v>
      </c>
      <c r="F7" s="356"/>
      <c r="G7" s="57" t="s">
        <v>210</v>
      </c>
      <c r="H7" s="57" t="s">
        <v>134</v>
      </c>
      <c r="I7" s="57" t="s">
        <v>135</v>
      </c>
      <c r="N7" s="122"/>
      <c r="O7" s="122"/>
      <c r="Q7" s="93" t="s">
        <v>226</v>
      </c>
      <c r="R7" s="94">
        <v>0.84669359982989578</v>
      </c>
      <c r="S7" s="93" t="s">
        <v>203</v>
      </c>
      <c r="W7" s="45" t="s">
        <v>437</v>
      </c>
      <c r="X7" s="46" t="s">
        <v>139</v>
      </c>
      <c r="Y7" s="46">
        <v>16</v>
      </c>
      <c r="Z7" s="46" t="s">
        <v>438</v>
      </c>
      <c r="AA7" s="61" t="s">
        <v>423</v>
      </c>
      <c r="AC7" s="57" t="s">
        <v>210</v>
      </c>
      <c r="AD7" s="57" t="s">
        <v>134</v>
      </c>
      <c r="AE7" s="57" t="s">
        <v>135</v>
      </c>
      <c r="AG7" s="80"/>
    </row>
    <row r="8" spans="1:33" ht="13.8" x14ac:dyDescent="0.3">
      <c r="A8" s="37" t="s">
        <v>293</v>
      </c>
      <c r="B8" s="44" t="s">
        <v>166</v>
      </c>
      <c r="C8" s="44">
        <v>17</v>
      </c>
      <c r="D8" s="44" t="s">
        <v>294</v>
      </c>
      <c r="E8" s="60">
        <f t="shared" si="0"/>
        <v>0.92936836749527552</v>
      </c>
      <c r="F8" s="356"/>
      <c r="G8" s="37" t="s">
        <v>137</v>
      </c>
      <c r="H8" s="49">
        <f>COUNTIF(C$7:C$67,"&gt;16")</f>
        <v>4</v>
      </c>
      <c r="I8" s="50">
        <f>H8/H$14</f>
        <v>6.7796610169491525E-2</v>
      </c>
      <c r="K8" s="122"/>
      <c r="M8" s="122"/>
      <c r="N8" s="122"/>
      <c r="O8" s="122"/>
      <c r="Q8" s="93" t="s">
        <v>223</v>
      </c>
      <c r="R8" s="94">
        <v>0.96680210088197405</v>
      </c>
      <c r="S8" s="93" t="s">
        <v>203</v>
      </c>
      <c r="W8" s="45" t="s">
        <v>439</v>
      </c>
      <c r="X8" s="46" t="s">
        <v>139</v>
      </c>
      <c r="Y8" s="46">
        <v>16</v>
      </c>
      <c r="Z8" s="46" t="s">
        <v>440</v>
      </c>
      <c r="AA8" s="61" t="s">
        <v>423</v>
      </c>
      <c r="AC8" s="37" t="s">
        <v>137</v>
      </c>
      <c r="AD8" s="49">
        <f>COUNTIF(Y$13:Y$51,"&gt;16")</f>
        <v>3</v>
      </c>
      <c r="AE8" s="50">
        <f>AD8/AD$14</f>
        <v>8.1081081081081086E-2</v>
      </c>
      <c r="AG8" s="80"/>
    </row>
    <row r="9" spans="1:33" ht="13.8" x14ac:dyDescent="0.3">
      <c r="A9" s="45" t="s">
        <v>227</v>
      </c>
      <c r="B9" s="46" t="s">
        <v>139</v>
      </c>
      <c r="C9" s="46">
        <v>16</v>
      </c>
      <c r="D9" s="46" t="s">
        <v>228</v>
      </c>
      <c r="E9" s="61">
        <f t="shared" si="0"/>
        <v>0.89318320146074259</v>
      </c>
      <c r="F9" s="356"/>
      <c r="G9" s="37" t="s">
        <v>139</v>
      </c>
      <c r="H9" s="49">
        <f>COUNTIF(C$7:C$67,"=16")</f>
        <v>8</v>
      </c>
      <c r="I9" s="50">
        <f t="shared" ref="I9:I14" si="1">H9/H$14</f>
        <v>0.13559322033898305</v>
      </c>
      <c r="K9" s="122"/>
      <c r="M9" s="122"/>
      <c r="N9" s="122"/>
      <c r="O9" s="122"/>
      <c r="Q9" s="93" t="s">
        <v>441</v>
      </c>
      <c r="R9" s="94">
        <v>1</v>
      </c>
      <c r="S9" s="93" t="s">
        <v>203</v>
      </c>
      <c r="W9" s="37" t="s">
        <v>442</v>
      </c>
      <c r="X9" s="44" t="s">
        <v>140</v>
      </c>
      <c r="Y9" s="44">
        <v>15</v>
      </c>
      <c r="Z9" s="44" t="s">
        <v>443</v>
      </c>
      <c r="AA9" s="60" t="s">
        <v>423</v>
      </c>
      <c r="AC9" s="37" t="s">
        <v>139</v>
      </c>
      <c r="AD9" s="49">
        <f>COUNTIF(Y$13:Y$51,"=16")</f>
        <v>5</v>
      </c>
      <c r="AE9" s="50">
        <f t="shared" ref="AE9:AE14" si="2">AD9/AD$14</f>
        <v>0.13513513513513514</v>
      </c>
      <c r="AG9" s="80"/>
    </row>
    <row r="10" spans="1:33" ht="13.8" x14ac:dyDescent="0.3">
      <c r="A10" s="45" t="s">
        <v>361</v>
      </c>
      <c r="B10" s="46" t="s">
        <v>139</v>
      </c>
      <c r="C10" s="46">
        <v>16</v>
      </c>
      <c r="D10" s="46" t="s">
        <v>194</v>
      </c>
      <c r="E10" s="61">
        <f t="shared" si="0"/>
        <v>0.63157463237392464</v>
      </c>
      <c r="F10" s="356"/>
      <c r="G10" s="37" t="s">
        <v>140</v>
      </c>
      <c r="H10" s="49">
        <f>COUNTIF(C$7:C$67,"=15")</f>
        <v>14</v>
      </c>
      <c r="I10" s="50">
        <f t="shared" si="1"/>
        <v>0.23728813559322035</v>
      </c>
      <c r="K10" s="122"/>
      <c r="M10" s="122"/>
      <c r="N10" s="122"/>
      <c r="O10" s="122"/>
      <c r="Q10" s="93" t="s">
        <v>218</v>
      </c>
      <c r="R10" s="94">
        <v>0.91042888352305396</v>
      </c>
      <c r="S10" s="93" t="s">
        <v>203</v>
      </c>
      <c r="W10" s="37" t="s">
        <v>444</v>
      </c>
      <c r="X10" s="44" t="s">
        <v>140</v>
      </c>
      <c r="Y10" s="44">
        <v>15</v>
      </c>
      <c r="Z10" s="44" t="s">
        <v>445</v>
      </c>
      <c r="AA10" s="60" t="s">
        <v>423</v>
      </c>
      <c r="AC10" s="37" t="s">
        <v>140</v>
      </c>
      <c r="AD10" s="49">
        <f>COUNTIF(Y$13:Y$51,"=15")</f>
        <v>7</v>
      </c>
      <c r="AE10" s="50">
        <f t="shared" si="2"/>
        <v>0.1891891891891892</v>
      </c>
      <c r="AG10" s="80"/>
    </row>
    <row r="11" spans="1:33" ht="13.8" x14ac:dyDescent="0.3">
      <c r="A11" s="45" t="s">
        <v>259</v>
      </c>
      <c r="B11" s="46" t="s">
        <v>139</v>
      </c>
      <c r="C11" s="46">
        <v>16</v>
      </c>
      <c r="D11" s="46" t="s">
        <v>454</v>
      </c>
      <c r="E11" s="61">
        <f t="shared" si="0"/>
        <v>1</v>
      </c>
      <c r="F11" s="356"/>
      <c r="G11" s="37" t="s">
        <v>141</v>
      </c>
      <c r="H11" s="49">
        <f>COUNTIF(C$7:C$67,"=14")</f>
        <v>16</v>
      </c>
      <c r="I11" s="50">
        <f t="shared" si="1"/>
        <v>0.2711864406779661</v>
      </c>
      <c r="K11" s="122"/>
      <c r="M11" s="122"/>
      <c r="N11" s="122"/>
      <c r="O11" s="122"/>
      <c r="Q11" s="93" t="s">
        <v>239</v>
      </c>
      <c r="R11" s="94">
        <v>0.91095138568993894</v>
      </c>
      <c r="S11" s="93" t="s">
        <v>203</v>
      </c>
      <c r="W11" s="45" t="s">
        <v>446</v>
      </c>
      <c r="X11" s="46" t="s">
        <v>141</v>
      </c>
      <c r="Y11" s="46">
        <v>14</v>
      </c>
      <c r="Z11" s="46" t="s">
        <v>447</v>
      </c>
      <c r="AA11" s="61" t="s">
        <v>423</v>
      </c>
      <c r="AC11" s="37" t="s">
        <v>141</v>
      </c>
      <c r="AD11" s="49">
        <f>COUNTIF(Y$13:Y$51,"=14")</f>
        <v>13</v>
      </c>
      <c r="AE11" s="50">
        <f t="shared" si="2"/>
        <v>0.35135135135135137</v>
      </c>
      <c r="AG11" s="80"/>
    </row>
    <row r="12" spans="1:33" ht="13.8" x14ac:dyDescent="0.3">
      <c r="A12" s="45" t="s">
        <v>263</v>
      </c>
      <c r="B12" s="46" t="s">
        <v>139</v>
      </c>
      <c r="C12" s="46">
        <v>16</v>
      </c>
      <c r="D12" s="46" t="s">
        <v>264</v>
      </c>
      <c r="E12" s="61">
        <f t="shared" si="0"/>
        <v>0.76510407852428497</v>
      </c>
      <c r="F12" s="356"/>
      <c r="G12" s="37" t="s">
        <v>142</v>
      </c>
      <c r="H12" s="49">
        <f>COUNTIF(C$7:C$67,"=13")</f>
        <v>12</v>
      </c>
      <c r="I12" s="50">
        <f t="shared" si="1"/>
        <v>0.20338983050847459</v>
      </c>
      <c r="Q12" s="93" t="s">
        <v>448</v>
      </c>
      <c r="R12" s="94">
        <v>0.62875460562079877</v>
      </c>
      <c r="S12" s="93" t="s">
        <v>204</v>
      </c>
      <c r="W12" s="37" t="s">
        <v>449</v>
      </c>
      <c r="X12" s="44" t="s">
        <v>142</v>
      </c>
      <c r="Y12" s="44">
        <v>13</v>
      </c>
      <c r="Z12" s="44" t="s">
        <v>450</v>
      </c>
      <c r="AA12" s="60" t="s">
        <v>423</v>
      </c>
      <c r="AC12" s="37" t="s">
        <v>142</v>
      </c>
      <c r="AD12" s="49">
        <f>COUNTIF(Y$13:Y$51,"=13")</f>
        <v>5</v>
      </c>
      <c r="AE12" s="50">
        <f t="shared" si="2"/>
        <v>0.13513513513513514</v>
      </c>
      <c r="AG12" s="80"/>
    </row>
    <row r="13" spans="1:33" ht="14.4" thickBot="1" x14ac:dyDescent="0.35">
      <c r="A13" s="45" t="s">
        <v>460</v>
      </c>
      <c r="B13" s="46" t="s">
        <v>139</v>
      </c>
      <c r="C13" s="46">
        <v>16</v>
      </c>
      <c r="D13" s="46" t="s">
        <v>455</v>
      </c>
      <c r="E13" s="61">
        <f t="shared" si="0"/>
        <v>0.96341849943457658</v>
      </c>
      <c r="F13" s="356"/>
      <c r="G13" s="53" t="s">
        <v>143</v>
      </c>
      <c r="H13" s="55">
        <f>COUNTIF(C$7:C$67,"&lt;13")</f>
        <v>5</v>
      </c>
      <c r="I13" s="56">
        <f t="shared" si="1"/>
        <v>8.4745762711864403E-2</v>
      </c>
      <c r="Q13" s="93" t="s">
        <v>246</v>
      </c>
      <c r="R13" s="94">
        <v>0.68875112521618576</v>
      </c>
      <c r="S13" s="93" t="s">
        <v>204</v>
      </c>
      <c r="W13" s="45" t="s">
        <v>352</v>
      </c>
      <c r="X13" s="46" t="s">
        <v>141</v>
      </c>
      <c r="Y13" s="46">
        <v>14</v>
      </c>
      <c r="Z13" s="46" t="s">
        <v>353</v>
      </c>
      <c r="AA13" s="61">
        <v>1.0379329114785329</v>
      </c>
      <c r="AC13" s="53" t="s">
        <v>143</v>
      </c>
      <c r="AD13" s="55">
        <f>COUNTIF(Y$13:Y$51,"&lt;13")</f>
        <v>4</v>
      </c>
      <c r="AE13" s="56">
        <f t="shared" si="2"/>
        <v>0.10810810810810811</v>
      </c>
      <c r="AG13" s="80"/>
    </row>
    <row r="14" spans="1:33" ht="13.8" x14ac:dyDescent="0.3">
      <c r="A14" s="45" t="s">
        <v>240</v>
      </c>
      <c r="B14" s="46" t="s">
        <v>139</v>
      </c>
      <c r="C14" s="46">
        <v>16</v>
      </c>
      <c r="D14" s="46" t="s">
        <v>241</v>
      </c>
      <c r="E14" s="61">
        <f t="shared" si="0"/>
        <v>0.541533003736272</v>
      </c>
      <c r="F14" s="356"/>
      <c r="G14" s="41" t="s">
        <v>144</v>
      </c>
      <c r="H14" s="51">
        <f>SUM(H8:H13)</f>
        <v>59</v>
      </c>
      <c r="I14" s="52">
        <f t="shared" si="1"/>
        <v>1</v>
      </c>
      <c r="Q14" s="93" t="s">
        <v>451</v>
      </c>
      <c r="R14" s="94">
        <v>0.76017780502759058</v>
      </c>
      <c r="S14" s="93" t="s">
        <v>204</v>
      </c>
      <c r="W14" s="37" t="s">
        <v>367</v>
      </c>
      <c r="X14" s="44" t="s">
        <v>142</v>
      </c>
      <c r="Y14" s="44">
        <v>13</v>
      </c>
      <c r="Z14" s="44" t="s">
        <v>368</v>
      </c>
      <c r="AA14" s="60">
        <v>1.0292149475019923</v>
      </c>
      <c r="AC14" s="41" t="s">
        <v>144</v>
      </c>
      <c r="AD14" s="51">
        <f>SUM(AD8:AD13)</f>
        <v>37</v>
      </c>
      <c r="AE14" s="52">
        <f t="shared" si="2"/>
        <v>1</v>
      </c>
      <c r="AG14" s="80"/>
    </row>
    <row r="15" spans="1:33" ht="13.8" x14ac:dyDescent="0.3">
      <c r="A15" s="45" t="s">
        <v>345</v>
      </c>
      <c r="B15" s="46" t="s">
        <v>139</v>
      </c>
      <c r="C15" s="46">
        <v>16</v>
      </c>
      <c r="D15" s="46" t="s">
        <v>346</v>
      </c>
      <c r="E15" s="61">
        <f t="shared" ref="E15:E46" si="3">VLOOKUP($D15,$Q$7:$R$68,2,0)</f>
        <v>0.975461842272901</v>
      </c>
      <c r="F15" s="356"/>
      <c r="K15" s="5"/>
      <c r="Q15" s="93" t="s">
        <v>452</v>
      </c>
      <c r="R15" s="94">
        <v>0.33305692234682915</v>
      </c>
      <c r="S15" s="93" t="s">
        <v>194</v>
      </c>
      <c r="W15" s="45" t="s">
        <v>431</v>
      </c>
      <c r="X15" s="46" t="s">
        <v>164</v>
      </c>
      <c r="Y15" s="46">
        <v>18</v>
      </c>
      <c r="Z15" s="46" t="s">
        <v>432</v>
      </c>
      <c r="AA15" s="61">
        <v>1</v>
      </c>
      <c r="AG15" s="80"/>
    </row>
    <row r="16" spans="1:33" ht="13.8" x14ac:dyDescent="0.3">
      <c r="A16" s="45" t="s">
        <v>251</v>
      </c>
      <c r="B16" s="46" t="s">
        <v>139</v>
      </c>
      <c r="C16" s="46">
        <v>16</v>
      </c>
      <c r="D16" s="46" t="s">
        <v>252</v>
      </c>
      <c r="E16" s="61">
        <f t="shared" si="3"/>
        <v>0.94700000000000006</v>
      </c>
      <c r="F16" s="356"/>
      <c r="K16" s="5"/>
      <c r="Q16" s="93" t="s">
        <v>453</v>
      </c>
      <c r="R16" s="94">
        <v>0.89001113183270453</v>
      </c>
      <c r="S16" s="93" t="s">
        <v>203</v>
      </c>
      <c r="W16" s="45" t="s">
        <v>259</v>
      </c>
      <c r="X16" s="46" t="s">
        <v>139</v>
      </c>
      <c r="Y16" s="46">
        <v>16</v>
      </c>
      <c r="Z16" s="46" t="s">
        <v>454</v>
      </c>
      <c r="AA16" s="61">
        <v>1</v>
      </c>
      <c r="AG16" s="80"/>
    </row>
    <row r="17" spans="1:33" ht="13.8" x14ac:dyDescent="0.3">
      <c r="A17" s="37" t="s">
        <v>217</v>
      </c>
      <c r="B17" s="44" t="s">
        <v>140</v>
      </c>
      <c r="C17" s="44">
        <v>15</v>
      </c>
      <c r="D17" s="44" t="s">
        <v>218</v>
      </c>
      <c r="E17" s="60">
        <f t="shared" si="3"/>
        <v>0.91042888352305396</v>
      </c>
      <c r="F17" s="356"/>
      <c r="K17" s="5"/>
      <c r="Q17" s="93" t="s">
        <v>257</v>
      </c>
      <c r="R17" s="94">
        <v>0.89235399590163933</v>
      </c>
      <c r="S17" s="93" t="s">
        <v>203</v>
      </c>
      <c r="W17" s="45" t="s">
        <v>328</v>
      </c>
      <c r="X17" s="46" t="s">
        <v>141</v>
      </c>
      <c r="Y17" s="46">
        <v>14</v>
      </c>
      <c r="Z17" s="46" t="s">
        <v>331</v>
      </c>
      <c r="AA17" s="61">
        <v>1</v>
      </c>
      <c r="AC17" s="67" t="s">
        <v>145</v>
      </c>
      <c r="AD17" s="68"/>
      <c r="AE17" s="68"/>
      <c r="AF17" s="42">
        <f>AVERAGE(Y$52:Y$70)</f>
        <v>14.578947368421053</v>
      </c>
      <c r="AG17" s="79"/>
    </row>
    <row r="18" spans="1:33" ht="14.4" thickBot="1" x14ac:dyDescent="0.35">
      <c r="A18" s="37" t="s">
        <v>219</v>
      </c>
      <c r="B18" s="44" t="s">
        <v>140</v>
      </c>
      <c r="C18" s="44">
        <v>15</v>
      </c>
      <c r="D18" s="44" t="s">
        <v>220</v>
      </c>
      <c r="E18" s="60">
        <f t="shared" si="3"/>
        <v>0.86662573118314323</v>
      </c>
      <c r="F18" s="356"/>
      <c r="K18" s="5"/>
      <c r="Q18" s="93" t="s">
        <v>378</v>
      </c>
      <c r="R18" s="94">
        <v>0.91199977892108686</v>
      </c>
      <c r="S18" s="93" t="s">
        <v>203</v>
      </c>
      <c r="W18" s="45" t="s">
        <v>285</v>
      </c>
      <c r="X18" s="46" t="s">
        <v>141</v>
      </c>
      <c r="Y18" s="46">
        <v>14</v>
      </c>
      <c r="Z18" s="46" t="s">
        <v>286</v>
      </c>
      <c r="AA18" s="61">
        <v>1</v>
      </c>
      <c r="AC18" s="57" t="s">
        <v>210</v>
      </c>
      <c r="AD18" s="57" t="s">
        <v>134</v>
      </c>
      <c r="AE18" s="57" t="s">
        <v>135</v>
      </c>
      <c r="AG18" s="80"/>
    </row>
    <row r="19" spans="1:33" ht="13.8" x14ac:dyDescent="0.3">
      <c r="A19" s="37" t="s">
        <v>261</v>
      </c>
      <c r="B19" s="44" t="s">
        <v>140</v>
      </c>
      <c r="C19" s="44">
        <v>15</v>
      </c>
      <c r="D19" s="44" t="s">
        <v>262</v>
      </c>
      <c r="E19" s="69">
        <f t="shared" si="3"/>
        <v>0.81254016709511567</v>
      </c>
      <c r="F19" s="356"/>
      <c r="K19" s="5"/>
      <c r="Q19" s="93" t="s">
        <v>250</v>
      </c>
      <c r="R19" s="94">
        <v>0.71562826313957539</v>
      </c>
      <c r="S19" s="93" t="s">
        <v>204</v>
      </c>
      <c r="W19" s="45" t="s">
        <v>354</v>
      </c>
      <c r="X19" s="46" t="s">
        <v>141</v>
      </c>
      <c r="Y19" s="46">
        <v>14</v>
      </c>
      <c r="Z19" s="46" t="s">
        <v>355</v>
      </c>
      <c r="AA19" s="61">
        <v>1</v>
      </c>
      <c r="AC19" s="37" t="s">
        <v>137</v>
      </c>
      <c r="AD19" s="49">
        <f>COUNTIF(Y$52:Y$70,"&gt;16")</f>
        <v>1</v>
      </c>
      <c r="AE19" s="50">
        <f>AD19/AD$25</f>
        <v>5.2631578947368418E-2</v>
      </c>
      <c r="AG19" s="80"/>
    </row>
    <row r="20" spans="1:33" ht="13.8" x14ac:dyDescent="0.3">
      <c r="A20" s="37" t="s">
        <v>395</v>
      </c>
      <c r="B20" s="44" t="s">
        <v>140</v>
      </c>
      <c r="C20" s="44">
        <v>15</v>
      </c>
      <c r="D20" s="44" t="s">
        <v>396</v>
      </c>
      <c r="E20" s="60">
        <f t="shared" si="3"/>
        <v>0.83267459864721705</v>
      </c>
      <c r="F20" s="356"/>
      <c r="K20" s="5"/>
      <c r="Q20" s="93" t="s">
        <v>425</v>
      </c>
      <c r="R20" s="94">
        <v>0.99609846555590886</v>
      </c>
      <c r="S20" s="93" t="s">
        <v>203</v>
      </c>
      <c r="W20" s="37" t="s">
        <v>287</v>
      </c>
      <c r="X20" s="44" t="s">
        <v>142</v>
      </c>
      <c r="Y20" s="44">
        <v>13</v>
      </c>
      <c r="Z20" s="44" t="s">
        <v>441</v>
      </c>
      <c r="AA20" s="60">
        <v>1</v>
      </c>
      <c r="AC20" s="37" t="s">
        <v>139</v>
      </c>
      <c r="AD20" s="49">
        <f>COUNTIF(Y$52:Y$70,"=16")</f>
        <v>3</v>
      </c>
      <c r="AE20" s="50">
        <f t="shared" ref="AE20:AE25" si="4">AD20/AD$25</f>
        <v>0.15789473684210525</v>
      </c>
      <c r="AG20" s="80"/>
    </row>
    <row r="21" spans="1:33" ht="13.8" x14ac:dyDescent="0.3">
      <c r="A21" s="37" t="s">
        <v>271</v>
      </c>
      <c r="B21" s="44" t="s">
        <v>140</v>
      </c>
      <c r="C21" s="44">
        <v>15</v>
      </c>
      <c r="D21" s="44" t="s">
        <v>272</v>
      </c>
      <c r="E21" s="60">
        <f t="shared" si="3"/>
        <v>0.36101059894989318</v>
      </c>
      <c r="F21" s="356"/>
      <c r="Q21" s="93" t="s">
        <v>194</v>
      </c>
      <c r="R21" s="94">
        <v>0.63157463237392464</v>
      </c>
      <c r="S21" s="93" t="s">
        <v>204</v>
      </c>
      <c r="W21" s="37" t="s">
        <v>301</v>
      </c>
      <c r="X21" s="44" t="s">
        <v>140</v>
      </c>
      <c r="Y21" s="44">
        <v>15</v>
      </c>
      <c r="Z21" s="44" t="s">
        <v>302</v>
      </c>
      <c r="AA21" s="60">
        <v>0.99967409016838671</v>
      </c>
      <c r="AC21" s="37" t="s">
        <v>140</v>
      </c>
      <c r="AD21" s="49">
        <f>COUNTIF(Y$52:Y$70,"=15")</f>
        <v>6</v>
      </c>
      <c r="AE21" s="50">
        <f t="shared" si="4"/>
        <v>0.31578947368421051</v>
      </c>
      <c r="AG21" s="80"/>
    </row>
    <row r="22" spans="1:33" ht="13.8" x14ac:dyDescent="0.3">
      <c r="A22" s="37" t="s">
        <v>408</v>
      </c>
      <c r="B22" s="44" t="s">
        <v>140</v>
      </c>
      <c r="C22" s="44">
        <v>15</v>
      </c>
      <c r="D22" s="44" t="s">
        <v>451</v>
      </c>
      <c r="E22" s="60">
        <f t="shared" si="3"/>
        <v>0.76017780502759058</v>
      </c>
      <c r="F22" s="356"/>
      <c r="Q22" s="93" t="s">
        <v>454</v>
      </c>
      <c r="R22" s="94">
        <v>1</v>
      </c>
      <c r="S22" s="93" t="s">
        <v>203</v>
      </c>
      <c r="W22" s="37" t="s">
        <v>424</v>
      </c>
      <c r="X22" s="47" t="s">
        <v>423</v>
      </c>
      <c r="Y22" s="47"/>
      <c r="Z22" s="44" t="s">
        <v>425</v>
      </c>
      <c r="AA22" s="69">
        <v>0.99609846555590886</v>
      </c>
      <c r="AC22" s="37" t="s">
        <v>141</v>
      </c>
      <c r="AD22" s="49">
        <f>COUNTIF(Y$52:Y$70,"=14")</f>
        <v>3</v>
      </c>
      <c r="AE22" s="50">
        <f t="shared" si="4"/>
        <v>0.15789473684210525</v>
      </c>
      <c r="AG22" s="80"/>
    </row>
    <row r="23" spans="1:33" ht="13.8" x14ac:dyDescent="0.3">
      <c r="A23" s="37" t="s">
        <v>277</v>
      </c>
      <c r="B23" s="44" t="s">
        <v>140</v>
      </c>
      <c r="C23" s="44">
        <v>15</v>
      </c>
      <c r="D23" s="44" t="s">
        <v>278</v>
      </c>
      <c r="E23" s="60">
        <f t="shared" si="3"/>
        <v>0.76907329412838532</v>
      </c>
      <c r="F23" s="356"/>
      <c r="Q23" s="93" t="s">
        <v>262</v>
      </c>
      <c r="R23" s="94">
        <v>0.81254016709511567</v>
      </c>
      <c r="S23" s="93" t="s">
        <v>203</v>
      </c>
      <c r="W23" s="45" t="s">
        <v>297</v>
      </c>
      <c r="X23" s="46" t="s">
        <v>141</v>
      </c>
      <c r="Y23" s="46">
        <v>14</v>
      </c>
      <c r="Z23" s="46" t="s">
        <v>298</v>
      </c>
      <c r="AA23" s="61">
        <v>0.99569209153466032</v>
      </c>
      <c r="AC23" s="37" t="s">
        <v>142</v>
      </c>
      <c r="AD23" s="49">
        <f>COUNTIF(Y$52:Y$70,"=13")</f>
        <v>6</v>
      </c>
      <c r="AE23" s="50">
        <f t="shared" si="4"/>
        <v>0.31578947368421051</v>
      </c>
      <c r="AG23" s="80"/>
    </row>
    <row r="24" spans="1:33" ht="14.4" thickBot="1" x14ac:dyDescent="0.35">
      <c r="A24" s="37" t="s">
        <v>382</v>
      </c>
      <c r="B24" s="44" t="s">
        <v>140</v>
      </c>
      <c r="C24" s="44">
        <v>15</v>
      </c>
      <c r="D24" s="44" t="s">
        <v>383</v>
      </c>
      <c r="E24" s="69">
        <f t="shared" si="3"/>
        <v>0.73349447513812149</v>
      </c>
      <c r="F24" s="356"/>
      <c r="Q24" s="93" t="s">
        <v>264</v>
      </c>
      <c r="R24" s="94">
        <v>0.76510407852428497</v>
      </c>
      <c r="S24" s="93" t="s">
        <v>204</v>
      </c>
      <c r="W24" s="95" t="s">
        <v>411</v>
      </c>
      <c r="X24" s="96" t="s">
        <v>173</v>
      </c>
      <c r="Y24" s="96">
        <v>12</v>
      </c>
      <c r="Z24" s="96" t="s">
        <v>412</v>
      </c>
      <c r="AA24" s="97">
        <v>0.99533285779852521</v>
      </c>
      <c r="AC24" s="53" t="s">
        <v>143</v>
      </c>
      <c r="AD24" s="55">
        <f>COUNTIF(Y$52:Y$70,"&lt;13")</f>
        <v>0</v>
      </c>
      <c r="AE24" s="56">
        <f t="shared" si="4"/>
        <v>0</v>
      </c>
      <c r="AG24" s="80"/>
    </row>
    <row r="25" spans="1:33" ht="13.8" x14ac:dyDescent="0.3">
      <c r="A25" s="37" t="s">
        <v>301</v>
      </c>
      <c r="B25" s="44" t="s">
        <v>140</v>
      </c>
      <c r="C25" s="44">
        <v>15</v>
      </c>
      <c r="D25" s="44" t="s">
        <v>302</v>
      </c>
      <c r="E25" s="60">
        <f t="shared" si="3"/>
        <v>0.99967409016838671</v>
      </c>
      <c r="F25" s="356"/>
      <c r="Q25" s="93" t="s">
        <v>455</v>
      </c>
      <c r="R25" s="94">
        <v>0.96341849943457658</v>
      </c>
      <c r="S25" s="93" t="s">
        <v>203</v>
      </c>
      <c r="W25" s="45" t="s">
        <v>305</v>
      </c>
      <c r="X25" s="46" t="s">
        <v>173</v>
      </c>
      <c r="Y25" s="46">
        <v>12</v>
      </c>
      <c r="Z25" s="46" t="s">
        <v>456</v>
      </c>
      <c r="AA25" s="61">
        <v>0.99461817608484948</v>
      </c>
      <c r="AC25" s="41" t="s">
        <v>144</v>
      </c>
      <c r="AD25" s="51">
        <f>SUM(AD19:AD24)</f>
        <v>19</v>
      </c>
      <c r="AE25" s="52">
        <f t="shared" si="4"/>
        <v>1</v>
      </c>
      <c r="AG25" s="80"/>
    </row>
    <row r="26" spans="1:33" ht="13.8" x14ac:dyDescent="0.3">
      <c r="A26" s="37" t="s">
        <v>243</v>
      </c>
      <c r="B26" s="44" t="s">
        <v>140</v>
      </c>
      <c r="C26" s="44">
        <v>15</v>
      </c>
      <c r="D26" s="44" t="s">
        <v>244</v>
      </c>
      <c r="E26" s="69">
        <f t="shared" si="3"/>
        <v>0.61841824770837783</v>
      </c>
      <c r="F26" s="356"/>
      <c r="Q26" s="93" t="s">
        <v>228</v>
      </c>
      <c r="R26" s="94">
        <v>0.89318320146074259</v>
      </c>
      <c r="S26" s="93" t="s">
        <v>203</v>
      </c>
      <c r="W26" s="37" t="s">
        <v>281</v>
      </c>
      <c r="X26" s="44" t="s">
        <v>142</v>
      </c>
      <c r="Y26" s="44">
        <v>13</v>
      </c>
      <c r="Z26" s="44" t="s">
        <v>282</v>
      </c>
      <c r="AA26" s="60">
        <v>0.99126425624848336</v>
      </c>
      <c r="AG26" s="80"/>
    </row>
    <row r="27" spans="1:33" ht="13.8" x14ac:dyDescent="0.3">
      <c r="A27" s="37" t="s">
        <v>427</v>
      </c>
      <c r="B27" s="44" t="s">
        <v>140</v>
      </c>
      <c r="C27" s="44">
        <v>15</v>
      </c>
      <c r="D27" s="44" t="s">
        <v>428</v>
      </c>
      <c r="E27" s="60">
        <f t="shared" si="3"/>
        <v>0.85816623707026407</v>
      </c>
      <c r="F27" s="356"/>
      <c r="Q27" s="93" t="s">
        <v>368</v>
      </c>
      <c r="R27" s="94">
        <v>1.0292149475019923</v>
      </c>
      <c r="S27" s="93" t="s">
        <v>203</v>
      </c>
      <c r="W27" s="45" t="s">
        <v>389</v>
      </c>
      <c r="X27" s="46" t="s">
        <v>141</v>
      </c>
      <c r="Y27" s="46">
        <v>14</v>
      </c>
      <c r="Z27" s="46" t="s">
        <v>390</v>
      </c>
      <c r="AA27" s="61">
        <v>0.98872477714287255</v>
      </c>
      <c r="AG27" s="80"/>
    </row>
    <row r="28" spans="1:33" ht="13.8" x14ac:dyDescent="0.3">
      <c r="A28" s="37" t="s">
        <v>347</v>
      </c>
      <c r="B28" s="44" t="s">
        <v>140</v>
      </c>
      <c r="C28" s="44">
        <v>15</v>
      </c>
      <c r="D28" s="44" t="s">
        <v>348</v>
      </c>
      <c r="E28" s="60">
        <f t="shared" si="3"/>
        <v>0.77444478716841458</v>
      </c>
      <c r="F28" s="356"/>
      <c r="Q28" s="93" t="s">
        <v>331</v>
      </c>
      <c r="R28" s="94">
        <v>1</v>
      </c>
      <c r="S28" s="93" t="s">
        <v>203</v>
      </c>
      <c r="W28" s="37" t="s">
        <v>295</v>
      </c>
      <c r="X28" s="47" t="s">
        <v>423</v>
      </c>
      <c r="Y28" s="47"/>
      <c r="Z28" s="47" t="s">
        <v>296</v>
      </c>
      <c r="AA28" s="62">
        <v>0.98538704581358605</v>
      </c>
      <c r="AC28" s="67" t="s">
        <v>147</v>
      </c>
      <c r="AD28" s="68"/>
      <c r="AE28" s="68"/>
      <c r="AF28" s="42">
        <f>AVERAGE(Y$71:Y$74)</f>
        <v>11.75</v>
      </c>
      <c r="AG28" s="79"/>
    </row>
    <row r="29" spans="1:33" ht="14.4" thickBot="1" x14ac:dyDescent="0.35">
      <c r="A29" s="37" t="s">
        <v>291</v>
      </c>
      <c r="B29" s="44" t="s">
        <v>140</v>
      </c>
      <c r="C29" s="44">
        <v>15</v>
      </c>
      <c r="D29" s="44" t="s">
        <v>292</v>
      </c>
      <c r="E29" s="60">
        <f t="shared" si="3"/>
        <v>0.66251692368655679</v>
      </c>
      <c r="F29" s="356"/>
      <c r="Q29" s="93" t="s">
        <v>457</v>
      </c>
      <c r="R29" s="94">
        <v>0.11951366732775717</v>
      </c>
      <c r="S29" s="93" t="s">
        <v>194</v>
      </c>
      <c r="W29" s="45" t="s">
        <v>283</v>
      </c>
      <c r="X29" s="46" t="s">
        <v>141</v>
      </c>
      <c r="Y29" s="46">
        <v>14</v>
      </c>
      <c r="Z29" s="46" t="s">
        <v>284</v>
      </c>
      <c r="AA29" s="61">
        <v>0.97697589100213744</v>
      </c>
      <c r="AC29" s="57" t="s">
        <v>210</v>
      </c>
      <c r="AD29" s="57" t="s">
        <v>134</v>
      </c>
      <c r="AE29" s="57" t="s">
        <v>135</v>
      </c>
    </row>
    <row r="30" spans="1:33" ht="13.8" x14ac:dyDescent="0.3">
      <c r="A30" s="37" t="s">
        <v>247</v>
      </c>
      <c r="B30" s="44" t="s">
        <v>140</v>
      </c>
      <c r="C30" s="44">
        <v>15</v>
      </c>
      <c r="D30" s="44" t="s">
        <v>248</v>
      </c>
      <c r="E30" s="60">
        <f t="shared" si="3"/>
        <v>0.91865112788863534</v>
      </c>
      <c r="F30" s="356"/>
      <c r="Q30" s="93" t="s">
        <v>266</v>
      </c>
      <c r="R30" s="94">
        <v>0.7886228860092247</v>
      </c>
      <c r="S30" s="93" t="s">
        <v>204</v>
      </c>
      <c r="W30" s="45" t="s">
        <v>345</v>
      </c>
      <c r="X30" s="46" t="s">
        <v>139</v>
      </c>
      <c r="Y30" s="46">
        <v>16</v>
      </c>
      <c r="Z30" s="46" t="s">
        <v>346</v>
      </c>
      <c r="AA30" s="61">
        <v>0.975461842272901</v>
      </c>
      <c r="AC30" s="37" t="s">
        <v>137</v>
      </c>
      <c r="AD30" s="49">
        <f>COUNTIF(Y$71:Y$74,"&gt;16")</f>
        <v>0</v>
      </c>
      <c r="AE30" s="50">
        <f>AD30/AD$36</f>
        <v>0</v>
      </c>
    </row>
    <row r="31" spans="1:33" ht="13.8" x14ac:dyDescent="0.3">
      <c r="A31" s="45" t="s">
        <v>222</v>
      </c>
      <c r="B31" s="46" t="s">
        <v>141</v>
      </c>
      <c r="C31" s="46">
        <v>14</v>
      </c>
      <c r="D31" s="46" t="s">
        <v>223</v>
      </c>
      <c r="E31" s="61">
        <f t="shared" si="3"/>
        <v>0.96680210088197405</v>
      </c>
      <c r="F31" s="356"/>
      <c r="K31" s="122"/>
      <c r="L31" s="122"/>
      <c r="Q31" s="93" t="s">
        <v>268</v>
      </c>
      <c r="R31" s="94">
        <v>0.80341264723043471</v>
      </c>
      <c r="S31" s="93" t="s">
        <v>203</v>
      </c>
      <c r="W31" s="45" t="s">
        <v>458</v>
      </c>
      <c r="X31" s="46" t="s">
        <v>173</v>
      </c>
      <c r="Y31" s="46">
        <v>12</v>
      </c>
      <c r="Z31" s="46" t="s">
        <v>459</v>
      </c>
      <c r="AA31" s="61">
        <v>0.97036252976978032</v>
      </c>
      <c r="AC31" s="37" t="s">
        <v>139</v>
      </c>
      <c r="AD31" s="49">
        <f>COUNTIF(Y$71:Y$74,"=16")</f>
        <v>0</v>
      </c>
      <c r="AE31" s="50">
        <f t="shared" ref="AE31:AE36" si="5">AD31/AD$36</f>
        <v>0</v>
      </c>
    </row>
    <row r="32" spans="1:33" ht="13.8" x14ac:dyDescent="0.3">
      <c r="A32" s="95" t="s">
        <v>238</v>
      </c>
      <c r="B32" s="96" t="s">
        <v>141</v>
      </c>
      <c r="C32" s="96">
        <v>14</v>
      </c>
      <c r="D32" s="96" t="s">
        <v>239</v>
      </c>
      <c r="E32" s="97">
        <f t="shared" si="3"/>
        <v>0.91095138568993894</v>
      </c>
      <c r="F32" s="356"/>
      <c r="L32" s="122"/>
      <c r="Q32" s="93" t="s">
        <v>270</v>
      </c>
      <c r="R32" s="94">
        <v>0.58646630934150079</v>
      </c>
      <c r="S32" s="93" t="s">
        <v>204</v>
      </c>
      <c r="W32" s="45" t="s">
        <v>222</v>
      </c>
      <c r="X32" s="46" t="s">
        <v>141</v>
      </c>
      <c r="Y32" s="46">
        <v>14</v>
      </c>
      <c r="Z32" s="46" t="s">
        <v>223</v>
      </c>
      <c r="AA32" s="61">
        <v>0.96680210088197405</v>
      </c>
      <c r="AC32" s="37" t="s">
        <v>140</v>
      </c>
      <c r="AD32" s="49">
        <f>COUNTIF(Y$71:Y$74,"=15")</f>
        <v>1</v>
      </c>
      <c r="AE32" s="50">
        <f t="shared" si="5"/>
        <v>0.25</v>
      </c>
    </row>
    <row r="33" spans="1:31" ht="13.8" x14ac:dyDescent="0.3">
      <c r="A33" s="45" t="s">
        <v>249</v>
      </c>
      <c r="B33" s="46" t="s">
        <v>141</v>
      </c>
      <c r="C33" s="46">
        <v>14</v>
      </c>
      <c r="D33" s="46" t="s">
        <v>250</v>
      </c>
      <c r="E33" s="61">
        <f t="shared" si="3"/>
        <v>0.71562826313957539</v>
      </c>
      <c r="F33" s="356"/>
      <c r="L33" s="122"/>
      <c r="Q33" s="93" t="s">
        <v>276</v>
      </c>
      <c r="R33" s="94">
        <v>0.64970550208303401</v>
      </c>
      <c r="S33" s="93" t="s">
        <v>204</v>
      </c>
      <c r="W33" s="45" t="s">
        <v>460</v>
      </c>
      <c r="X33" s="46" t="s">
        <v>139</v>
      </c>
      <c r="Y33" s="46">
        <v>16</v>
      </c>
      <c r="Z33" s="46" t="s">
        <v>455</v>
      </c>
      <c r="AA33" s="61">
        <v>0.96341849943457658</v>
      </c>
      <c r="AC33" s="37" t="s">
        <v>141</v>
      </c>
      <c r="AD33" s="49">
        <f>COUNTIF(Y$71:Y$74,"=14")</f>
        <v>0</v>
      </c>
      <c r="AE33" s="50">
        <f t="shared" si="5"/>
        <v>0</v>
      </c>
    </row>
    <row r="34" spans="1:31" ht="13.8" x14ac:dyDescent="0.3">
      <c r="A34" s="45" t="s">
        <v>254</v>
      </c>
      <c r="B34" s="46" t="s">
        <v>141</v>
      </c>
      <c r="C34" s="46">
        <v>14</v>
      </c>
      <c r="D34" s="46" t="s">
        <v>378</v>
      </c>
      <c r="E34" s="61">
        <f t="shared" si="3"/>
        <v>0.91199977892108686</v>
      </c>
      <c r="F34" s="356"/>
      <c r="L34" s="122"/>
      <c r="Q34" s="93" t="s">
        <v>353</v>
      </c>
      <c r="R34" s="94">
        <v>1.0379329114785329</v>
      </c>
      <c r="S34" s="93" t="s">
        <v>203</v>
      </c>
      <c r="W34" s="45" t="s">
        <v>394</v>
      </c>
      <c r="X34" s="46" t="s">
        <v>141</v>
      </c>
      <c r="Y34" s="46">
        <v>14</v>
      </c>
      <c r="Z34" s="46" t="s">
        <v>236</v>
      </c>
      <c r="AA34" s="61">
        <v>0.95294725244456668</v>
      </c>
      <c r="AC34" s="37" t="s">
        <v>142</v>
      </c>
      <c r="AD34" s="49">
        <f>COUNTIF(Y$71:Y$74,"=13")</f>
        <v>2</v>
      </c>
      <c r="AE34" s="50">
        <f t="shared" si="5"/>
        <v>0.5</v>
      </c>
    </row>
    <row r="35" spans="1:31" ht="14.4" thickBot="1" x14ac:dyDescent="0.35">
      <c r="A35" s="45" t="s">
        <v>328</v>
      </c>
      <c r="B35" s="46" t="s">
        <v>141</v>
      </c>
      <c r="C35" s="46">
        <v>14</v>
      </c>
      <c r="D35" s="46" t="s">
        <v>331</v>
      </c>
      <c r="E35" s="61">
        <f t="shared" si="3"/>
        <v>1</v>
      </c>
      <c r="F35" s="356"/>
      <c r="G35" s="49" t="s">
        <v>373</v>
      </c>
      <c r="L35" s="122"/>
      <c r="Q35" s="93" t="s">
        <v>280</v>
      </c>
      <c r="R35" s="94">
        <v>0.47637430521244206</v>
      </c>
      <c r="S35" s="93" t="s">
        <v>194</v>
      </c>
      <c r="W35" s="45" t="s">
        <v>251</v>
      </c>
      <c r="X35" s="46" t="s">
        <v>139</v>
      </c>
      <c r="Y35" s="46">
        <v>16</v>
      </c>
      <c r="Z35" s="46" t="s">
        <v>252</v>
      </c>
      <c r="AA35" s="61">
        <v>0.94700000000000006</v>
      </c>
      <c r="AC35" s="53" t="s">
        <v>143</v>
      </c>
      <c r="AD35" s="55">
        <f>COUNTIF(Y$71:Y$74,"&lt;13")</f>
        <v>1</v>
      </c>
      <c r="AE35" s="56">
        <f t="shared" si="5"/>
        <v>0.25</v>
      </c>
    </row>
    <row r="36" spans="1:31" ht="13.8" x14ac:dyDescent="0.3">
      <c r="A36" s="45" t="s">
        <v>267</v>
      </c>
      <c r="B36" s="46" t="s">
        <v>141</v>
      </c>
      <c r="C36" s="46">
        <v>14</v>
      </c>
      <c r="D36" s="46" t="s">
        <v>268</v>
      </c>
      <c r="E36" s="61">
        <f t="shared" si="3"/>
        <v>0.80341264723043471</v>
      </c>
      <c r="F36" s="356"/>
      <c r="G36" s="92"/>
      <c r="H36" s="7"/>
      <c r="I36" s="7"/>
      <c r="L36" s="122"/>
      <c r="Q36" s="93" t="s">
        <v>284</v>
      </c>
      <c r="R36" s="94">
        <v>0.97697589100213744</v>
      </c>
      <c r="S36" s="93" t="s">
        <v>203</v>
      </c>
      <c r="W36" s="45" t="s">
        <v>369</v>
      </c>
      <c r="X36" s="46" t="s">
        <v>141</v>
      </c>
      <c r="Y36" s="46">
        <v>14</v>
      </c>
      <c r="Z36" s="46" t="s">
        <v>375</v>
      </c>
      <c r="AA36" s="61">
        <v>0.93843994106691131</v>
      </c>
      <c r="AC36" s="41" t="s">
        <v>144</v>
      </c>
      <c r="AD36" s="51">
        <f>SUM(AD30:AD35)</f>
        <v>4</v>
      </c>
      <c r="AE36" s="52">
        <f t="shared" si="5"/>
        <v>1</v>
      </c>
    </row>
    <row r="37" spans="1:31" ht="13.8" x14ac:dyDescent="0.3">
      <c r="A37" s="45" t="s">
        <v>269</v>
      </c>
      <c r="B37" s="46" t="s">
        <v>141</v>
      </c>
      <c r="C37" s="46">
        <v>14</v>
      </c>
      <c r="D37" s="46" t="s">
        <v>270</v>
      </c>
      <c r="E37" s="61">
        <f t="shared" si="3"/>
        <v>0.58646630934150079</v>
      </c>
      <c r="F37" s="356"/>
      <c r="H37" s="5"/>
      <c r="J37" s="7"/>
      <c r="Q37" s="93" t="s">
        <v>220</v>
      </c>
      <c r="R37" s="94">
        <v>0.86662573118314323</v>
      </c>
      <c r="S37" s="93" t="s">
        <v>203</v>
      </c>
      <c r="W37" s="45" t="s">
        <v>303</v>
      </c>
      <c r="X37" s="46" t="s">
        <v>177</v>
      </c>
      <c r="Y37" s="46">
        <v>10</v>
      </c>
      <c r="Z37" s="46" t="s">
        <v>304</v>
      </c>
      <c r="AA37" s="61">
        <v>0.93520619672453054</v>
      </c>
    </row>
    <row r="38" spans="1:31" ht="13.8" x14ac:dyDescent="0.3">
      <c r="A38" s="45" t="s">
        <v>352</v>
      </c>
      <c r="B38" s="46" t="s">
        <v>141</v>
      </c>
      <c r="C38" s="46">
        <v>14</v>
      </c>
      <c r="D38" s="46" t="s">
        <v>353</v>
      </c>
      <c r="E38" s="61">
        <f t="shared" si="3"/>
        <v>1.0379329114785329</v>
      </c>
      <c r="F38" s="356"/>
      <c r="H38" s="5"/>
      <c r="J38" s="8"/>
      <c r="Q38" s="93" t="s">
        <v>272</v>
      </c>
      <c r="R38" s="94">
        <v>0.36101059894989318</v>
      </c>
      <c r="S38" s="93" t="s">
        <v>194</v>
      </c>
      <c r="W38" s="37" t="s">
        <v>293</v>
      </c>
      <c r="X38" s="44" t="s">
        <v>166</v>
      </c>
      <c r="Y38" s="44">
        <v>17</v>
      </c>
      <c r="Z38" s="44" t="s">
        <v>294</v>
      </c>
      <c r="AA38" s="60">
        <v>0.92936836749527552</v>
      </c>
    </row>
    <row r="39" spans="1:31" ht="13.8" x14ac:dyDescent="0.3">
      <c r="A39" s="45" t="s">
        <v>283</v>
      </c>
      <c r="B39" s="46" t="s">
        <v>141</v>
      </c>
      <c r="C39" s="46">
        <v>14</v>
      </c>
      <c r="D39" s="46" t="s">
        <v>284</v>
      </c>
      <c r="E39" s="61">
        <f t="shared" si="3"/>
        <v>0.97697589100213744</v>
      </c>
      <c r="F39" s="356"/>
      <c r="H39" s="5"/>
      <c r="J39" s="8"/>
      <c r="Q39" s="93" t="s">
        <v>461</v>
      </c>
      <c r="R39" s="94">
        <v>0.78418126509511765</v>
      </c>
      <c r="S39" s="93" t="s">
        <v>204</v>
      </c>
      <c r="W39" s="37" t="s">
        <v>247</v>
      </c>
      <c r="X39" s="44" t="s">
        <v>140</v>
      </c>
      <c r="Y39" s="44">
        <v>15</v>
      </c>
      <c r="Z39" s="44" t="s">
        <v>248</v>
      </c>
      <c r="AA39" s="60">
        <v>0.91865112788863534</v>
      </c>
    </row>
    <row r="40" spans="1:31" ht="13.8" x14ac:dyDescent="0.3">
      <c r="A40" s="45" t="s">
        <v>394</v>
      </c>
      <c r="B40" s="46" t="s">
        <v>141</v>
      </c>
      <c r="C40" s="46">
        <v>14</v>
      </c>
      <c r="D40" s="46" t="s">
        <v>236</v>
      </c>
      <c r="E40" s="61">
        <f t="shared" si="3"/>
        <v>0.95294725244456668</v>
      </c>
      <c r="F40" s="356"/>
      <c r="H40" s="5"/>
      <c r="J40" s="8"/>
      <c r="Q40" s="93" t="s">
        <v>241</v>
      </c>
      <c r="R40" s="94">
        <v>0.541533003736272</v>
      </c>
      <c r="S40" s="93" t="s">
        <v>204</v>
      </c>
      <c r="W40" s="45" t="s">
        <v>254</v>
      </c>
      <c r="X40" s="46" t="s">
        <v>141</v>
      </c>
      <c r="Y40" s="46">
        <v>14</v>
      </c>
      <c r="Z40" s="46" t="s">
        <v>378</v>
      </c>
      <c r="AA40" s="61">
        <v>0.91199977892108686</v>
      </c>
    </row>
    <row r="41" spans="1:31" ht="13.8" x14ac:dyDescent="0.3">
      <c r="A41" s="45" t="s">
        <v>297</v>
      </c>
      <c r="B41" s="46" t="s">
        <v>141</v>
      </c>
      <c r="C41" s="46">
        <v>14</v>
      </c>
      <c r="D41" s="46" t="s">
        <v>298</v>
      </c>
      <c r="E41" s="61">
        <f t="shared" si="3"/>
        <v>0.99569209153466032</v>
      </c>
      <c r="F41" s="356"/>
      <c r="H41" s="5"/>
      <c r="J41" s="8"/>
      <c r="Q41" s="93" t="s">
        <v>274</v>
      </c>
      <c r="R41" s="94">
        <v>0.57845507252191697</v>
      </c>
      <c r="S41" s="93" t="s">
        <v>204</v>
      </c>
      <c r="W41" s="95" t="s">
        <v>238</v>
      </c>
      <c r="X41" s="96" t="s">
        <v>141</v>
      </c>
      <c r="Y41" s="96">
        <v>14</v>
      </c>
      <c r="Z41" s="96" t="s">
        <v>239</v>
      </c>
      <c r="AA41" s="97">
        <v>0.91095138568993894</v>
      </c>
    </row>
    <row r="42" spans="1:31" ht="13.8" x14ac:dyDescent="0.3">
      <c r="A42" s="45" t="s">
        <v>285</v>
      </c>
      <c r="B42" s="46" t="s">
        <v>141</v>
      </c>
      <c r="C42" s="46">
        <v>14</v>
      </c>
      <c r="D42" s="46" t="s">
        <v>286</v>
      </c>
      <c r="E42" s="61">
        <f t="shared" si="3"/>
        <v>1</v>
      </c>
      <c r="F42" s="356"/>
      <c r="H42" s="5"/>
      <c r="J42" s="8"/>
      <c r="Q42" s="93" t="s">
        <v>432</v>
      </c>
      <c r="R42" s="94">
        <v>1</v>
      </c>
      <c r="S42" s="93" t="s">
        <v>203</v>
      </c>
      <c r="W42" s="37" t="s">
        <v>217</v>
      </c>
      <c r="X42" s="44" t="s">
        <v>140</v>
      </c>
      <c r="Y42" s="44">
        <v>15</v>
      </c>
      <c r="Z42" s="44" t="s">
        <v>218</v>
      </c>
      <c r="AA42" s="60">
        <v>0.91042888352305396</v>
      </c>
    </row>
    <row r="43" spans="1:31" ht="13.8" x14ac:dyDescent="0.3">
      <c r="A43" s="45" t="s">
        <v>289</v>
      </c>
      <c r="B43" s="46" t="s">
        <v>141</v>
      </c>
      <c r="C43" s="46">
        <v>14</v>
      </c>
      <c r="D43" s="46" t="s">
        <v>290</v>
      </c>
      <c r="E43" s="61">
        <f t="shared" si="3"/>
        <v>0.5641445718679996</v>
      </c>
      <c r="F43" s="356"/>
      <c r="Q43" s="93" t="s">
        <v>236</v>
      </c>
      <c r="R43" s="94">
        <v>0.95294725244456668</v>
      </c>
      <c r="S43" s="93" t="s">
        <v>203</v>
      </c>
      <c r="W43" s="45" t="s">
        <v>227</v>
      </c>
      <c r="X43" s="46" t="s">
        <v>139</v>
      </c>
      <c r="Y43" s="46">
        <v>16</v>
      </c>
      <c r="Z43" s="46" t="s">
        <v>228</v>
      </c>
      <c r="AA43" s="61">
        <v>0.89318320146074259</v>
      </c>
    </row>
    <row r="44" spans="1:31" ht="13.8" x14ac:dyDescent="0.3">
      <c r="A44" s="45" t="s">
        <v>369</v>
      </c>
      <c r="B44" s="46" t="s">
        <v>141</v>
      </c>
      <c r="C44" s="46">
        <v>14</v>
      </c>
      <c r="D44" s="46" t="s">
        <v>375</v>
      </c>
      <c r="E44" s="61">
        <f t="shared" si="3"/>
        <v>0.93843994106691131</v>
      </c>
      <c r="F44" s="356"/>
      <c r="Q44" s="93" t="s">
        <v>412</v>
      </c>
      <c r="R44" s="94">
        <v>0.99533285779852521</v>
      </c>
      <c r="S44" s="93" t="s">
        <v>203</v>
      </c>
      <c r="W44" s="37" t="s">
        <v>256</v>
      </c>
      <c r="X44" s="44" t="s">
        <v>142</v>
      </c>
      <c r="Y44" s="44">
        <v>13</v>
      </c>
      <c r="Z44" s="44" t="s">
        <v>257</v>
      </c>
      <c r="AA44" s="60">
        <v>0.89235399590163933</v>
      </c>
    </row>
    <row r="45" spans="1:31" ht="13.8" x14ac:dyDescent="0.3">
      <c r="A45" s="45" t="s">
        <v>389</v>
      </c>
      <c r="B45" s="46" t="s">
        <v>141</v>
      </c>
      <c r="C45" s="46">
        <v>14</v>
      </c>
      <c r="D45" s="46" t="s">
        <v>390</v>
      </c>
      <c r="E45" s="61">
        <f t="shared" si="3"/>
        <v>0.98872477714287255</v>
      </c>
      <c r="F45" s="356"/>
      <c r="Q45" s="93" t="s">
        <v>298</v>
      </c>
      <c r="R45" s="94">
        <v>0.99569209153466032</v>
      </c>
      <c r="S45" s="93" t="s">
        <v>203</v>
      </c>
      <c r="W45" s="37" t="s">
        <v>462</v>
      </c>
      <c r="X45" s="44" t="s">
        <v>166</v>
      </c>
      <c r="Y45" s="44">
        <v>17</v>
      </c>
      <c r="Z45" s="44" t="s">
        <v>453</v>
      </c>
      <c r="AA45" s="60">
        <v>0.89001113183270453</v>
      </c>
    </row>
    <row r="46" spans="1:31" ht="13.8" x14ac:dyDescent="0.3">
      <c r="A46" s="45" t="s">
        <v>354</v>
      </c>
      <c r="B46" s="46" t="s">
        <v>141</v>
      </c>
      <c r="C46" s="46">
        <v>14</v>
      </c>
      <c r="D46" s="46" t="s">
        <v>355</v>
      </c>
      <c r="E46" s="61">
        <f t="shared" si="3"/>
        <v>1</v>
      </c>
      <c r="F46" s="356"/>
      <c r="G46" s="122"/>
      <c r="J46" s="122"/>
      <c r="Q46" s="93" t="s">
        <v>278</v>
      </c>
      <c r="R46" s="94">
        <v>0.76907329412838532</v>
      </c>
      <c r="S46" s="93" t="s">
        <v>204</v>
      </c>
      <c r="W46" s="37" t="s">
        <v>219</v>
      </c>
      <c r="X46" s="44" t="s">
        <v>140</v>
      </c>
      <c r="Y46" s="44">
        <v>15</v>
      </c>
      <c r="Z46" s="44" t="s">
        <v>220</v>
      </c>
      <c r="AA46" s="60">
        <v>0.86662573118314323</v>
      </c>
    </row>
    <row r="47" spans="1:31" ht="13.8" x14ac:dyDescent="0.3">
      <c r="A47" s="37" t="s">
        <v>225</v>
      </c>
      <c r="B47" s="44" t="s">
        <v>142</v>
      </c>
      <c r="C47" s="44">
        <v>13</v>
      </c>
      <c r="D47" s="44" t="s">
        <v>226</v>
      </c>
      <c r="E47" s="60">
        <f t="shared" ref="E47:E67" si="6">VLOOKUP($D47,$Q$7:$R$68,2,0)</f>
        <v>0.84669359982989578</v>
      </c>
      <c r="F47" s="356"/>
      <c r="G47" s="122"/>
      <c r="I47" s="122"/>
      <c r="J47" s="122"/>
      <c r="Q47" s="93" t="s">
        <v>300</v>
      </c>
      <c r="R47" s="94">
        <v>0.62481029959532464</v>
      </c>
      <c r="S47" s="93" t="s">
        <v>204</v>
      </c>
      <c r="W47" s="37" t="s">
        <v>427</v>
      </c>
      <c r="X47" s="44" t="s">
        <v>140</v>
      </c>
      <c r="Y47" s="44">
        <v>15</v>
      </c>
      <c r="Z47" s="44" t="s">
        <v>428</v>
      </c>
      <c r="AA47" s="60">
        <v>0.85816623707026407</v>
      </c>
    </row>
    <row r="48" spans="1:31" ht="13.8" x14ac:dyDescent="0.3">
      <c r="A48" s="37" t="s">
        <v>245</v>
      </c>
      <c r="B48" s="44" t="s">
        <v>142</v>
      </c>
      <c r="C48" s="44">
        <v>13</v>
      </c>
      <c r="D48" s="44" t="s">
        <v>246</v>
      </c>
      <c r="E48" s="60">
        <f t="shared" si="6"/>
        <v>0.68875112521618576</v>
      </c>
      <c r="F48" s="356"/>
      <c r="G48" s="122"/>
      <c r="I48" s="122"/>
      <c r="J48" s="122"/>
      <c r="Q48" s="93" t="s">
        <v>302</v>
      </c>
      <c r="R48" s="94">
        <v>0.99967409016838671</v>
      </c>
      <c r="S48" s="93" t="s">
        <v>203</v>
      </c>
      <c r="W48" s="37" t="s">
        <v>225</v>
      </c>
      <c r="X48" s="44" t="s">
        <v>142</v>
      </c>
      <c r="Y48" s="44">
        <v>13</v>
      </c>
      <c r="Z48" s="44" t="s">
        <v>226</v>
      </c>
      <c r="AA48" s="60">
        <v>0.84669359982989578</v>
      </c>
    </row>
    <row r="49" spans="1:27" ht="13.8" x14ac:dyDescent="0.3">
      <c r="A49" s="37" t="s">
        <v>256</v>
      </c>
      <c r="B49" s="44" t="s">
        <v>142</v>
      </c>
      <c r="C49" s="44">
        <v>13</v>
      </c>
      <c r="D49" s="44" t="s">
        <v>257</v>
      </c>
      <c r="E49" s="60">
        <f t="shared" si="6"/>
        <v>0.89235399590163933</v>
      </c>
      <c r="F49" s="356"/>
      <c r="G49" s="122"/>
      <c r="I49" s="122"/>
      <c r="J49" s="122"/>
      <c r="Q49" s="93" t="s">
        <v>290</v>
      </c>
      <c r="R49" s="94">
        <v>0.5641445718679996</v>
      </c>
      <c r="S49" s="93" t="s">
        <v>204</v>
      </c>
      <c r="W49" s="37" t="s">
        <v>395</v>
      </c>
      <c r="X49" s="44" t="s">
        <v>140</v>
      </c>
      <c r="Y49" s="44">
        <v>15</v>
      </c>
      <c r="Z49" s="44" t="s">
        <v>396</v>
      </c>
      <c r="AA49" s="60">
        <v>0.83267459864721705</v>
      </c>
    </row>
    <row r="50" spans="1:27" ht="13.8" x14ac:dyDescent="0.3">
      <c r="A50" s="37" t="s">
        <v>463</v>
      </c>
      <c r="B50" s="44" t="s">
        <v>142</v>
      </c>
      <c r="C50" s="44">
        <v>13</v>
      </c>
      <c r="D50" s="44" t="s">
        <v>452</v>
      </c>
      <c r="E50" s="69">
        <f t="shared" si="6"/>
        <v>0.33305692234682915</v>
      </c>
      <c r="F50" s="356"/>
      <c r="G50" s="122"/>
      <c r="I50" s="122"/>
      <c r="J50" s="122"/>
      <c r="Q50" s="93" t="s">
        <v>428</v>
      </c>
      <c r="R50" s="94">
        <v>0.85816623707026407</v>
      </c>
      <c r="S50" s="93" t="s">
        <v>203</v>
      </c>
      <c r="W50" s="37" t="s">
        <v>261</v>
      </c>
      <c r="X50" s="44" t="s">
        <v>140</v>
      </c>
      <c r="Y50" s="44">
        <v>15</v>
      </c>
      <c r="Z50" s="44" t="s">
        <v>262</v>
      </c>
      <c r="AA50" s="69">
        <v>0.81254016709511567</v>
      </c>
    </row>
    <row r="51" spans="1:27" ht="13.8" x14ac:dyDescent="0.3">
      <c r="A51" s="37" t="s">
        <v>265</v>
      </c>
      <c r="B51" s="44" t="s">
        <v>142</v>
      </c>
      <c r="C51" s="44">
        <v>13</v>
      </c>
      <c r="D51" s="44" t="s">
        <v>266</v>
      </c>
      <c r="E51" s="60">
        <f t="shared" si="6"/>
        <v>0.7886228860092247</v>
      </c>
      <c r="F51" s="356"/>
      <c r="I51" s="122"/>
      <c r="J51" s="122"/>
      <c r="Q51" s="93" t="s">
        <v>304</v>
      </c>
      <c r="R51" s="94">
        <v>0.93520619672453054</v>
      </c>
      <c r="S51" s="93" t="s">
        <v>203</v>
      </c>
      <c r="W51" s="45" t="s">
        <v>267</v>
      </c>
      <c r="X51" s="46" t="s">
        <v>141</v>
      </c>
      <c r="Y51" s="46">
        <v>14</v>
      </c>
      <c r="Z51" s="46" t="s">
        <v>268</v>
      </c>
      <c r="AA51" s="61">
        <v>0.80341264723043471</v>
      </c>
    </row>
    <row r="52" spans="1:27" ht="13.8" x14ac:dyDescent="0.3">
      <c r="A52" s="37" t="s">
        <v>367</v>
      </c>
      <c r="B52" s="44" t="s">
        <v>142</v>
      </c>
      <c r="C52" s="44">
        <v>13</v>
      </c>
      <c r="D52" s="44" t="s">
        <v>368</v>
      </c>
      <c r="E52" s="60">
        <f t="shared" si="6"/>
        <v>1.0292149475019923</v>
      </c>
      <c r="F52" s="356"/>
      <c r="Q52" s="93" t="s">
        <v>282</v>
      </c>
      <c r="R52" s="94">
        <v>0.99126425624848336</v>
      </c>
      <c r="S52" s="93" t="s">
        <v>203</v>
      </c>
      <c r="W52" s="37" t="s">
        <v>265</v>
      </c>
      <c r="X52" s="44" t="s">
        <v>142</v>
      </c>
      <c r="Y52" s="44">
        <v>13</v>
      </c>
      <c r="Z52" s="44" t="s">
        <v>266</v>
      </c>
      <c r="AA52" s="60">
        <v>0.7886228860092247</v>
      </c>
    </row>
    <row r="53" spans="1:27" ht="13.8" x14ac:dyDescent="0.3">
      <c r="A53" s="37" t="s">
        <v>275</v>
      </c>
      <c r="B53" s="44" t="s">
        <v>142</v>
      </c>
      <c r="C53" s="44">
        <v>13</v>
      </c>
      <c r="D53" s="44" t="s">
        <v>276</v>
      </c>
      <c r="E53" s="60">
        <f t="shared" si="6"/>
        <v>0.64970550208303401</v>
      </c>
      <c r="F53" s="356"/>
      <c r="Q53" s="93" t="s">
        <v>383</v>
      </c>
      <c r="R53" s="94">
        <v>0.73349447513812149</v>
      </c>
      <c r="S53" s="93" t="s">
        <v>204</v>
      </c>
      <c r="W53" s="37" t="s">
        <v>464</v>
      </c>
      <c r="X53" s="44" t="s">
        <v>162</v>
      </c>
      <c r="Y53" s="44">
        <v>19</v>
      </c>
      <c r="Z53" s="44" t="s">
        <v>461</v>
      </c>
      <c r="AA53" s="60">
        <v>0.78418126509511765</v>
      </c>
    </row>
    <row r="54" spans="1:27" ht="13.8" x14ac:dyDescent="0.3">
      <c r="A54" s="37" t="s">
        <v>279</v>
      </c>
      <c r="B54" s="44" t="s">
        <v>142</v>
      </c>
      <c r="C54" s="44">
        <v>13</v>
      </c>
      <c r="D54" s="44" t="s">
        <v>280</v>
      </c>
      <c r="E54" s="69">
        <f t="shared" si="6"/>
        <v>0.47637430521244206</v>
      </c>
      <c r="F54" s="356"/>
      <c r="Q54" s="93" t="s">
        <v>286</v>
      </c>
      <c r="R54" s="94">
        <v>1</v>
      </c>
      <c r="S54" s="93" t="s">
        <v>203</v>
      </c>
      <c r="W54" s="37" t="s">
        <v>347</v>
      </c>
      <c r="X54" s="44" t="s">
        <v>140</v>
      </c>
      <c r="Y54" s="44">
        <v>15</v>
      </c>
      <c r="Z54" s="44" t="s">
        <v>348</v>
      </c>
      <c r="AA54" s="60">
        <v>0.77444478716841458</v>
      </c>
    </row>
    <row r="55" spans="1:27" ht="13.8" x14ac:dyDescent="0.3">
      <c r="A55" s="37" t="s">
        <v>287</v>
      </c>
      <c r="B55" s="44" t="s">
        <v>142</v>
      </c>
      <c r="C55" s="44">
        <v>13</v>
      </c>
      <c r="D55" s="44" t="s">
        <v>441</v>
      </c>
      <c r="E55" s="60">
        <f t="shared" si="6"/>
        <v>1</v>
      </c>
      <c r="F55" s="356"/>
      <c r="Q55" s="93" t="s">
        <v>244</v>
      </c>
      <c r="R55" s="94">
        <v>0.61841824770837783</v>
      </c>
      <c r="S55" s="93" t="s">
        <v>204</v>
      </c>
      <c r="W55" s="37" t="s">
        <v>277</v>
      </c>
      <c r="X55" s="44" t="s">
        <v>140</v>
      </c>
      <c r="Y55" s="44">
        <v>15</v>
      </c>
      <c r="Z55" s="44" t="s">
        <v>278</v>
      </c>
      <c r="AA55" s="60">
        <v>0.76907329412838532</v>
      </c>
    </row>
    <row r="56" spans="1:27" ht="13.8" x14ac:dyDescent="0.3">
      <c r="A56" s="37" t="s">
        <v>273</v>
      </c>
      <c r="B56" s="44" t="s">
        <v>142</v>
      </c>
      <c r="C56" s="44">
        <v>13</v>
      </c>
      <c r="D56" s="44" t="s">
        <v>274</v>
      </c>
      <c r="E56" s="60">
        <f t="shared" si="6"/>
        <v>0.57845507252191697</v>
      </c>
      <c r="F56" s="356"/>
      <c r="Q56" s="93" t="s">
        <v>456</v>
      </c>
      <c r="R56" s="94">
        <v>0.99461817608484948</v>
      </c>
      <c r="S56" s="93" t="s">
        <v>203</v>
      </c>
      <c r="W56" s="45" t="s">
        <v>263</v>
      </c>
      <c r="X56" s="46" t="s">
        <v>139</v>
      </c>
      <c r="Y56" s="46">
        <v>16</v>
      </c>
      <c r="Z56" s="46" t="s">
        <v>264</v>
      </c>
      <c r="AA56" s="61">
        <v>0.76510407852428497</v>
      </c>
    </row>
    <row r="57" spans="1:27" ht="13.8" x14ac:dyDescent="0.3">
      <c r="A57" s="37" t="s">
        <v>299</v>
      </c>
      <c r="B57" s="44" t="s">
        <v>142</v>
      </c>
      <c r="C57" s="44">
        <v>13</v>
      </c>
      <c r="D57" s="44" t="s">
        <v>300</v>
      </c>
      <c r="E57" s="60">
        <f t="shared" si="6"/>
        <v>0.62481029959532464</v>
      </c>
      <c r="F57" s="356"/>
      <c r="Q57" s="93" t="s">
        <v>348</v>
      </c>
      <c r="R57" s="94">
        <v>0.77444478716841458</v>
      </c>
      <c r="S57" s="93" t="s">
        <v>204</v>
      </c>
      <c r="W57" s="37" t="s">
        <v>408</v>
      </c>
      <c r="X57" s="44" t="s">
        <v>140</v>
      </c>
      <c r="Y57" s="44">
        <v>15</v>
      </c>
      <c r="Z57" s="44" t="s">
        <v>451</v>
      </c>
      <c r="AA57" s="60">
        <v>0.76017780502759058</v>
      </c>
    </row>
    <row r="58" spans="1:27" ht="13.8" x14ac:dyDescent="0.3">
      <c r="A58" s="37" t="s">
        <v>281</v>
      </c>
      <c r="B58" s="44" t="s">
        <v>142</v>
      </c>
      <c r="C58" s="44">
        <v>13</v>
      </c>
      <c r="D58" s="44" t="s">
        <v>282</v>
      </c>
      <c r="E58" s="60">
        <f t="shared" si="6"/>
        <v>0.99126425624848336</v>
      </c>
      <c r="F58" s="356"/>
      <c r="Q58" s="93" t="s">
        <v>294</v>
      </c>
      <c r="R58" s="94">
        <v>0.92936836749527552</v>
      </c>
      <c r="S58" s="93" t="s">
        <v>203</v>
      </c>
      <c r="W58" s="37" t="s">
        <v>382</v>
      </c>
      <c r="X58" s="44" t="s">
        <v>140</v>
      </c>
      <c r="Y58" s="44">
        <v>15</v>
      </c>
      <c r="Z58" s="44" t="s">
        <v>383</v>
      </c>
      <c r="AA58" s="69">
        <v>0.73349447513812149</v>
      </c>
    </row>
    <row r="59" spans="1:27" ht="13.8" x14ac:dyDescent="0.3">
      <c r="A59" s="45" t="s">
        <v>305</v>
      </c>
      <c r="B59" s="46" t="s">
        <v>173</v>
      </c>
      <c r="C59" s="46">
        <v>12</v>
      </c>
      <c r="D59" s="46" t="s">
        <v>456</v>
      </c>
      <c r="E59" s="61">
        <f t="shared" si="6"/>
        <v>0.99461817608484948</v>
      </c>
      <c r="F59" s="356"/>
      <c r="Q59" s="93" t="s">
        <v>292</v>
      </c>
      <c r="R59" s="94">
        <v>0.66251692368655679</v>
      </c>
      <c r="S59" s="93" t="s">
        <v>204</v>
      </c>
      <c r="W59" s="45" t="s">
        <v>249</v>
      </c>
      <c r="X59" s="46" t="s">
        <v>141</v>
      </c>
      <c r="Y59" s="46">
        <v>14</v>
      </c>
      <c r="Z59" s="46" t="s">
        <v>250</v>
      </c>
      <c r="AA59" s="61">
        <v>0.71562826313957539</v>
      </c>
    </row>
    <row r="60" spans="1:27" ht="13.8" x14ac:dyDescent="0.3">
      <c r="A60" s="95" t="s">
        <v>411</v>
      </c>
      <c r="B60" s="96" t="s">
        <v>173</v>
      </c>
      <c r="C60" s="96">
        <v>12</v>
      </c>
      <c r="D60" s="96" t="s">
        <v>412</v>
      </c>
      <c r="E60" s="97">
        <f t="shared" si="6"/>
        <v>0.99533285779852521</v>
      </c>
      <c r="F60" s="356"/>
      <c r="Q60" s="93" t="s">
        <v>375</v>
      </c>
      <c r="R60" s="94">
        <v>0.93843994106691131</v>
      </c>
      <c r="S60" s="93" t="s">
        <v>203</v>
      </c>
      <c r="W60" s="37" t="s">
        <v>245</v>
      </c>
      <c r="X60" s="44" t="s">
        <v>142</v>
      </c>
      <c r="Y60" s="44">
        <v>13</v>
      </c>
      <c r="Z60" s="44" t="s">
        <v>246</v>
      </c>
      <c r="AA60" s="60">
        <v>0.68875112521618576</v>
      </c>
    </row>
    <row r="61" spans="1:27" ht="13.8" x14ac:dyDescent="0.3">
      <c r="A61" s="45" t="s">
        <v>303</v>
      </c>
      <c r="B61" s="46" t="s">
        <v>177</v>
      </c>
      <c r="C61" s="46">
        <v>10</v>
      </c>
      <c r="D61" s="46" t="s">
        <v>304</v>
      </c>
      <c r="E61" s="61">
        <f t="shared" si="6"/>
        <v>0.93520619672453054</v>
      </c>
      <c r="F61" s="356"/>
      <c r="Q61" s="93" t="s">
        <v>396</v>
      </c>
      <c r="R61" s="94">
        <v>0.83267459864721705</v>
      </c>
      <c r="S61" s="93" t="s">
        <v>203</v>
      </c>
      <c r="W61" s="37" t="s">
        <v>291</v>
      </c>
      <c r="X61" s="44" t="s">
        <v>140</v>
      </c>
      <c r="Y61" s="44">
        <v>15</v>
      </c>
      <c r="Z61" s="44" t="s">
        <v>292</v>
      </c>
      <c r="AA61" s="60">
        <v>0.66251692368655679</v>
      </c>
    </row>
    <row r="62" spans="1:27" ht="14.4" thickBot="1" x14ac:dyDescent="0.35">
      <c r="A62" s="89" t="s">
        <v>371</v>
      </c>
      <c r="B62" s="90" t="s">
        <v>185</v>
      </c>
      <c r="C62" s="90">
        <v>6</v>
      </c>
      <c r="D62" s="90" t="s">
        <v>457</v>
      </c>
      <c r="E62" s="112">
        <f t="shared" si="6"/>
        <v>0.11951366732775717</v>
      </c>
      <c r="F62" s="356"/>
      <c r="Q62" s="93" t="s">
        <v>390</v>
      </c>
      <c r="R62" s="94">
        <v>0.98872477714287255</v>
      </c>
      <c r="S62" s="93" t="s">
        <v>203</v>
      </c>
      <c r="W62" s="37" t="s">
        <v>275</v>
      </c>
      <c r="X62" s="44" t="s">
        <v>142</v>
      </c>
      <c r="Y62" s="44">
        <v>13</v>
      </c>
      <c r="Z62" s="44" t="s">
        <v>276</v>
      </c>
      <c r="AA62" s="60">
        <v>0.64970550208303401</v>
      </c>
    </row>
    <row r="63" spans="1:27" ht="13.8" x14ac:dyDescent="0.3">
      <c r="A63" s="37" t="s">
        <v>464</v>
      </c>
      <c r="B63" s="44" t="s">
        <v>162</v>
      </c>
      <c r="C63" s="44">
        <v>19</v>
      </c>
      <c r="D63" s="44" t="s">
        <v>461</v>
      </c>
      <c r="E63" s="60">
        <f t="shared" si="6"/>
        <v>0.78418126509511765</v>
      </c>
      <c r="F63" s="356"/>
      <c r="Q63" s="93" t="s">
        <v>459</v>
      </c>
      <c r="R63" s="94">
        <v>0.97036252976978032</v>
      </c>
      <c r="S63" s="93" t="s">
        <v>203</v>
      </c>
      <c r="W63" s="45" t="s">
        <v>361</v>
      </c>
      <c r="X63" s="46" t="s">
        <v>139</v>
      </c>
      <c r="Y63" s="46">
        <v>16</v>
      </c>
      <c r="Z63" s="46" t="s">
        <v>194</v>
      </c>
      <c r="AA63" s="61">
        <v>0.63157463237392464</v>
      </c>
    </row>
    <row r="64" spans="1:27" ht="13.8" x14ac:dyDescent="0.3">
      <c r="A64" s="37" t="s">
        <v>462</v>
      </c>
      <c r="B64" s="44" t="s">
        <v>166</v>
      </c>
      <c r="C64" s="44">
        <v>17</v>
      </c>
      <c r="D64" s="44" t="s">
        <v>453</v>
      </c>
      <c r="E64" s="60">
        <f t="shared" si="6"/>
        <v>0.89001113183270453</v>
      </c>
      <c r="F64" s="356"/>
      <c r="Q64" s="93" t="s">
        <v>296</v>
      </c>
      <c r="R64" s="94">
        <v>0.98538704581358605</v>
      </c>
      <c r="S64" s="93" t="s">
        <v>203</v>
      </c>
      <c r="W64" s="37" t="s">
        <v>465</v>
      </c>
      <c r="X64" s="44" t="s">
        <v>142</v>
      </c>
      <c r="Y64" s="44">
        <v>13</v>
      </c>
      <c r="Z64" s="44" t="s">
        <v>448</v>
      </c>
      <c r="AA64" s="60">
        <v>0.62875460562079877</v>
      </c>
    </row>
    <row r="65" spans="1:27" ht="13.8" x14ac:dyDescent="0.3">
      <c r="A65" s="45" t="s">
        <v>458</v>
      </c>
      <c r="B65" s="46" t="s">
        <v>173</v>
      </c>
      <c r="C65" s="46">
        <v>12</v>
      </c>
      <c r="D65" s="46" t="s">
        <v>459</v>
      </c>
      <c r="E65" s="61">
        <f t="shared" si="6"/>
        <v>0.97036252976978032</v>
      </c>
      <c r="F65" s="356"/>
      <c r="Q65" s="93" t="s">
        <v>346</v>
      </c>
      <c r="R65" s="94">
        <v>0.975461842272901</v>
      </c>
      <c r="S65" s="93" t="s">
        <v>203</v>
      </c>
      <c r="W65" s="37" t="s">
        <v>299</v>
      </c>
      <c r="X65" s="44" t="s">
        <v>142</v>
      </c>
      <c r="Y65" s="44">
        <v>13</v>
      </c>
      <c r="Z65" s="44" t="s">
        <v>300</v>
      </c>
      <c r="AA65" s="60">
        <v>0.62481029959532464</v>
      </c>
    </row>
    <row r="66" spans="1:27" ht="13.8" x14ac:dyDescent="0.3">
      <c r="A66" s="37" t="s">
        <v>424</v>
      </c>
      <c r="B66" s="47" t="s">
        <v>423</v>
      </c>
      <c r="C66" s="47"/>
      <c r="D66" s="44" t="s">
        <v>425</v>
      </c>
      <c r="E66" s="69">
        <f t="shared" si="6"/>
        <v>0.99609846555590886</v>
      </c>
      <c r="F66" s="5"/>
      <c r="Q66" s="93" t="s">
        <v>248</v>
      </c>
      <c r="R66" s="94">
        <v>0.91865112788863534</v>
      </c>
      <c r="S66" s="93" t="s">
        <v>203</v>
      </c>
      <c r="W66" s="37" t="s">
        <v>243</v>
      </c>
      <c r="X66" s="44" t="s">
        <v>140</v>
      </c>
      <c r="Y66" s="44">
        <v>15</v>
      </c>
      <c r="Z66" s="44" t="s">
        <v>244</v>
      </c>
      <c r="AA66" s="69">
        <v>0.61841824770837783</v>
      </c>
    </row>
    <row r="67" spans="1:27" ht="14.4" thickBot="1" x14ac:dyDescent="0.35">
      <c r="A67" s="53" t="s">
        <v>295</v>
      </c>
      <c r="B67" s="54" t="s">
        <v>423</v>
      </c>
      <c r="C67" s="54"/>
      <c r="D67" s="54" t="s">
        <v>296</v>
      </c>
      <c r="E67" s="63">
        <f t="shared" si="6"/>
        <v>0.98538704581358605</v>
      </c>
      <c r="F67" s="5"/>
      <c r="Q67" s="93" t="s">
        <v>355</v>
      </c>
      <c r="R67" s="94">
        <v>1</v>
      </c>
      <c r="S67" s="93" t="s">
        <v>203</v>
      </c>
      <c r="W67" s="45" t="s">
        <v>269</v>
      </c>
      <c r="X67" s="46" t="s">
        <v>141</v>
      </c>
      <c r="Y67" s="46">
        <v>14</v>
      </c>
      <c r="Z67" s="46" t="s">
        <v>270</v>
      </c>
      <c r="AA67" s="61">
        <v>0.58646630934150079</v>
      </c>
    </row>
    <row r="68" spans="1:27" ht="13.8" x14ac:dyDescent="0.3">
      <c r="A68" s="41" t="s">
        <v>311</v>
      </c>
      <c r="B68" s="43" t="s">
        <v>141</v>
      </c>
      <c r="C68" s="42">
        <f>AVERAGE(C7:C62)</f>
        <v>14.160714285714286</v>
      </c>
      <c r="D68" s="42"/>
      <c r="E68" s="42"/>
      <c r="F68" s="5"/>
      <c r="G68" s="122"/>
      <c r="Q68" s="93" t="s">
        <v>252</v>
      </c>
      <c r="R68" s="94">
        <v>0.94700000000000006</v>
      </c>
      <c r="S68" s="93" t="s">
        <v>203</v>
      </c>
      <c r="W68" s="37" t="s">
        <v>273</v>
      </c>
      <c r="X68" s="44" t="s">
        <v>142</v>
      </c>
      <c r="Y68" s="44">
        <v>13</v>
      </c>
      <c r="Z68" s="44" t="s">
        <v>274</v>
      </c>
      <c r="AA68" s="60">
        <v>0.57845507252191697</v>
      </c>
    </row>
    <row r="69" spans="1:27" ht="14.4" thickBot="1" x14ac:dyDescent="0.35">
      <c r="A69" s="3"/>
      <c r="B69" s="3"/>
      <c r="F69" s="5"/>
      <c r="Q69" s="93"/>
      <c r="R69" s="94"/>
      <c r="S69" s="93"/>
      <c r="W69" s="105" t="s">
        <v>289</v>
      </c>
      <c r="X69" s="107" t="s">
        <v>141</v>
      </c>
      <c r="Y69" s="107">
        <v>14</v>
      </c>
      <c r="Z69" s="107" t="s">
        <v>290</v>
      </c>
      <c r="AA69" s="109">
        <v>0.5641445718679996</v>
      </c>
    </row>
    <row r="70" spans="1:27" ht="13.8" x14ac:dyDescent="0.3">
      <c r="A70" s="3"/>
      <c r="B70" s="3"/>
      <c r="F70" s="9"/>
      <c r="G70" s="122"/>
      <c r="Q70" s="93"/>
      <c r="R70" s="94"/>
      <c r="S70" s="93"/>
      <c r="W70" s="45" t="s">
        <v>240</v>
      </c>
      <c r="X70" s="46" t="s">
        <v>139</v>
      </c>
      <c r="Y70" s="46">
        <v>16</v>
      </c>
      <c r="Z70" s="46" t="s">
        <v>241</v>
      </c>
      <c r="AA70" s="61">
        <v>0.541533003736272</v>
      </c>
    </row>
    <row r="71" spans="1:27" ht="13.8" x14ac:dyDescent="0.3">
      <c r="A71" s="48" t="s">
        <v>312</v>
      </c>
      <c r="F71" s="9"/>
      <c r="Q71" s="49"/>
      <c r="R71" s="58"/>
      <c r="S71" s="49"/>
      <c r="W71" s="37" t="s">
        <v>279</v>
      </c>
      <c r="X71" s="44" t="s">
        <v>142</v>
      </c>
      <c r="Y71" s="44">
        <v>13</v>
      </c>
      <c r="Z71" s="44" t="s">
        <v>280</v>
      </c>
      <c r="AA71" s="69">
        <v>0.47637430521244206</v>
      </c>
    </row>
    <row r="72" spans="1:27" ht="13.8" x14ac:dyDescent="0.3">
      <c r="A72" s="48" t="s">
        <v>313</v>
      </c>
      <c r="B72" s="86"/>
      <c r="C72" s="86"/>
      <c r="D72" s="86"/>
      <c r="E72" s="86"/>
      <c r="F72" s="9"/>
      <c r="Q72" s="49"/>
      <c r="R72" s="58"/>
      <c r="S72" s="49"/>
      <c r="W72" s="37" t="s">
        <v>271</v>
      </c>
      <c r="X72" s="44" t="s">
        <v>140</v>
      </c>
      <c r="Y72" s="44">
        <v>15</v>
      </c>
      <c r="Z72" s="44" t="s">
        <v>272</v>
      </c>
      <c r="AA72" s="60">
        <v>0.36101059894989318</v>
      </c>
    </row>
    <row r="73" spans="1:27" ht="13.8" x14ac:dyDescent="0.3">
      <c r="A73" s="85" t="s">
        <v>419</v>
      </c>
      <c r="B73" s="86"/>
      <c r="C73" s="86"/>
      <c r="D73" s="86"/>
      <c r="E73" s="86"/>
      <c r="F73" s="87"/>
      <c r="Q73" s="49"/>
      <c r="R73" s="58"/>
      <c r="S73" s="49"/>
      <c r="W73" s="37" t="s">
        <v>463</v>
      </c>
      <c r="X73" s="44" t="s">
        <v>142</v>
      </c>
      <c r="Y73" s="44">
        <v>13</v>
      </c>
      <c r="Z73" s="44" t="s">
        <v>452</v>
      </c>
      <c r="AA73" s="69">
        <v>0.33305692234682915</v>
      </c>
    </row>
    <row r="74" spans="1:27" ht="14.4" thickBot="1" x14ac:dyDescent="0.35">
      <c r="A74" s="85" t="s">
        <v>314</v>
      </c>
      <c r="B74" s="86"/>
      <c r="C74" s="86"/>
      <c r="D74" s="86"/>
      <c r="E74" s="86"/>
      <c r="F74" s="87"/>
      <c r="Q74" s="49"/>
      <c r="R74" s="58"/>
      <c r="S74" s="49"/>
      <c r="W74" s="53" t="s">
        <v>371</v>
      </c>
      <c r="X74" s="57" t="s">
        <v>185</v>
      </c>
      <c r="Y74" s="57">
        <v>6</v>
      </c>
      <c r="Z74" s="57" t="s">
        <v>457</v>
      </c>
      <c r="AA74" s="111">
        <v>0.11951366732775717</v>
      </c>
    </row>
    <row r="75" spans="1:27" ht="13.8" x14ac:dyDescent="0.3">
      <c r="A75" s="85" t="s">
        <v>466</v>
      </c>
      <c r="D75" s="9"/>
      <c r="F75" s="87"/>
      <c r="Q75" s="49"/>
      <c r="R75" s="58"/>
      <c r="S75" s="49"/>
    </row>
    <row r="76" spans="1:27" ht="13.8" x14ac:dyDescent="0.3">
      <c r="A76" s="48" t="s">
        <v>315</v>
      </c>
      <c r="D76" s="9"/>
      <c r="Q76" s="49"/>
      <c r="R76" s="58"/>
      <c r="S76" s="49"/>
    </row>
    <row r="77" spans="1:27" ht="13.8" x14ac:dyDescent="0.3">
      <c r="A77" s="48"/>
      <c r="D77" s="9"/>
      <c r="Q77" s="49"/>
      <c r="R77" s="59"/>
      <c r="S77" s="49"/>
    </row>
    <row r="78" spans="1:27" x14ac:dyDescent="0.25">
      <c r="A78" s="48"/>
    </row>
    <row r="79" spans="1:27" x14ac:dyDescent="0.25">
      <c r="A79" s="2"/>
      <c r="E79" s="74"/>
      <c r="F79" s="9"/>
      <c r="G79" s="86"/>
      <c r="W79" s="86"/>
      <c r="X79" s="86"/>
      <c r="Y79" s="86"/>
      <c r="Z79" s="86"/>
      <c r="AA79" s="88"/>
    </row>
    <row r="80" spans="1:27" s="86" customFormat="1" x14ac:dyDescent="0.25">
      <c r="Q80"/>
      <c r="R80"/>
      <c r="S80"/>
      <c r="AA80" s="88"/>
    </row>
    <row r="81" spans="1:27" s="86" customFormat="1" x14ac:dyDescent="0.25">
      <c r="AA81" s="88"/>
    </row>
    <row r="82" spans="1:27" s="86" customFormat="1" x14ac:dyDescent="0.25">
      <c r="A82"/>
      <c r="B82"/>
      <c r="C82"/>
      <c r="D82"/>
      <c r="E82" s="74"/>
      <c r="F82"/>
      <c r="G82"/>
      <c r="W82"/>
      <c r="X82"/>
      <c r="Y82"/>
      <c r="Z82"/>
      <c r="AA82"/>
    </row>
    <row r="83" spans="1:27" x14ac:dyDescent="0.25">
      <c r="E83" s="75"/>
      <c r="Q83" s="86"/>
      <c r="R83" s="86"/>
      <c r="S83" s="86"/>
      <c r="AA83"/>
    </row>
    <row r="84" spans="1:27" x14ac:dyDescent="0.25">
      <c r="AA84"/>
    </row>
  </sheetData>
  <pageMargins left="0.17" right="0.18" top="0.28000000000000003" bottom="0.17" header="0.3" footer="0.3"/>
  <pageSetup scale="76" fitToWidth="0" orientation="portrait" horizontalDpi="1200" verticalDpi="120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>
    <tabColor rgb="FF0070C0"/>
    <pageSetUpPr fitToPage="1"/>
  </sheetPr>
  <dimension ref="A1:AH88"/>
  <sheetViews>
    <sheetView zoomScale="80" zoomScaleNormal="80" workbookViewId="0"/>
  </sheetViews>
  <sheetFormatPr defaultColWidth="9.109375" defaultRowHeight="13.2" outlineLevelCol="1" x14ac:dyDescent="0.25"/>
  <cols>
    <col min="1" max="1" width="35.109375" customWidth="1"/>
    <col min="4" max="4" width="9.109375" hidden="1" customWidth="1" outlineLevel="1"/>
    <col min="5" max="5" width="12.5546875" hidden="1" customWidth="1" outlineLevel="1"/>
    <col min="6" max="6" width="9.109375" collapsed="1"/>
    <col min="7" max="7" width="11.5546875" customWidth="1"/>
    <col min="11" max="11" width="11" bestFit="1" customWidth="1"/>
    <col min="12" max="12" width="4.88671875" bestFit="1" customWidth="1"/>
    <col min="17" max="26" width="9.109375" hidden="1" customWidth="1" outlineLevel="1"/>
    <col min="27" max="27" width="12.5546875" style="66" hidden="1" customWidth="1" outlineLevel="1"/>
    <col min="28" max="33" width="9.109375" hidden="1" customWidth="1" outlineLevel="1"/>
    <col min="34" max="34" width="9.109375" collapsed="1"/>
  </cols>
  <sheetData>
    <row r="1" spans="1:33" ht="18" x14ac:dyDescent="0.35">
      <c r="A1" s="40" t="s">
        <v>473</v>
      </c>
    </row>
    <row r="2" spans="1:33" ht="18" x14ac:dyDescent="0.35">
      <c r="A2" s="40"/>
    </row>
    <row r="3" spans="1:33" ht="18" x14ac:dyDescent="0.35">
      <c r="A3" s="40"/>
    </row>
    <row r="4" spans="1:33" ht="18" x14ac:dyDescent="0.35">
      <c r="A4" s="40"/>
    </row>
    <row r="5" spans="1:33" ht="13.8" x14ac:dyDescent="0.3">
      <c r="E5" s="65" t="s">
        <v>434</v>
      </c>
      <c r="AA5" s="65" t="s">
        <v>434</v>
      </c>
      <c r="AF5" s="82" t="s">
        <v>435</v>
      </c>
      <c r="AG5" s="81" t="s">
        <v>474</v>
      </c>
    </row>
    <row r="6" spans="1:33" ht="13.8" x14ac:dyDescent="0.3">
      <c r="A6" s="101" t="s">
        <v>212</v>
      </c>
      <c r="B6" s="102" t="s">
        <v>475</v>
      </c>
      <c r="C6" s="103"/>
      <c r="D6" s="103"/>
      <c r="E6" s="104">
        <v>40178</v>
      </c>
      <c r="W6" s="101" t="s">
        <v>212</v>
      </c>
      <c r="X6" s="102" t="s">
        <v>475</v>
      </c>
      <c r="Y6" s="103"/>
      <c r="Z6" s="103"/>
      <c r="AA6" s="104">
        <v>40178</v>
      </c>
      <c r="AC6" s="67" t="s">
        <v>136</v>
      </c>
      <c r="AD6" s="68"/>
      <c r="AE6" s="68"/>
      <c r="AF6" s="42">
        <f>AVERAGE(Y$13:Y$49)</f>
        <v>14.257142857142858</v>
      </c>
      <c r="AG6" s="79">
        <f>AF6-Credit_2009Q4!AF6</f>
        <v>5.7142857142858716E-2</v>
      </c>
    </row>
    <row r="7" spans="1:33" ht="14.4" thickBot="1" x14ac:dyDescent="0.35">
      <c r="A7" s="45" t="s">
        <v>431</v>
      </c>
      <c r="B7" s="46" t="s">
        <v>164</v>
      </c>
      <c r="C7" s="46">
        <v>18</v>
      </c>
      <c r="D7" s="46" t="s">
        <v>432</v>
      </c>
      <c r="E7" s="61">
        <f t="shared" ref="E7:E14" si="0">VLOOKUP($D7,$Q$7:$R$69,2,0)</f>
        <v>0.99706741779950658</v>
      </c>
      <c r="F7" s="356"/>
      <c r="G7" s="57" t="s">
        <v>210</v>
      </c>
      <c r="H7" s="57" t="s">
        <v>134</v>
      </c>
      <c r="I7" s="57" t="s">
        <v>135</v>
      </c>
      <c r="N7" s="122"/>
      <c r="O7" s="122"/>
      <c r="Q7" s="93" t="s">
        <v>226</v>
      </c>
      <c r="R7" s="94">
        <v>0.82576712904581762</v>
      </c>
      <c r="S7" s="93" t="s">
        <v>203</v>
      </c>
      <c r="W7" s="45" t="s">
        <v>437</v>
      </c>
      <c r="X7" s="46" t="s">
        <v>139</v>
      </c>
      <c r="Y7" s="46">
        <v>16</v>
      </c>
      <c r="Z7" s="46" t="s">
        <v>438</v>
      </c>
      <c r="AA7" s="61" t="s">
        <v>423</v>
      </c>
      <c r="AC7" s="57" t="s">
        <v>210</v>
      </c>
      <c r="AD7" s="57" t="s">
        <v>134</v>
      </c>
      <c r="AE7" s="57" t="s">
        <v>135</v>
      </c>
      <c r="AG7" s="80"/>
    </row>
    <row r="8" spans="1:33" ht="13.8" x14ac:dyDescent="0.3">
      <c r="A8" s="37" t="s">
        <v>293</v>
      </c>
      <c r="B8" s="44" t="s">
        <v>166</v>
      </c>
      <c r="C8" s="44">
        <v>17</v>
      </c>
      <c r="D8" s="44" t="s">
        <v>294</v>
      </c>
      <c r="E8" s="60">
        <f t="shared" si="0"/>
        <v>0.93000422702993502</v>
      </c>
      <c r="F8" s="356"/>
      <c r="G8" s="37" t="s">
        <v>137</v>
      </c>
      <c r="H8" s="49">
        <f>COUNTIF(C$7:C$74,"&gt;16")</f>
        <v>4</v>
      </c>
      <c r="I8" s="50">
        <f>H8/H$14</f>
        <v>6.0606060606060608E-2</v>
      </c>
      <c r="K8" s="122"/>
      <c r="M8" s="122"/>
      <c r="N8" s="122"/>
      <c r="O8" s="122"/>
      <c r="Q8" s="93" t="s">
        <v>223</v>
      </c>
      <c r="R8" s="94">
        <v>0.97067096880946468</v>
      </c>
      <c r="S8" s="93" t="s">
        <v>203</v>
      </c>
      <c r="W8" s="45" t="s">
        <v>439</v>
      </c>
      <c r="X8" s="46" t="s">
        <v>139</v>
      </c>
      <c r="Y8" s="46">
        <v>16</v>
      </c>
      <c r="Z8" s="46" t="s">
        <v>440</v>
      </c>
      <c r="AA8" s="61" t="s">
        <v>423</v>
      </c>
      <c r="AC8" s="37" t="s">
        <v>137</v>
      </c>
      <c r="AD8" s="49">
        <f>COUNTIF(Y$13:Y$49,"&gt;16")</f>
        <v>3</v>
      </c>
      <c r="AE8" s="50">
        <f>AD8/AD$14</f>
        <v>8.5714285714285715E-2</v>
      </c>
      <c r="AG8" s="80"/>
    </row>
    <row r="9" spans="1:33" ht="13.8" x14ac:dyDescent="0.3">
      <c r="A9" s="45" t="s">
        <v>227</v>
      </c>
      <c r="B9" s="46" t="s">
        <v>139</v>
      </c>
      <c r="C9" s="46">
        <v>16</v>
      </c>
      <c r="D9" s="46" t="s">
        <v>228</v>
      </c>
      <c r="E9" s="61">
        <f t="shared" si="0"/>
        <v>0.89410444897115693</v>
      </c>
      <c r="F9" s="356"/>
      <c r="G9" s="37" t="s">
        <v>139</v>
      </c>
      <c r="H9" s="49">
        <f>COUNTIF(C$7:C$74,"=16")</f>
        <v>10</v>
      </c>
      <c r="I9" s="50">
        <f t="shared" ref="I9:I14" si="1">H9/H$14</f>
        <v>0.15151515151515152</v>
      </c>
      <c r="K9" s="122"/>
      <c r="M9" s="122"/>
      <c r="N9" s="122"/>
      <c r="O9" s="122"/>
      <c r="Q9" s="93" t="s">
        <v>441</v>
      </c>
      <c r="R9" s="94">
        <v>1</v>
      </c>
      <c r="S9" s="93" t="s">
        <v>203</v>
      </c>
      <c r="W9" s="37" t="s">
        <v>442</v>
      </c>
      <c r="X9" s="44" t="s">
        <v>140</v>
      </c>
      <c r="Y9" s="44">
        <v>15</v>
      </c>
      <c r="Z9" s="44" t="s">
        <v>443</v>
      </c>
      <c r="AA9" s="60" t="s">
        <v>423</v>
      </c>
      <c r="AC9" s="37" t="s">
        <v>139</v>
      </c>
      <c r="AD9" s="49">
        <f>COUNTIF(Y$13:Y$49,"=16")</f>
        <v>5</v>
      </c>
      <c r="AE9" s="50">
        <f t="shared" ref="AE9:AE14" si="2">AD9/AD$14</f>
        <v>0.14285714285714285</v>
      </c>
      <c r="AG9" s="80"/>
    </row>
    <row r="10" spans="1:33" ht="13.8" x14ac:dyDescent="0.3">
      <c r="A10" s="45" t="s">
        <v>361</v>
      </c>
      <c r="B10" s="46" t="s">
        <v>139</v>
      </c>
      <c r="C10" s="46">
        <v>16</v>
      </c>
      <c r="D10" s="46" t="s">
        <v>194</v>
      </c>
      <c r="E10" s="61">
        <f t="shared" si="0"/>
        <v>0.58142655748172922</v>
      </c>
      <c r="F10" s="356"/>
      <c r="G10" s="37" t="s">
        <v>140</v>
      </c>
      <c r="H10" s="49">
        <f>COUNTIF(C$7:C$74,"=15")</f>
        <v>16</v>
      </c>
      <c r="I10" s="50">
        <f t="shared" si="1"/>
        <v>0.24242424242424243</v>
      </c>
      <c r="K10" s="122"/>
      <c r="M10" s="122"/>
      <c r="N10" s="122"/>
      <c r="O10" s="122"/>
      <c r="Q10" s="93" t="s">
        <v>218</v>
      </c>
      <c r="R10" s="94">
        <v>0.91262379340604238</v>
      </c>
      <c r="S10" s="93" t="s">
        <v>203</v>
      </c>
      <c r="W10" s="37" t="s">
        <v>444</v>
      </c>
      <c r="X10" s="44" t="s">
        <v>140</v>
      </c>
      <c r="Y10" s="44">
        <v>15</v>
      </c>
      <c r="Z10" s="44" t="s">
        <v>445</v>
      </c>
      <c r="AA10" s="60" t="s">
        <v>423</v>
      </c>
      <c r="AC10" s="37" t="s">
        <v>140</v>
      </c>
      <c r="AD10" s="49">
        <f>COUNTIF(Y$13:Y$49,"=15")</f>
        <v>6</v>
      </c>
      <c r="AE10" s="50">
        <f t="shared" si="2"/>
        <v>0.17142857142857143</v>
      </c>
      <c r="AG10" s="80"/>
    </row>
    <row r="11" spans="1:33" ht="13.8" x14ac:dyDescent="0.3">
      <c r="A11" s="45" t="s">
        <v>259</v>
      </c>
      <c r="B11" s="46" t="s">
        <v>139</v>
      </c>
      <c r="C11" s="46">
        <v>16</v>
      </c>
      <c r="D11" s="46" t="s">
        <v>454</v>
      </c>
      <c r="E11" s="61">
        <f t="shared" si="0"/>
        <v>1</v>
      </c>
      <c r="F11" s="356"/>
      <c r="G11" s="37" t="s">
        <v>141</v>
      </c>
      <c r="H11" s="49">
        <f>COUNTIF(C$7:C$74,"=14")</f>
        <v>16</v>
      </c>
      <c r="I11" s="50">
        <f t="shared" si="1"/>
        <v>0.24242424242424243</v>
      </c>
      <c r="K11" s="122"/>
      <c r="M11" s="122"/>
      <c r="N11" s="122"/>
      <c r="O11" s="122"/>
      <c r="Q11" s="93" t="s">
        <v>239</v>
      </c>
      <c r="R11" s="94">
        <v>0.9427287640364086</v>
      </c>
      <c r="S11" s="93" t="s">
        <v>203</v>
      </c>
      <c r="W11" s="45" t="s">
        <v>446</v>
      </c>
      <c r="X11" s="46" t="s">
        <v>141</v>
      </c>
      <c r="Y11" s="46">
        <v>14</v>
      </c>
      <c r="Z11" s="46" t="s">
        <v>447</v>
      </c>
      <c r="AA11" s="61" t="s">
        <v>423</v>
      </c>
      <c r="AC11" s="37" t="s">
        <v>141</v>
      </c>
      <c r="AD11" s="49">
        <f>COUNTIF(Y$13:Y$49,"=14")</f>
        <v>11</v>
      </c>
      <c r="AE11" s="50">
        <f t="shared" si="2"/>
        <v>0.31428571428571428</v>
      </c>
      <c r="AG11" s="80"/>
    </row>
    <row r="12" spans="1:33" ht="13.8" x14ac:dyDescent="0.3">
      <c r="A12" s="45" t="s">
        <v>263</v>
      </c>
      <c r="B12" s="46" t="s">
        <v>139</v>
      </c>
      <c r="C12" s="46">
        <v>16</v>
      </c>
      <c r="D12" s="46" t="s">
        <v>264</v>
      </c>
      <c r="E12" s="61">
        <f t="shared" si="0"/>
        <v>0.7497019635343618</v>
      </c>
      <c r="F12" s="356"/>
      <c r="G12" s="37" t="s">
        <v>142</v>
      </c>
      <c r="H12" s="49">
        <f>COUNTIF(C$7:C$74,"=13")</f>
        <v>15</v>
      </c>
      <c r="I12" s="50">
        <f t="shared" si="1"/>
        <v>0.22727272727272727</v>
      </c>
      <c r="Q12" s="93" t="s">
        <v>448</v>
      </c>
      <c r="R12" s="94">
        <v>0.62875460562079877</v>
      </c>
      <c r="S12" s="93" t="s">
        <v>204</v>
      </c>
      <c r="W12" s="37" t="s">
        <v>449</v>
      </c>
      <c r="X12" s="44" t="s">
        <v>142</v>
      </c>
      <c r="Y12" s="44">
        <v>13</v>
      </c>
      <c r="Z12" s="44" t="s">
        <v>450</v>
      </c>
      <c r="AA12" s="60" t="s">
        <v>423</v>
      </c>
      <c r="AC12" s="37" t="s">
        <v>142</v>
      </c>
      <c r="AD12" s="49">
        <f>COUNTIF(Y$13:Y$49,"=13")</f>
        <v>6</v>
      </c>
      <c r="AE12" s="50">
        <f t="shared" si="2"/>
        <v>0.17142857142857143</v>
      </c>
      <c r="AG12" s="80"/>
    </row>
    <row r="13" spans="1:33" ht="14.4" thickBot="1" x14ac:dyDescent="0.35">
      <c r="A13" s="45" t="s">
        <v>460</v>
      </c>
      <c r="B13" s="46" t="s">
        <v>139</v>
      </c>
      <c r="C13" s="46">
        <v>16</v>
      </c>
      <c r="D13" s="46" t="s">
        <v>455</v>
      </c>
      <c r="E13" s="61">
        <f t="shared" si="0"/>
        <v>0.96341849943457658</v>
      </c>
      <c r="F13" s="356"/>
      <c r="G13" s="53" t="s">
        <v>143</v>
      </c>
      <c r="H13" s="55">
        <f>COUNTIF(C$7:C$74,"&lt;13")</f>
        <v>5</v>
      </c>
      <c r="I13" s="56">
        <f t="shared" si="1"/>
        <v>7.575757575757576E-2</v>
      </c>
      <c r="Q13" s="93" t="s">
        <v>246</v>
      </c>
      <c r="R13" s="94">
        <v>0.70643925978729205</v>
      </c>
      <c r="S13" s="93" t="s">
        <v>204</v>
      </c>
      <c r="W13" s="45" t="s">
        <v>352</v>
      </c>
      <c r="X13" s="46" t="s">
        <v>141</v>
      </c>
      <c r="Y13" s="46">
        <v>14</v>
      </c>
      <c r="Z13" s="46" t="s">
        <v>353</v>
      </c>
      <c r="AA13" s="61">
        <v>1.0333026830763428</v>
      </c>
      <c r="AC13" s="53" t="s">
        <v>143</v>
      </c>
      <c r="AD13" s="55">
        <f>COUNTIF(Y$13:Y$49,"&lt;13")</f>
        <v>4</v>
      </c>
      <c r="AE13" s="56">
        <f t="shared" si="2"/>
        <v>0.11428571428571428</v>
      </c>
      <c r="AG13" s="80"/>
    </row>
    <row r="14" spans="1:33" ht="13.8" x14ac:dyDescent="0.3">
      <c r="A14" s="45" t="s">
        <v>240</v>
      </c>
      <c r="B14" s="46" t="s">
        <v>139</v>
      </c>
      <c r="C14" s="46">
        <v>16</v>
      </c>
      <c r="D14" s="46" t="s">
        <v>241</v>
      </c>
      <c r="E14" s="61">
        <f t="shared" si="0"/>
        <v>0.55330389203021169</v>
      </c>
      <c r="F14" s="356"/>
      <c r="G14" s="41" t="s">
        <v>144</v>
      </c>
      <c r="H14" s="51">
        <f>SUM(H8:H13)</f>
        <v>66</v>
      </c>
      <c r="I14" s="52">
        <f t="shared" si="1"/>
        <v>1</v>
      </c>
      <c r="Q14" s="93" t="s">
        <v>451</v>
      </c>
      <c r="R14" s="94">
        <v>0.7469877361024081</v>
      </c>
      <c r="S14" s="93" t="s">
        <v>204</v>
      </c>
      <c r="W14" s="37" t="s">
        <v>367</v>
      </c>
      <c r="X14" s="44" t="s">
        <v>142</v>
      </c>
      <c r="Y14" s="44">
        <v>13</v>
      </c>
      <c r="Z14" s="44" t="s">
        <v>368</v>
      </c>
      <c r="AA14" s="60">
        <v>1.0293089747728885</v>
      </c>
      <c r="AC14" s="41" t="s">
        <v>144</v>
      </c>
      <c r="AD14" s="51">
        <f>SUM(AD8:AD13)</f>
        <v>35</v>
      </c>
      <c r="AE14" s="52">
        <f t="shared" si="2"/>
        <v>1</v>
      </c>
      <c r="AG14" s="80"/>
    </row>
    <row r="15" spans="1:33" ht="13.8" x14ac:dyDescent="0.3">
      <c r="A15" s="45" t="s">
        <v>437</v>
      </c>
      <c r="B15" s="46" t="s">
        <v>139</v>
      </c>
      <c r="C15" s="46">
        <v>16</v>
      </c>
      <c r="D15" s="46" t="s">
        <v>438</v>
      </c>
      <c r="E15" s="61" t="s">
        <v>423</v>
      </c>
      <c r="F15" s="356"/>
      <c r="K15" s="5"/>
      <c r="Q15" s="93" t="s">
        <v>452</v>
      </c>
      <c r="R15" s="94">
        <v>0.27216238256230779</v>
      </c>
      <c r="S15" s="93" t="s">
        <v>194</v>
      </c>
      <c r="W15" s="45" t="s">
        <v>259</v>
      </c>
      <c r="X15" s="46" t="s">
        <v>139</v>
      </c>
      <c r="Y15" s="46">
        <v>16</v>
      </c>
      <c r="Z15" s="46" t="s">
        <v>454</v>
      </c>
      <c r="AA15" s="61">
        <v>1</v>
      </c>
      <c r="AG15" s="80"/>
    </row>
    <row r="16" spans="1:33" ht="13.8" x14ac:dyDescent="0.3">
      <c r="A16" s="45" t="s">
        <v>439</v>
      </c>
      <c r="B16" s="46" t="s">
        <v>139</v>
      </c>
      <c r="C16" s="46">
        <v>16</v>
      </c>
      <c r="D16" s="46" t="s">
        <v>440</v>
      </c>
      <c r="E16" s="61" t="s">
        <v>423</v>
      </c>
      <c r="F16" s="356"/>
      <c r="K16" s="5"/>
      <c r="Q16" s="93" t="s">
        <v>453</v>
      </c>
      <c r="R16" s="94">
        <v>0.87497195036407094</v>
      </c>
      <c r="S16" s="93" t="s">
        <v>203</v>
      </c>
      <c r="W16" s="45" t="s">
        <v>328</v>
      </c>
      <c r="X16" s="46" t="s">
        <v>141</v>
      </c>
      <c r="Y16" s="46">
        <v>14</v>
      </c>
      <c r="Z16" s="46" t="s">
        <v>331</v>
      </c>
      <c r="AA16" s="61">
        <v>1</v>
      </c>
      <c r="AG16" s="80"/>
    </row>
    <row r="17" spans="1:33" ht="13.8" x14ac:dyDescent="0.3">
      <c r="A17" s="45" t="s">
        <v>345</v>
      </c>
      <c r="B17" s="46" t="s">
        <v>139</v>
      </c>
      <c r="C17" s="46">
        <v>16</v>
      </c>
      <c r="D17" s="46" t="s">
        <v>346</v>
      </c>
      <c r="E17" s="61">
        <f t="shared" ref="E17:E22" si="3">VLOOKUP($D17,$Q$7:$R$69,2,0)</f>
        <v>0.96644084643352246</v>
      </c>
      <c r="F17" s="356"/>
      <c r="K17" s="5"/>
      <c r="Q17" s="93" t="s">
        <v>257</v>
      </c>
      <c r="R17" s="94">
        <v>0.90135028841111697</v>
      </c>
      <c r="S17" s="93" t="s">
        <v>203</v>
      </c>
      <c r="W17" s="45" t="s">
        <v>285</v>
      </c>
      <c r="X17" s="46" t="s">
        <v>141</v>
      </c>
      <c r="Y17" s="46">
        <v>14</v>
      </c>
      <c r="Z17" s="46" t="s">
        <v>286</v>
      </c>
      <c r="AA17" s="61">
        <v>1</v>
      </c>
      <c r="AC17" s="67" t="s">
        <v>145</v>
      </c>
      <c r="AD17" s="68"/>
      <c r="AE17" s="68"/>
      <c r="AF17" s="42">
        <f>AVERAGE(Y$50:Y$69)</f>
        <v>14.55</v>
      </c>
      <c r="AG17" s="79">
        <f>AF17-Credit_2009Q4!AF17</f>
        <v>-4.9999999999998934E-2</v>
      </c>
    </row>
    <row r="18" spans="1:33" ht="14.4" thickBot="1" x14ac:dyDescent="0.35">
      <c r="A18" s="45" t="s">
        <v>251</v>
      </c>
      <c r="B18" s="46" t="s">
        <v>139</v>
      </c>
      <c r="C18" s="46">
        <v>16</v>
      </c>
      <c r="D18" s="46" t="s">
        <v>252</v>
      </c>
      <c r="E18" s="61">
        <f t="shared" si="3"/>
        <v>0.94699999999999995</v>
      </c>
      <c r="F18" s="356"/>
      <c r="K18" s="5"/>
      <c r="Q18" s="93" t="s">
        <v>378</v>
      </c>
      <c r="R18" s="94">
        <v>0.91044690077830015</v>
      </c>
      <c r="S18" s="93" t="s">
        <v>203</v>
      </c>
      <c r="W18" s="45" t="s">
        <v>354</v>
      </c>
      <c r="X18" s="46" t="s">
        <v>141</v>
      </c>
      <c r="Y18" s="46">
        <v>14</v>
      </c>
      <c r="Z18" s="46" t="s">
        <v>355</v>
      </c>
      <c r="AA18" s="61">
        <v>1</v>
      </c>
      <c r="AC18" s="57" t="s">
        <v>210</v>
      </c>
      <c r="AD18" s="57" t="s">
        <v>134</v>
      </c>
      <c r="AE18" s="57" t="s">
        <v>135</v>
      </c>
      <c r="AG18" s="80"/>
    </row>
    <row r="19" spans="1:33" ht="13.8" x14ac:dyDescent="0.3">
      <c r="A19" s="37" t="s">
        <v>217</v>
      </c>
      <c r="B19" s="44" t="s">
        <v>140</v>
      </c>
      <c r="C19" s="44">
        <v>15</v>
      </c>
      <c r="D19" s="44" t="s">
        <v>218</v>
      </c>
      <c r="E19" s="60">
        <f t="shared" si="3"/>
        <v>0.91262379340604238</v>
      </c>
      <c r="F19" s="356"/>
      <c r="K19" s="5"/>
      <c r="Q19" s="93" t="s">
        <v>250</v>
      </c>
      <c r="R19" s="94">
        <v>0.72270267536539723</v>
      </c>
      <c r="S19" s="93" t="s">
        <v>204</v>
      </c>
      <c r="W19" s="37" t="s">
        <v>287</v>
      </c>
      <c r="X19" s="44" t="s">
        <v>142</v>
      </c>
      <c r="Y19" s="44">
        <v>13</v>
      </c>
      <c r="Z19" s="44" t="s">
        <v>441</v>
      </c>
      <c r="AA19" s="60">
        <v>1</v>
      </c>
      <c r="AC19" s="37" t="s">
        <v>137</v>
      </c>
      <c r="AD19" s="49">
        <f>COUNTIF(Y$50:Y$69,"&gt;16")</f>
        <v>1</v>
      </c>
      <c r="AE19" s="50">
        <f>AD19/AD$14</f>
        <v>2.8571428571428571E-2</v>
      </c>
      <c r="AG19" s="80"/>
    </row>
    <row r="20" spans="1:33" ht="13.8" x14ac:dyDescent="0.3">
      <c r="A20" s="37" t="s">
        <v>219</v>
      </c>
      <c r="B20" s="44" t="s">
        <v>140</v>
      </c>
      <c r="C20" s="44">
        <v>15</v>
      </c>
      <c r="D20" s="44" t="s">
        <v>220</v>
      </c>
      <c r="E20" s="60">
        <f t="shared" si="3"/>
        <v>0.84890438247011957</v>
      </c>
      <c r="F20" s="356"/>
      <c r="K20" s="5"/>
      <c r="Q20" s="93" t="s">
        <v>425</v>
      </c>
      <c r="R20" s="94">
        <v>0.99675869094774683</v>
      </c>
      <c r="S20" s="93" t="s">
        <v>203</v>
      </c>
      <c r="W20" s="37" t="s">
        <v>301</v>
      </c>
      <c r="X20" s="44" t="s">
        <v>140</v>
      </c>
      <c r="Y20" s="44">
        <v>15</v>
      </c>
      <c r="Z20" s="44" t="s">
        <v>302</v>
      </c>
      <c r="AA20" s="60">
        <v>0.99967400162999187</v>
      </c>
      <c r="AC20" s="37" t="s">
        <v>139</v>
      </c>
      <c r="AD20" s="49">
        <f>COUNTIF(Y$50:Y$69,"=16")</f>
        <v>3</v>
      </c>
      <c r="AE20" s="50">
        <f t="shared" ref="AE20:AE25" si="4">AD20/AD$14</f>
        <v>8.5714285714285715E-2</v>
      </c>
      <c r="AG20" s="80"/>
    </row>
    <row r="21" spans="1:33" ht="13.8" x14ac:dyDescent="0.3">
      <c r="A21" s="37" t="s">
        <v>261</v>
      </c>
      <c r="B21" s="44" t="s">
        <v>140</v>
      </c>
      <c r="C21" s="44">
        <v>15</v>
      </c>
      <c r="D21" s="44" t="s">
        <v>262</v>
      </c>
      <c r="E21" s="69">
        <f t="shared" si="3"/>
        <v>0.81467245298615421</v>
      </c>
      <c r="F21" s="356"/>
      <c r="Q21" s="93" t="s">
        <v>194</v>
      </c>
      <c r="R21" s="94">
        <v>0.58142655748172922</v>
      </c>
      <c r="S21" s="93" t="s">
        <v>204</v>
      </c>
      <c r="W21" s="37" t="s">
        <v>411</v>
      </c>
      <c r="X21" s="44" t="s">
        <v>175</v>
      </c>
      <c r="Y21" s="44">
        <v>11</v>
      </c>
      <c r="Z21" s="44" t="s">
        <v>412</v>
      </c>
      <c r="AA21" s="60">
        <v>0.99872589064335693</v>
      </c>
      <c r="AC21" s="37" t="s">
        <v>140</v>
      </c>
      <c r="AD21" s="49">
        <f>COUNTIF(Y$50:Y$69,"=15")</f>
        <v>6</v>
      </c>
      <c r="AE21" s="50">
        <f t="shared" si="4"/>
        <v>0.17142857142857143</v>
      </c>
      <c r="AG21" s="80"/>
    </row>
    <row r="22" spans="1:33" ht="13.8" x14ac:dyDescent="0.3">
      <c r="A22" s="37" t="s">
        <v>395</v>
      </c>
      <c r="B22" s="44" t="s">
        <v>140</v>
      </c>
      <c r="C22" s="44">
        <v>15</v>
      </c>
      <c r="D22" s="44" t="s">
        <v>396</v>
      </c>
      <c r="E22" s="60">
        <f t="shared" si="3"/>
        <v>0.66731657086909912</v>
      </c>
      <c r="F22" s="356"/>
      <c r="Q22" s="93" t="s">
        <v>454</v>
      </c>
      <c r="R22" s="94">
        <v>1</v>
      </c>
      <c r="S22" s="93" t="s">
        <v>203</v>
      </c>
      <c r="W22" s="45" t="s">
        <v>431</v>
      </c>
      <c r="X22" s="46" t="s">
        <v>164</v>
      </c>
      <c r="Y22" s="46">
        <v>18</v>
      </c>
      <c r="Z22" s="46" t="s">
        <v>432</v>
      </c>
      <c r="AA22" s="61">
        <v>0.99706741779950658</v>
      </c>
      <c r="AC22" s="37" t="s">
        <v>141</v>
      </c>
      <c r="AD22" s="49">
        <f>COUNTIF(Y$50:Y$69,"=14")</f>
        <v>4</v>
      </c>
      <c r="AE22" s="50">
        <f t="shared" si="4"/>
        <v>0.11428571428571428</v>
      </c>
      <c r="AG22" s="80"/>
    </row>
    <row r="23" spans="1:33" ht="13.8" x14ac:dyDescent="0.3">
      <c r="A23" s="37" t="s">
        <v>442</v>
      </c>
      <c r="B23" s="44" t="s">
        <v>140</v>
      </c>
      <c r="C23" s="44">
        <v>15</v>
      </c>
      <c r="D23" s="44" t="s">
        <v>443</v>
      </c>
      <c r="E23" s="60" t="s">
        <v>423</v>
      </c>
      <c r="F23" s="356"/>
      <c r="Q23" s="93" t="s">
        <v>262</v>
      </c>
      <c r="R23" s="94">
        <v>0.81467245298615421</v>
      </c>
      <c r="S23" s="93" t="s">
        <v>203</v>
      </c>
      <c r="W23" s="37" t="s">
        <v>424</v>
      </c>
      <c r="X23" s="47" t="s">
        <v>423</v>
      </c>
      <c r="Y23" s="47"/>
      <c r="Z23" s="44" t="s">
        <v>425</v>
      </c>
      <c r="AA23" s="69">
        <v>0.99675869094774683</v>
      </c>
      <c r="AC23" s="37" t="s">
        <v>142</v>
      </c>
      <c r="AD23" s="49">
        <f>COUNTIF(Y$50:Y$69,"=13")</f>
        <v>6</v>
      </c>
      <c r="AE23" s="50">
        <f t="shared" si="4"/>
        <v>0.17142857142857143</v>
      </c>
      <c r="AG23" s="80"/>
    </row>
    <row r="24" spans="1:33" ht="14.4" thickBot="1" x14ac:dyDescent="0.35">
      <c r="A24" s="37" t="s">
        <v>444</v>
      </c>
      <c r="B24" s="44" t="s">
        <v>140</v>
      </c>
      <c r="C24" s="44">
        <v>15</v>
      </c>
      <c r="D24" s="44" t="s">
        <v>445</v>
      </c>
      <c r="E24" s="60" t="s">
        <v>423</v>
      </c>
      <c r="F24" s="356"/>
      <c r="Q24" s="93" t="s">
        <v>264</v>
      </c>
      <c r="R24" s="94">
        <v>0.7497019635343618</v>
      </c>
      <c r="S24" s="93" t="s">
        <v>204</v>
      </c>
      <c r="W24" s="45" t="s">
        <v>297</v>
      </c>
      <c r="X24" s="46" t="s">
        <v>141</v>
      </c>
      <c r="Y24" s="46">
        <v>14</v>
      </c>
      <c r="Z24" s="46" t="s">
        <v>298</v>
      </c>
      <c r="AA24" s="61">
        <v>0.99458022018280356</v>
      </c>
      <c r="AC24" s="53" t="s">
        <v>143</v>
      </c>
      <c r="AD24" s="55">
        <f>COUNTIF(Y$50:Y$69,"&lt;13")</f>
        <v>0</v>
      </c>
      <c r="AE24" s="56">
        <f t="shared" si="4"/>
        <v>0</v>
      </c>
      <c r="AG24" s="80"/>
    </row>
    <row r="25" spans="1:33" ht="13.8" x14ac:dyDescent="0.3">
      <c r="A25" s="37" t="s">
        <v>271</v>
      </c>
      <c r="B25" s="44" t="s">
        <v>140</v>
      </c>
      <c r="C25" s="44">
        <v>15</v>
      </c>
      <c r="D25" s="44" t="s">
        <v>272</v>
      </c>
      <c r="E25" s="60">
        <f t="shared" ref="E25:E41" si="5">VLOOKUP($D25,$Q$7:$R$69,2,0)</f>
        <v>0.36017814864816144</v>
      </c>
      <c r="F25" s="356"/>
      <c r="Q25" s="93" t="s">
        <v>455</v>
      </c>
      <c r="R25" s="94">
        <v>0.96341849943457658</v>
      </c>
      <c r="S25" s="93" t="s">
        <v>203</v>
      </c>
      <c r="W25" s="45" t="s">
        <v>305</v>
      </c>
      <c r="X25" s="46" t="s">
        <v>173</v>
      </c>
      <c r="Y25" s="46">
        <v>12</v>
      </c>
      <c r="Z25" s="46" t="s">
        <v>456</v>
      </c>
      <c r="AA25" s="61">
        <v>0.99417211067658851</v>
      </c>
      <c r="AC25" s="41" t="s">
        <v>144</v>
      </c>
      <c r="AD25" s="51">
        <f>SUM(AD19:AD24)</f>
        <v>20</v>
      </c>
      <c r="AE25" s="52">
        <f t="shared" si="4"/>
        <v>0.5714285714285714</v>
      </c>
      <c r="AG25" s="80"/>
    </row>
    <row r="26" spans="1:33" ht="13.8" x14ac:dyDescent="0.3">
      <c r="A26" s="37" t="s">
        <v>408</v>
      </c>
      <c r="B26" s="44" t="s">
        <v>140</v>
      </c>
      <c r="C26" s="44">
        <v>15</v>
      </c>
      <c r="D26" s="44" t="s">
        <v>451</v>
      </c>
      <c r="E26" s="60">
        <f t="shared" si="5"/>
        <v>0.7469877361024081</v>
      </c>
      <c r="F26" s="356"/>
      <c r="Q26" s="93" t="s">
        <v>228</v>
      </c>
      <c r="R26" s="94">
        <v>0.89410444897115693</v>
      </c>
      <c r="S26" s="93" t="s">
        <v>203</v>
      </c>
      <c r="W26" s="45" t="s">
        <v>389</v>
      </c>
      <c r="X26" s="46" t="s">
        <v>141</v>
      </c>
      <c r="Y26" s="46">
        <v>14</v>
      </c>
      <c r="Z26" s="46" t="s">
        <v>390</v>
      </c>
      <c r="AA26" s="61">
        <v>0.9915841495030967</v>
      </c>
      <c r="AG26" s="80"/>
    </row>
    <row r="27" spans="1:33" ht="13.8" x14ac:dyDescent="0.3">
      <c r="A27" s="37" t="s">
        <v>277</v>
      </c>
      <c r="B27" s="44" t="s">
        <v>140</v>
      </c>
      <c r="C27" s="44">
        <v>15</v>
      </c>
      <c r="D27" s="44" t="s">
        <v>278</v>
      </c>
      <c r="E27" s="60">
        <f t="shared" si="5"/>
        <v>0.75386351438754873</v>
      </c>
      <c r="F27" s="356"/>
      <c r="Q27" s="93" t="s">
        <v>368</v>
      </c>
      <c r="R27" s="94">
        <v>1.0293089747728885</v>
      </c>
      <c r="S27" s="93" t="s">
        <v>203</v>
      </c>
      <c r="W27" s="37" t="s">
        <v>295</v>
      </c>
      <c r="X27" s="47" t="s">
        <v>423</v>
      </c>
      <c r="Y27" s="47"/>
      <c r="Z27" s="47" t="s">
        <v>296</v>
      </c>
      <c r="AA27" s="62">
        <v>0.98634859349145065</v>
      </c>
      <c r="AG27" s="80"/>
    </row>
    <row r="28" spans="1:33" ht="13.8" x14ac:dyDescent="0.3">
      <c r="A28" s="37" t="s">
        <v>382</v>
      </c>
      <c r="B28" s="44" t="s">
        <v>140</v>
      </c>
      <c r="C28" s="44">
        <v>15</v>
      </c>
      <c r="D28" s="44" t="s">
        <v>383</v>
      </c>
      <c r="E28" s="69">
        <f>VLOOKUP($D28,$Q$7:$R$69,2,0)</f>
        <v>0.64890043729006908</v>
      </c>
      <c r="F28" s="356"/>
      <c r="Q28" s="93" t="s">
        <v>331</v>
      </c>
      <c r="R28" s="94">
        <v>1</v>
      </c>
      <c r="S28" s="93" t="s">
        <v>203</v>
      </c>
      <c r="W28" s="37" t="s">
        <v>281</v>
      </c>
      <c r="X28" s="44" t="s">
        <v>142</v>
      </c>
      <c r="Y28" s="44">
        <v>13</v>
      </c>
      <c r="Z28" s="44" t="s">
        <v>282</v>
      </c>
      <c r="AA28" s="60">
        <v>0.97501693766937669</v>
      </c>
      <c r="AC28" s="67" t="s">
        <v>147</v>
      </c>
      <c r="AD28" s="68"/>
      <c r="AE28" s="68"/>
      <c r="AF28" s="42">
        <f>AVERAGE(Y$70:Y$74)</f>
        <v>12.4</v>
      </c>
      <c r="AG28" s="79">
        <f>AF28-Credit_2009Q4!AF28</f>
        <v>-0.19999999999999929</v>
      </c>
    </row>
    <row r="29" spans="1:33" ht="14.4" thickBot="1" x14ac:dyDescent="0.35">
      <c r="A29" s="37" t="s">
        <v>301</v>
      </c>
      <c r="B29" s="44" t="s">
        <v>140</v>
      </c>
      <c r="C29" s="44">
        <v>15</v>
      </c>
      <c r="D29" s="44" t="s">
        <v>302</v>
      </c>
      <c r="E29" s="60">
        <f t="shared" si="5"/>
        <v>0.99967400162999187</v>
      </c>
      <c r="F29" s="356"/>
      <c r="Q29" s="93" t="s">
        <v>457</v>
      </c>
      <c r="R29" s="94">
        <v>0.27230062686467099</v>
      </c>
      <c r="S29" s="93" t="s">
        <v>194</v>
      </c>
      <c r="W29" s="45" t="s">
        <v>222</v>
      </c>
      <c r="X29" s="46" t="s">
        <v>141</v>
      </c>
      <c r="Y29" s="46">
        <v>14</v>
      </c>
      <c r="Z29" s="46" t="s">
        <v>223</v>
      </c>
      <c r="AA29" s="61">
        <v>0.97067096880946468</v>
      </c>
      <c r="AC29" s="57" t="s">
        <v>210</v>
      </c>
      <c r="AD29" s="57" t="s">
        <v>134</v>
      </c>
      <c r="AE29" s="57" t="s">
        <v>135</v>
      </c>
    </row>
    <row r="30" spans="1:33" ht="13.8" x14ac:dyDescent="0.3">
      <c r="A30" s="37" t="s">
        <v>243</v>
      </c>
      <c r="B30" s="44" t="s">
        <v>140</v>
      </c>
      <c r="C30" s="44">
        <v>15</v>
      </c>
      <c r="D30" s="44" t="s">
        <v>244</v>
      </c>
      <c r="E30" s="69">
        <f>VLOOKUP($D30,$Q$7:$R$69,2,0)</f>
        <v>0.42404692082111439</v>
      </c>
      <c r="F30" s="356"/>
      <c r="Q30" s="93" t="s">
        <v>266</v>
      </c>
      <c r="R30" s="94">
        <v>0.78356336260978665</v>
      </c>
      <c r="S30" s="93" t="s">
        <v>204</v>
      </c>
      <c r="W30" s="37" t="s">
        <v>458</v>
      </c>
      <c r="X30" s="44" t="s">
        <v>173</v>
      </c>
      <c r="Y30" s="44">
        <v>12</v>
      </c>
      <c r="Z30" s="44" t="s">
        <v>459</v>
      </c>
      <c r="AA30" s="69">
        <v>0.97028603165787286</v>
      </c>
      <c r="AC30" s="37" t="s">
        <v>137</v>
      </c>
      <c r="AD30" s="49">
        <f>COUNTIF(Y$70:Y$74,"&gt;16")</f>
        <v>0</v>
      </c>
      <c r="AE30" s="50">
        <f>AD30/AD$14</f>
        <v>0</v>
      </c>
    </row>
    <row r="31" spans="1:33" ht="13.8" x14ac:dyDescent="0.3">
      <c r="A31" s="37" t="s">
        <v>427</v>
      </c>
      <c r="B31" s="44" t="s">
        <v>140</v>
      </c>
      <c r="C31" s="44">
        <v>15</v>
      </c>
      <c r="D31" s="44" t="s">
        <v>428</v>
      </c>
      <c r="E31" s="60">
        <f t="shared" si="5"/>
        <v>0.85164553720066594</v>
      </c>
      <c r="F31" s="356"/>
      <c r="K31" s="122"/>
      <c r="L31" s="122"/>
      <c r="Q31" s="93" t="s">
        <v>268</v>
      </c>
      <c r="R31" s="94">
        <v>0.79472908539599674</v>
      </c>
      <c r="S31" s="93" t="s">
        <v>204</v>
      </c>
      <c r="W31" s="45" t="s">
        <v>345</v>
      </c>
      <c r="X31" s="46" t="s">
        <v>139</v>
      </c>
      <c r="Y31" s="46">
        <v>16</v>
      </c>
      <c r="Z31" s="46" t="s">
        <v>346</v>
      </c>
      <c r="AA31" s="61">
        <v>0.96644084643352246</v>
      </c>
      <c r="AC31" s="37" t="s">
        <v>139</v>
      </c>
      <c r="AD31" s="49">
        <f>COUNTIF(Y$70:Y$74,"=16")</f>
        <v>0</v>
      </c>
      <c r="AE31" s="50">
        <f t="shared" ref="AE31:AE36" si="6">AD31/AD$14</f>
        <v>0</v>
      </c>
    </row>
    <row r="32" spans="1:33" ht="13.8" x14ac:dyDescent="0.3">
      <c r="A32" s="37" t="s">
        <v>347</v>
      </c>
      <c r="B32" s="44" t="s">
        <v>140</v>
      </c>
      <c r="C32" s="44">
        <v>15</v>
      </c>
      <c r="D32" s="44" t="s">
        <v>348</v>
      </c>
      <c r="E32" s="60">
        <f t="shared" si="5"/>
        <v>0.77327600463039525</v>
      </c>
      <c r="F32" s="356"/>
      <c r="L32" s="122"/>
      <c r="Q32" s="93" t="s">
        <v>270</v>
      </c>
      <c r="R32" s="94">
        <v>0.60422936152907691</v>
      </c>
      <c r="S32" s="93" t="s">
        <v>204</v>
      </c>
      <c r="W32" s="45" t="s">
        <v>460</v>
      </c>
      <c r="X32" s="46" t="s">
        <v>139</v>
      </c>
      <c r="Y32" s="46">
        <v>16</v>
      </c>
      <c r="Z32" s="46" t="s">
        <v>455</v>
      </c>
      <c r="AA32" s="61">
        <v>0.96341849943457658</v>
      </c>
      <c r="AC32" s="37" t="s">
        <v>140</v>
      </c>
      <c r="AD32" s="49">
        <f>COUNTIF(Y$70:Y$74,"=15")</f>
        <v>2</v>
      </c>
      <c r="AE32" s="50">
        <f t="shared" si="6"/>
        <v>5.7142857142857141E-2</v>
      </c>
    </row>
    <row r="33" spans="1:31" ht="13.8" x14ac:dyDescent="0.3">
      <c r="A33" s="37" t="s">
        <v>291</v>
      </c>
      <c r="B33" s="44" t="s">
        <v>140</v>
      </c>
      <c r="C33" s="44">
        <v>15</v>
      </c>
      <c r="D33" s="44" t="s">
        <v>292</v>
      </c>
      <c r="E33" s="60">
        <f t="shared" si="5"/>
        <v>0.614337822671156</v>
      </c>
      <c r="F33" s="356"/>
      <c r="L33" s="122"/>
      <c r="Q33" s="93" t="s">
        <v>276</v>
      </c>
      <c r="R33" s="94">
        <v>0.66983442164179108</v>
      </c>
      <c r="S33" s="93" t="s">
        <v>204</v>
      </c>
      <c r="W33" s="45" t="s">
        <v>394</v>
      </c>
      <c r="X33" s="46" t="s">
        <v>141</v>
      </c>
      <c r="Y33" s="46">
        <v>14</v>
      </c>
      <c r="Z33" s="46" t="s">
        <v>236</v>
      </c>
      <c r="AA33" s="61">
        <v>0.9619710194413027</v>
      </c>
      <c r="AC33" s="37" t="s">
        <v>141</v>
      </c>
      <c r="AD33" s="49">
        <f>COUNTIF(Y$70:Y$74,"=14")</f>
        <v>0</v>
      </c>
      <c r="AE33" s="50">
        <f t="shared" si="6"/>
        <v>0</v>
      </c>
    </row>
    <row r="34" spans="1:31" ht="13.8" x14ac:dyDescent="0.3">
      <c r="A34" s="37" t="s">
        <v>247</v>
      </c>
      <c r="B34" s="44" t="s">
        <v>140</v>
      </c>
      <c r="C34" s="44">
        <v>15</v>
      </c>
      <c r="D34" s="44" t="s">
        <v>248</v>
      </c>
      <c r="E34" s="60">
        <f t="shared" si="5"/>
        <v>0.84932154135723226</v>
      </c>
      <c r="F34" s="356"/>
      <c r="L34" s="122"/>
      <c r="Q34" s="93" t="s">
        <v>353</v>
      </c>
      <c r="R34" s="94">
        <v>1.0333026830763428</v>
      </c>
      <c r="S34" s="93" t="s">
        <v>203</v>
      </c>
      <c r="W34" s="45" t="s">
        <v>283</v>
      </c>
      <c r="X34" s="46" t="s">
        <v>141</v>
      </c>
      <c r="Y34" s="46">
        <v>14</v>
      </c>
      <c r="Z34" s="46" t="s">
        <v>284</v>
      </c>
      <c r="AA34" s="61">
        <v>0.96099371344273887</v>
      </c>
      <c r="AC34" s="37" t="s">
        <v>142</v>
      </c>
      <c r="AD34" s="49">
        <f>COUNTIF(Y$70:Y$74,"=13")</f>
        <v>2</v>
      </c>
      <c r="AE34" s="50">
        <f t="shared" si="6"/>
        <v>5.7142857142857141E-2</v>
      </c>
    </row>
    <row r="35" spans="1:31" ht="14.4" thickBot="1" x14ac:dyDescent="0.35">
      <c r="A35" s="45" t="s">
        <v>222</v>
      </c>
      <c r="B35" s="46" t="s">
        <v>141</v>
      </c>
      <c r="C35" s="46">
        <v>14</v>
      </c>
      <c r="D35" s="46" t="s">
        <v>223</v>
      </c>
      <c r="E35" s="61">
        <f t="shared" si="5"/>
        <v>0.97067096880946468</v>
      </c>
      <c r="F35" s="356"/>
      <c r="G35" s="49" t="s">
        <v>373</v>
      </c>
      <c r="L35" s="122"/>
      <c r="Q35" s="93" t="s">
        <v>280</v>
      </c>
      <c r="R35" s="94">
        <v>0.44575810739314115</v>
      </c>
      <c r="S35" s="93" t="s">
        <v>194</v>
      </c>
      <c r="W35" s="45" t="s">
        <v>251</v>
      </c>
      <c r="X35" s="46" t="s">
        <v>139</v>
      </c>
      <c r="Y35" s="46">
        <v>16</v>
      </c>
      <c r="Z35" s="46" t="s">
        <v>252</v>
      </c>
      <c r="AA35" s="61">
        <v>0.94699999999999995</v>
      </c>
      <c r="AC35" s="53" t="s">
        <v>143</v>
      </c>
      <c r="AD35" s="55">
        <f>COUNTIF(Y$70:Y$74,"&lt;13")</f>
        <v>1</v>
      </c>
      <c r="AE35" s="56">
        <f t="shared" si="6"/>
        <v>2.8571428571428571E-2</v>
      </c>
    </row>
    <row r="36" spans="1:31" ht="13.8" x14ac:dyDescent="0.3">
      <c r="A36" s="45" t="s">
        <v>249</v>
      </c>
      <c r="B36" s="46" t="s">
        <v>141</v>
      </c>
      <c r="C36" s="46">
        <v>14</v>
      </c>
      <c r="D36" s="46" t="s">
        <v>250</v>
      </c>
      <c r="E36" s="61">
        <f t="shared" si="5"/>
        <v>0.72270267536539723</v>
      </c>
      <c r="F36" s="356"/>
      <c r="G36" s="92"/>
      <c r="H36" s="7"/>
      <c r="I36" s="7"/>
      <c r="L36" s="122"/>
      <c r="Q36" s="93" t="s">
        <v>284</v>
      </c>
      <c r="R36" s="94">
        <v>0.96099371344273887</v>
      </c>
      <c r="S36" s="93" t="s">
        <v>203</v>
      </c>
      <c r="W36" s="37" t="s">
        <v>238</v>
      </c>
      <c r="X36" s="44" t="s">
        <v>142</v>
      </c>
      <c r="Y36" s="44">
        <v>13</v>
      </c>
      <c r="Z36" s="44" t="s">
        <v>239</v>
      </c>
      <c r="AA36" s="60">
        <v>0.9427287640364086</v>
      </c>
      <c r="AC36" s="41" t="s">
        <v>144</v>
      </c>
      <c r="AD36" s="51">
        <f>SUM(AD30:AD35)</f>
        <v>5</v>
      </c>
      <c r="AE36" s="52">
        <f t="shared" si="6"/>
        <v>0.14285714285714285</v>
      </c>
    </row>
    <row r="37" spans="1:31" ht="13.8" x14ac:dyDescent="0.3">
      <c r="A37" s="45" t="s">
        <v>254</v>
      </c>
      <c r="B37" s="46" t="s">
        <v>141</v>
      </c>
      <c r="C37" s="46">
        <v>14</v>
      </c>
      <c r="D37" s="46" t="s">
        <v>378</v>
      </c>
      <c r="E37" s="61">
        <f t="shared" si="5"/>
        <v>0.91044690077830015</v>
      </c>
      <c r="F37" s="356"/>
      <c r="H37" s="5"/>
      <c r="J37" s="7"/>
      <c r="Q37" s="93" t="s">
        <v>220</v>
      </c>
      <c r="R37" s="94">
        <v>0.84890438247011957</v>
      </c>
      <c r="S37" s="93" t="s">
        <v>203</v>
      </c>
      <c r="W37" s="37" t="s">
        <v>293</v>
      </c>
      <c r="X37" s="44" t="s">
        <v>166</v>
      </c>
      <c r="Y37" s="44">
        <v>17</v>
      </c>
      <c r="Z37" s="44" t="s">
        <v>294</v>
      </c>
      <c r="AA37" s="60">
        <v>0.93000422702993502</v>
      </c>
    </row>
    <row r="38" spans="1:31" ht="13.8" x14ac:dyDescent="0.3">
      <c r="A38" s="45" t="s">
        <v>328</v>
      </c>
      <c r="B38" s="46" t="s">
        <v>141</v>
      </c>
      <c r="C38" s="46">
        <v>14</v>
      </c>
      <c r="D38" s="46" t="s">
        <v>331</v>
      </c>
      <c r="E38" s="61">
        <f t="shared" si="5"/>
        <v>1</v>
      </c>
      <c r="F38" s="356"/>
      <c r="H38" s="5"/>
      <c r="J38" s="8"/>
      <c r="Q38" s="93" t="s">
        <v>476</v>
      </c>
      <c r="R38" s="94">
        <v>0.98237685298627964</v>
      </c>
      <c r="S38" s="93" t="s">
        <v>203</v>
      </c>
      <c r="W38" s="37" t="s">
        <v>217</v>
      </c>
      <c r="X38" s="44" t="s">
        <v>140</v>
      </c>
      <c r="Y38" s="44">
        <v>15</v>
      </c>
      <c r="Z38" s="44" t="s">
        <v>218</v>
      </c>
      <c r="AA38" s="60">
        <v>0.91262379340604238</v>
      </c>
    </row>
    <row r="39" spans="1:31" ht="13.8" x14ac:dyDescent="0.3">
      <c r="A39" s="45" t="s">
        <v>267</v>
      </c>
      <c r="B39" s="46" t="s">
        <v>141</v>
      </c>
      <c r="C39" s="46">
        <v>14</v>
      </c>
      <c r="D39" s="46" t="s">
        <v>268</v>
      </c>
      <c r="E39" s="61">
        <f t="shared" si="5"/>
        <v>0.79472908539599674</v>
      </c>
      <c r="F39" s="356"/>
      <c r="H39" s="5"/>
      <c r="J39" s="8"/>
      <c r="Q39" s="93" t="s">
        <v>272</v>
      </c>
      <c r="R39" s="94">
        <v>0.36017814864816144</v>
      </c>
      <c r="S39" s="93" t="s">
        <v>194</v>
      </c>
      <c r="W39" s="45" t="s">
        <v>254</v>
      </c>
      <c r="X39" s="46" t="s">
        <v>141</v>
      </c>
      <c r="Y39" s="46">
        <v>14</v>
      </c>
      <c r="Z39" s="46" t="s">
        <v>378</v>
      </c>
      <c r="AA39" s="61">
        <v>0.91044690077830015</v>
      </c>
    </row>
    <row r="40" spans="1:31" ht="13.8" x14ac:dyDescent="0.3">
      <c r="A40" s="45" t="s">
        <v>269</v>
      </c>
      <c r="B40" s="46" t="s">
        <v>141</v>
      </c>
      <c r="C40" s="46">
        <v>14</v>
      </c>
      <c r="D40" s="46" t="s">
        <v>270</v>
      </c>
      <c r="E40" s="61">
        <f t="shared" si="5"/>
        <v>0.60422936152907691</v>
      </c>
      <c r="F40" s="356"/>
      <c r="H40" s="5"/>
      <c r="J40" s="8"/>
      <c r="Q40" s="93" t="s">
        <v>461</v>
      </c>
      <c r="R40" s="94">
        <v>0.77794419936265724</v>
      </c>
      <c r="S40" s="93" t="s">
        <v>204</v>
      </c>
      <c r="W40" s="45" t="s">
        <v>369</v>
      </c>
      <c r="X40" s="46" t="s">
        <v>141</v>
      </c>
      <c r="Y40" s="46">
        <v>14</v>
      </c>
      <c r="Z40" s="46" t="s">
        <v>375</v>
      </c>
      <c r="AA40" s="61">
        <v>0.90975829351063098</v>
      </c>
    </row>
    <row r="41" spans="1:31" ht="13.8" x14ac:dyDescent="0.3">
      <c r="A41" s="45" t="s">
        <v>352</v>
      </c>
      <c r="B41" s="46" t="s">
        <v>141</v>
      </c>
      <c r="C41" s="46">
        <v>14</v>
      </c>
      <c r="D41" s="46" t="s">
        <v>353</v>
      </c>
      <c r="E41" s="61">
        <f t="shared" si="5"/>
        <v>1.0333026830763428</v>
      </c>
      <c r="F41" s="356"/>
      <c r="H41" s="5"/>
      <c r="J41" s="8"/>
      <c r="Q41" s="93" t="s">
        <v>241</v>
      </c>
      <c r="R41" s="94">
        <v>0.55330389203021169</v>
      </c>
      <c r="S41" s="93" t="s">
        <v>204</v>
      </c>
      <c r="W41" s="37" t="s">
        <v>256</v>
      </c>
      <c r="X41" s="44" t="s">
        <v>142</v>
      </c>
      <c r="Y41" s="44">
        <v>13</v>
      </c>
      <c r="Z41" s="44" t="s">
        <v>257</v>
      </c>
      <c r="AA41" s="60">
        <v>0.90135028841111697</v>
      </c>
    </row>
    <row r="42" spans="1:31" ht="13.8" x14ac:dyDescent="0.3">
      <c r="A42" s="45" t="s">
        <v>446</v>
      </c>
      <c r="B42" s="46" t="s">
        <v>141</v>
      </c>
      <c r="C42" s="46">
        <v>14</v>
      </c>
      <c r="D42" s="46" t="s">
        <v>447</v>
      </c>
      <c r="E42" s="61" t="s">
        <v>423</v>
      </c>
      <c r="F42" s="356"/>
      <c r="H42" s="5"/>
      <c r="J42" s="8"/>
      <c r="Q42" s="93" t="s">
        <v>274</v>
      </c>
      <c r="R42" s="94">
        <v>0.58034319753835939</v>
      </c>
      <c r="S42" s="93" t="s">
        <v>204</v>
      </c>
      <c r="W42" s="45" t="s">
        <v>227</v>
      </c>
      <c r="X42" s="46" t="s">
        <v>139</v>
      </c>
      <c r="Y42" s="46">
        <v>16</v>
      </c>
      <c r="Z42" s="46" t="s">
        <v>228</v>
      </c>
      <c r="AA42" s="61">
        <v>0.89410444897115693</v>
      </c>
    </row>
    <row r="43" spans="1:31" ht="13.8" x14ac:dyDescent="0.3">
      <c r="A43" s="45" t="s">
        <v>283</v>
      </c>
      <c r="B43" s="46" t="s">
        <v>141</v>
      </c>
      <c r="C43" s="46">
        <v>14</v>
      </c>
      <c r="D43" s="46" t="s">
        <v>284</v>
      </c>
      <c r="E43" s="61">
        <f t="shared" ref="E43:E56" si="7">VLOOKUP($D43,$Q$7:$R$69,2,0)</f>
        <v>0.96099371344273887</v>
      </c>
      <c r="F43" s="356"/>
      <c r="Q43" s="93" t="s">
        <v>432</v>
      </c>
      <c r="R43" s="94">
        <v>0.99706741779950658</v>
      </c>
      <c r="S43" s="93" t="s">
        <v>203</v>
      </c>
      <c r="W43" s="45" t="s">
        <v>303</v>
      </c>
      <c r="X43" s="46" t="s">
        <v>177</v>
      </c>
      <c r="Y43" s="46">
        <v>10</v>
      </c>
      <c r="Z43" s="46" t="s">
        <v>304</v>
      </c>
      <c r="AA43" s="61">
        <v>0.89259170051200387</v>
      </c>
    </row>
    <row r="44" spans="1:31" ht="13.8" x14ac:dyDescent="0.3">
      <c r="A44" s="45" t="s">
        <v>394</v>
      </c>
      <c r="B44" s="46" t="s">
        <v>141</v>
      </c>
      <c r="C44" s="46">
        <v>14</v>
      </c>
      <c r="D44" s="46" t="s">
        <v>236</v>
      </c>
      <c r="E44" s="61">
        <f t="shared" si="7"/>
        <v>0.9619710194413027</v>
      </c>
      <c r="F44" s="356"/>
      <c r="Q44" s="93" t="s">
        <v>236</v>
      </c>
      <c r="R44" s="94">
        <v>0.9619710194413027</v>
      </c>
      <c r="S44" s="93" t="s">
        <v>203</v>
      </c>
      <c r="W44" s="37" t="s">
        <v>462</v>
      </c>
      <c r="X44" s="44" t="s">
        <v>166</v>
      </c>
      <c r="Y44" s="44">
        <v>17</v>
      </c>
      <c r="Z44" s="44" t="s">
        <v>453</v>
      </c>
      <c r="AA44" s="60">
        <v>0.87497195036407094</v>
      </c>
    </row>
    <row r="45" spans="1:31" ht="13.8" x14ac:dyDescent="0.3">
      <c r="A45" s="45" t="s">
        <v>297</v>
      </c>
      <c r="B45" s="46" t="s">
        <v>141</v>
      </c>
      <c r="C45" s="46">
        <v>14</v>
      </c>
      <c r="D45" s="46" t="s">
        <v>298</v>
      </c>
      <c r="E45" s="61">
        <f t="shared" si="7"/>
        <v>0.99458022018280356</v>
      </c>
      <c r="F45" s="356"/>
      <c r="Q45" s="93" t="s">
        <v>412</v>
      </c>
      <c r="R45" s="94">
        <v>0.99872589064335693</v>
      </c>
      <c r="S45" s="93" t="s">
        <v>203</v>
      </c>
      <c r="W45" s="37" t="s">
        <v>427</v>
      </c>
      <c r="X45" s="44" t="s">
        <v>140</v>
      </c>
      <c r="Y45" s="44">
        <v>15</v>
      </c>
      <c r="Z45" s="44" t="s">
        <v>428</v>
      </c>
      <c r="AA45" s="60">
        <v>0.85164553720066594</v>
      </c>
    </row>
    <row r="46" spans="1:31" ht="13.8" x14ac:dyDescent="0.3">
      <c r="A46" s="45" t="s">
        <v>285</v>
      </c>
      <c r="B46" s="46" t="s">
        <v>141</v>
      </c>
      <c r="C46" s="46">
        <v>14</v>
      </c>
      <c r="D46" s="46" t="s">
        <v>286</v>
      </c>
      <c r="E46" s="61">
        <f t="shared" si="7"/>
        <v>1</v>
      </c>
      <c r="F46" s="356"/>
      <c r="G46" s="122"/>
      <c r="J46" s="122"/>
      <c r="Q46" s="93" t="s">
        <v>298</v>
      </c>
      <c r="R46" s="94">
        <v>0.99458022018280356</v>
      </c>
      <c r="S46" s="93" t="s">
        <v>203</v>
      </c>
      <c r="W46" s="37" t="s">
        <v>247</v>
      </c>
      <c r="X46" s="44" t="s">
        <v>140</v>
      </c>
      <c r="Y46" s="44">
        <v>15</v>
      </c>
      <c r="Z46" s="44" t="s">
        <v>248</v>
      </c>
      <c r="AA46" s="60">
        <v>0.84932154135723226</v>
      </c>
    </row>
    <row r="47" spans="1:31" ht="13.8" x14ac:dyDescent="0.3">
      <c r="A47" s="45" t="s">
        <v>289</v>
      </c>
      <c r="B47" s="46" t="s">
        <v>141</v>
      </c>
      <c r="C47" s="46">
        <v>14</v>
      </c>
      <c r="D47" s="46" t="s">
        <v>290</v>
      </c>
      <c r="E47" s="61">
        <f t="shared" si="7"/>
        <v>0.57546119039331711</v>
      </c>
      <c r="F47" s="356"/>
      <c r="G47" s="122"/>
      <c r="I47" s="122"/>
      <c r="J47" s="122"/>
      <c r="Q47" s="93" t="s">
        <v>278</v>
      </c>
      <c r="R47" s="94">
        <v>0.75386351438754873</v>
      </c>
      <c r="S47" s="93" t="s">
        <v>204</v>
      </c>
      <c r="W47" s="37" t="s">
        <v>219</v>
      </c>
      <c r="X47" s="44" t="s">
        <v>140</v>
      </c>
      <c r="Y47" s="44">
        <v>15</v>
      </c>
      <c r="Z47" s="44" t="s">
        <v>220</v>
      </c>
      <c r="AA47" s="60">
        <v>0.84890438247011957</v>
      </c>
    </row>
    <row r="48" spans="1:31" ht="13.8" x14ac:dyDescent="0.3">
      <c r="A48" s="45" t="s">
        <v>369</v>
      </c>
      <c r="B48" s="46" t="s">
        <v>141</v>
      </c>
      <c r="C48" s="46">
        <v>14</v>
      </c>
      <c r="D48" s="46" t="s">
        <v>375</v>
      </c>
      <c r="E48" s="61">
        <f t="shared" si="7"/>
        <v>0.90975829351063098</v>
      </c>
      <c r="F48" s="356"/>
      <c r="G48" s="122"/>
      <c r="I48" s="122"/>
      <c r="J48" s="122"/>
      <c r="Q48" s="93" t="s">
        <v>300</v>
      </c>
      <c r="R48" s="94">
        <v>0.63819230650865855</v>
      </c>
      <c r="S48" s="93" t="s">
        <v>204</v>
      </c>
      <c r="W48" s="37" t="s">
        <v>225</v>
      </c>
      <c r="X48" s="44" t="s">
        <v>142</v>
      </c>
      <c r="Y48" s="44">
        <v>13</v>
      </c>
      <c r="Z48" s="44" t="s">
        <v>226</v>
      </c>
      <c r="AA48" s="60">
        <v>0.82576712904581762</v>
      </c>
    </row>
    <row r="49" spans="1:27" ht="13.8" x14ac:dyDescent="0.3">
      <c r="A49" s="45" t="s">
        <v>389</v>
      </c>
      <c r="B49" s="46" t="s">
        <v>141</v>
      </c>
      <c r="C49" s="46">
        <v>14</v>
      </c>
      <c r="D49" s="46" t="s">
        <v>390</v>
      </c>
      <c r="E49" s="61">
        <f t="shared" si="7"/>
        <v>0.9915841495030967</v>
      </c>
      <c r="F49" s="356"/>
      <c r="G49" s="122"/>
      <c r="I49" s="122"/>
      <c r="J49" s="122"/>
      <c r="Q49" s="93" t="s">
        <v>302</v>
      </c>
      <c r="R49" s="94">
        <v>0.99967400162999187</v>
      </c>
      <c r="S49" s="93" t="s">
        <v>203</v>
      </c>
      <c r="W49" s="37" t="s">
        <v>261</v>
      </c>
      <c r="X49" s="44" t="s">
        <v>140</v>
      </c>
      <c r="Y49" s="44">
        <v>15</v>
      </c>
      <c r="Z49" s="44" t="s">
        <v>262</v>
      </c>
      <c r="AA49" s="69">
        <v>0.81467245298615421</v>
      </c>
    </row>
    <row r="50" spans="1:27" ht="13.8" x14ac:dyDescent="0.3">
      <c r="A50" s="45" t="s">
        <v>354</v>
      </c>
      <c r="B50" s="46" t="s">
        <v>141</v>
      </c>
      <c r="C50" s="46">
        <v>14</v>
      </c>
      <c r="D50" s="46" t="s">
        <v>355</v>
      </c>
      <c r="E50" s="61">
        <f t="shared" si="7"/>
        <v>1</v>
      </c>
      <c r="F50" s="356"/>
      <c r="G50" s="122"/>
      <c r="I50" s="122"/>
      <c r="J50" s="122"/>
      <c r="Q50" s="93" t="s">
        <v>290</v>
      </c>
      <c r="R50" s="94">
        <v>0.57546119039331711</v>
      </c>
      <c r="S50" s="93" t="s">
        <v>204</v>
      </c>
      <c r="W50" s="45" t="s">
        <v>267</v>
      </c>
      <c r="X50" s="46" t="s">
        <v>141</v>
      </c>
      <c r="Y50" s="46">
        <v>14</v>
      </c>
      <c r="Z50" s="46" t="s">
        <v>268</v>
      </c>
      <c r="AA50" s="61">
        <v>0.79472908539599674</v>
      </c>
    </row>
    <row r="51" spans="1:27" ht="13.8" x14ac:dyDescent="0.3">
      <c r="A51" s="37" t="s">
        <v>465</v>
      </c>
      <c r="B51" s="44" t="s">
        <v>142</v>
      </c>
      <c r="C51" s="44">
        <v>13</v>
      </c>
      <c r="D51" s="44" t="s">
        <v>448</v>
      </c>
      <c r="E51" s="60">
        <f t="shared" si="7"/>
        <v>0.62875460562079877</v>
      </c>
      <c r="F51" s="356"/>
      <c r="I51" s="122"/>
      <c r="J51" s="122"/>
      <c r="Q51" s="93" t="s">
        <v>428</v>
      </c>
      <c r="R51" s="94">
        <v>0.85164553720066594</v>
      </c>
      <c r="S51" s="93" t="s">
        <v>203</v>
      </c>
      <c r="W51" s="37" t="s">
        <v>265</v>
      </c>
      <c r="X51" s="44" t="s">
        <v>142</v>
      </c>
      <c r="Y51" s="44">
        <v>13</v>
      </c>
      <c r="Z51" s="44" t="s">
        <v>266</v>
      </c>
      <c r="AA51" s="60">
        <v>0.78356336260978665</v>
      </c>
    </row>
    <row r="52" spans="1:27" ht="13.8" x14ac:dyDescent="0.3">
      <c r="A52" s="37" t="s">
        <v>225</v>
      </c>
      <c r="B52" s="44" t="s">
        <v>142</v>
      </c>
      <c r="C52" s="44">
        <v>13</v>
      </c>
      <c r="D52" s="44" t="s">
        <v>226</v>
      </c>
      <c r="E52" s="60">
        <f t="shared" si="7"/>
        <v>0.82576712904581762</v>
      </c>
      <c r="F52" s="356"/>
      <c r="Q52" s="93" t="s">
        <v>304</v>
      </c>
      <c r="R52" s="94">
        <v>0.89259170051200387</v>
      </c>
      <c r="S52" s="93" t="s">
        <v>203</v>
      </c>
      <c r="W52" s="37" t="s">
        <v>464</v>
      </c>
      <c r="X52" s="44" t="s">
        <v>162</v>
      </c>
      <c r="Y52" s="44">
        <v>19</v>
      </c>
      <c r="Z52" s="44" t="s">
        <v>461</v>
      </c>
      <c r="AA52" s="60">
        <v>0.77794419936265724</v>
      </c>
    </row>
    <row r="53" spans="1:27" ht="13.8" x14ac:dyDescent="0.3">
      <c r="A53" s="37" t="s">
        <v>238</v>
      </c>
      <c r="B53" s="44" t="s">
        <v>142</v>
      </c>
      <c r="C53" s="44">
        <v>13</v>
      </c>
      <c r="D53" s="44" t="s">
        <v>239</v>
      </c>
      <c r="E53" s="60">
        <f t="shared" si="7"/>
        <v>0.9427287640364086</v>
      </c>
      <c r="F53" s="356"/>
      <c r="Q53" s="93" t="s">
        <v>282</v>
      </c>
      <c r="R53" s="94">
        <v>0.97501693766937669</v>
      </c>
      <c r="S53" s="93" t="s">
        <v>203</v>
      </c>
      <c r="W53" s="37" t="s">
        <v>347</v>
      </c>
      <c r="X53" s="44" t="s">
        <v>140</v>
      </c>
      <c r="Y53" s="44">
        <v>15</v>
      </c>
      <c r="Z53" s="44" t="s">
        <v>348</v>
      </c>
      <c r="AA53" s="60">
        <v>0.77327600463039525</v>
      </c>
    </row>
    <row r="54" spans="1:27" ht="13.8" x14ac:dyDescent="0.3">
      <c r="A54" s="37" t="s">
        <v>245</v>
      </c>
      <c r="B54" s="44" t="s">
        <v>142</v>
      </c>
      <c r="C54" s="44">
        <v>13</v>
      </c>
      <c r="D54" s="44" t="s">
        <v>246</v>
      </c>
      <c r="E54" s="60">
        <f t="shared" si="7"/>
        <v>0.70643925978729205</v>
      </c>
      <c r="F54" s="356"/>
      <c r="Q54" s="93" t="s">
        <v>383</v>
      </c>
      <c r="R54" s="94">
        <v>0.64890043729006908</v>
      </c>
      <c r="S54" s="93" t="s">
        <v>204</v>
      </c>
      <c r="W54" s="37" t="s">
        <v>277</v>
      </c>
      <c r="X54" s="44" t="s">
        <v>140</v>
      </c>
      <c r="Y54" s="44">
        <v>15</v>
      </c>
      <c r="Z54" s="44" t="s">
        <v>278</v>
      </c>
      <c r="AA54" s="60">
        <v>0.75386351438754873</v>
      </c>
    </row>
    <row r="55" spans="1:27" ht="13.8" x14ac:dyDescent="0.3">
      <c r="A55" s="37" t="s">
        <v>256</v>
      </c>
      <c r="B55" s="44" t="s">
        <v>142</v>
      </c>
      <c r="C55" s="44">
        <v>13</v>
      </c>
      <c r="D55" s="44" t="s">
        <v>257</v>
      </c>
      <c r="E55" s="60">
        <f t="shared" si="7"/>
        <v>0.90135028841111697</v>
      </c>
      <c r="F55" s="356"/>
      <c r="Q55" s="93" t="s">
        <v>286</v>
      </c>
      <c r="R55" s="94">
        <v>1</v>
      </c>
      <c r="S55" s="93" t="s">
        <v>203</v>
      </c>
      <c r="W55" s="45" t="s">
        <v>263</v>
      </c>
      <c r="X55" s="46" t="s">
        <v>139</v>
      </c>
      <c r="Y55" s="46">
        <v>16</v>
      </c>
      <c r="Z55" s="46" t="s">
        <v>264</v>
      </c>
      <c r="AA55" s="61">
        <v>0.7497019635343618</v>
      </c>
    </row>
    <row r="56" spans="1:27" ht="13.8" x14ac:dyDescent="0.3">
      <c r="A56" s="37" t="s">
        <v>463</v>
      </c>
      <c r="B56" s="44" t="s">
        <v>142</v>
      </c>
      <c r="C56" s="44">
        <v>13</v>
      </c>
      <c r="D56" s="44" t="s">
        <v>452</v>
      </c>
      <c r="E56" s="69">
        <f t="shared" si="7"/>
        <v>0.27216238256230779</v>
      </c>
      <c r="F56" s="356"/>
      <c r="Q56" s="93" t="s">
        <v>244</v>
      </c>
      <c r="R56" s="94">
        <v>0.42404692082111439</v>
      </c>
      <c r="S56" s="93" t="s">
        <v>194</v>
      </c>
      <c r="W56" s="37" t="s">
        <v>408</v>
      </c>
      <c r="X56" s="44" t="s">
        <v>140</v>
      </c>
      <c r="Y56" s="44">
        <v>15</v>
      </c>
      <c r="Z56" s="44" t="s">
        <v>451</v>
      </c>
      <c r="AA56" s="60">
        <v>0.7469877361024081</v>
      </c>
    </row>
    <row r="57" spans="1:27" ht="13.8" x14ac:dyDescent="0.3">
      <c r="A57" s="37" t="s">
        <v>449</v>
      </c>
      <c r="B57" s="44" t="s">
        <v>142</v>
      </c>
      <c r="C57" s="44">
        <v>13</v>
      </c>
      <c r="D57" s="44" t="s">
        <v>450</v>
      </c>
      <c r="E57" s="60" t="s">
        <v>423</v>
      </c>
      <c r="F57" s="356"/>
      <c r="Q57" s="93" t="s">
        <v>456</v>
      </c>
      <c r="R57" s="94">
        <v>0.99417211067658851</v>
      </c>
      <c r="S57" s="93" t="s">
        <v>203</v>
      </c>
      <c r="W57" s="45" t="s">
        <v>249</v>
      </c>
      <c r="X57" s="46" t="s">
        <v>141</v>
      </c>
      <c r="Y57" s="46">
        <v>14</v>
      </c>
      <c r="Z57" s="46" t="s">
        <v>250</v>
      </c>
      <c r="AA57" s="61">
        <v>0.72270267536539723</v>
      </c>
    </row>
    <row r="58" spans="1:27" ht="13.8" x14ac:dyDescent="0.3">
      <c r="A58" s="37" t="s">
        <v>265</v>
      </c>
      <c r="B58" s="44" t="s">
        <v>142</v>
      </c>
      <c r="C58" s="44">
        <v>13</v>
      </c>
      <c r="D58" s="44" t="s">
        <v>266</v>
      </c>
      <c r="E58" s="60">
        <f t="shared" ref="E58:E74" si="8">VLOOKUP($D58,$Q$7:$R$69,2,0)</f>
        <v>0.78356336260978665</v>
      </c>
      <c r="F58" s="356"/>
      <c r="Q58" s="93" t="s">
        <v>348</v>
      </c>
      <c r="R58" s="94">
        <v>0.77327600463039525</v>
      </c>
      <c r="S58" s="93" t="s">
        <v>204</v>
      </c>
      <c r="W58" s="37" t="s">
        <v>245</v>
      </c>
      <c r="X58" s="44" t="s">
        <v>142</v>
      </c>
      <c r="Y58" s="44">
        <v>13</v>
      </c>
      <c r="Z58" s="44" t="s">
        <v>246</v>
      </c>
      <c r="AA58" s="60">
        <v>0.70643925978729205</v>
      </c>
    </row>
    <row r="59" spans="1:27" ht="13.8" x14ac:dyDescent="0.3">
      <c r="A59" s="37" t="s">
        <v>367</v>
      </c>
      <c r="B59" s="44" t="s">
        <v>142</v>
      </c>
      <c r="C59" s="44">
        <v>13</v>
      </c>
      <c r="D59" s="44" t="s">
        <v>368</v>
      </c>
      <c r="E59" s="60">
        <f t="shared" si="8"/>
        <v>1.0293089747728885</v>
      </c>
      <c r="F59" s="356"/>
      <c r="Q59" s="93" t="s">
        <v>294</v>
      </c>
      <c r="R59" s="94">
        <v>0.93000422702993502</v>
      </c>
      <c r="S59" s="93" t="s">
        <v>203</v>
      </c>
      <c r="W59" s="37" t="s">
        <v>275</v>
      </c>
      <c r="X59" s="44" t="s">
        <v>142</v>
      </c>
      <c r="Y59" s="44">
        <v>13</v>
      </c>
      <c r="Z59" s="44" t="s">
        <v>276</v>
      </c>
      <c r="AA59" s="60">
        <v>0.66983442164179108</v>
      </c>
    </row>
    <row r="60" spans="1:27" ht="13.8" x14ac:dyDescent="0.3">
      <c r="A60" s="37" t="s">
        <v>275</v>
      </c>
      <c r="B60" s="44" t="s">
        <v>142</v>
      </c>
      <c r="C60" s="44">
        <v>13</v>
      </c>
      <c r="D60" s="44" t="s">
        <v>276</v>
      </c>
      <c r="E60" s="60">
        <f t="shared" si="8"/>
        <v>0.66983442164179108</v>
      </c>
      <c r="F60" s="356"/>
      <c r="Q60" s="93" t="s">
        <v>292</v>
      </c>
      <c r="R60" s="94">
        <v>0.614337822671156</v>
      </c>
      <c r="S60" s="93" t="s">
        <v>204</v>
      </c>
      <c r="W60" s="37" t="s">
        <v>395</v>
      </c>
      <c r="X60" s="44" t="s">
        <v>140</v>
      </c>
      <c r="Y60" s="44">
        <v>15</v>
      </c>
      <c r="Z60" s="44" t="s">
        <v>396</v>
      </c>
      <c r="AA60" s="60">
        <v>0.66731657086909912</v>
      </c>
    </row>
    <row r="61" spans="1:27" ht="13.8" x14ac:dyDescent="0.3">
      <c r="A61" s="37" t="s">
        <v>279</v>
      </c>
      <c r="B61" s="44" t="s">
        <v>142</v>
      </c>
      <c r="C61" s="44">
        <v>13</v>
      </c>
      <c r="D61" s="44" t="s">
        <v>280</v>
      </c>
      <c r="E61" s="69">
        <f>VLOOKUP($D61,$Q$7:$R$69,2,0)</f>
        <v>0.44575810739314115</v>
      </c>
      <c r="F61" s="356"/>
      <c r="Q61" s="93" t="s">
        <v>375</v>
      </c>
      <c r="R61" s="94">
        <v>0.90975829351063098</v>
      </c>
      <c r="S61" s="93" t="s">
        <v>203</v>
      </c>
      <c r="W61" s="37" t="s">
        <v>382</v>
      </c>
      <c r="X61" s="44" t="s">
        <v>140</v>
      </c>
      <c r="Y61" s="44">
        <v>15</v>
      </c>
      <c r="Z61" s="44" t="s">
        <v>383</v>
      </c>
      <c r="AA61" s="69">
        <v>0.64890043729006908</v>
      </c>
    </row>
    <row r="62" spans="1:27" ht="13.8" x14ac:dyDescent="0.3">
      <c r="A62" s="37" t="s">
        <v>287</v>
      </c>
      <c r="B62" s="44" t="s">
        <v>142</v>
      </c>
      <c r="C62" s="44">
        <v>13</v>
      </c>
      <c r="D62" s="44" t="s">
        <v>441</v>
      </c>
      <c r="E62" s="60">
        <f t="shared" si="8"/>
        <v>1</v>
      </c>
      <c r="F62" s="356"/>
      <c r="Q62" s="93" t="s">
        <v>396</v>
      </c>
      <c r="R62" s="94">
        <v>0.66731657086909912</v>
      </c>
      <c r="S62" s="93" t="s">
        <v>204</v>
      </c>
      <c r="W62" s="37" t="s">
        <v>299</v>
      </c>
      <c r="X62" s="44" t="s">
        <v>142</v>
      </c>
      <c r="Y62" s="44">
        <v>13</v>
      </c>
      <c r="Z62" s="44" t="s">
        <v>300</v>
      </c>
      <c r="AA62" s="60">
        <v>0.63819230650865855</v>
      </c>
    </row>
    <row r="63" spans="1:27" ht="13.8" x14ac:dyDescent="0.3">
      <c r="A63" s="37" t="s">
        <v>273</v>
      </c>
      <c r="B63" s="44" t="s">
        <v>142</v>
      </c>
      <c r="C63" s="44">
        <v>13</v>
      </c>
      <c r="D63" s="44" t="s">
        <v>274</v>
      </c>
      <c r="E63" s="60">
        <f t="shared" si="8"/>
        <v>0.58034319753835939</v>
      </c>
      <c r="F63" s="356"/>
      <c r="Q63" s="93" t="s">
        <v>390</v>
      </c>
      <c r="R63" s="94">
        <v>0.9915841495030967</v>
      </c>
      <c r="S63" s="93" t="s">
        <v>203</v>
      </c>
      <c r="W63" s="37" t="s">
        <v>465</v>
      </c>
      <c r="X63" s="44" t="s">
        <v>142</v>
      </c>
      <c r="Y63" s="44">
        <v>13</v>
      </c>
      <c r="Z63" s="44" t="s">
        <v>448</v>
      </c>
      <c r="AA63" s="60">
        <v>0.62875460562079877</v>
      </c>
    </row>
    <row r="64" spans="1:27" ht="13.8" x14ac:dyDescent="0.3">
      <c r="A64" s="37" t="s">
        <v>299</v>
      </c>
      <c r="B64" s="44" t="s">
        <v>142</v>
      </c>
      <c r="C64" s="44">
        <v>13</v>
      </c>
      <c r="D64" s="44" t="s">
        <v>300</v>
      </c>
      <c r="E64" s="60">
        <f t="shared" si="8"/>
        <v>0.63819230650865855</v>
      </c>
      <c r="F64" s="356"/>
      <c r="Q64" s="93" t="s">
        <v>459</v>
      </c>
      <c r="R64" s="94">
        <v>0.97028603165787286</v>
      </c>
      <c r="S64" s="93" t="s">
        <v>203</v>
      </c>
      <c r="W64" s="37" t="s">
        <v>291</v>
      </c>
      <c r="X64" s="44" t="s">
        <v>140</v>
      </c>
      <c r="Y64" s="44">
        <v>15</v>
      </c>
      <c r="Z64" s="44" t="s">
        <v>292</v>
      </c>
      <c r="AA64" s="60">
        <v>0.614337822671156</v>
      </c>
    </row>
    <row r="65" spans="1:27" ht="13.8" x14ac:dyDescent="0.3">
      <c r="A65" s="37" t="s">
        <v>281</v>
      </c>
      <c r="B65" s="44" t="s">
        <v>142</v>
      </c>
      <c r="C65" s="44">
        <v>13</v>
      </c>
      <c r="D65" s="44" t="s">
        <v>282</v>
      </c>
      <c r="E65" s="60">
        <f t="shared" si="8"/>
        <v>0.97501693766937669</v>
      </c>
      <c r="F65" s="356"/>
      <c r="Q65" s="93" t="s">
        <v>296</v>
      </c>
      <c r="R65" s="94">
        <v>0.98634859349145065</v>
      </c>
      <c r="S65" s="93" t="s">
        <v>203</v>
      </c>
      <c r="W65" s="45" t="s">
        <v>269</v>
      </c>
      <c r="X65" s="46" t="s">
        <v>141</v>
      </c>
      <c r="Y65" s="46">
        <v>14</v>
      </c>
      <c r="Z65" s="46" t="s">
        <v>270</v>
      </c>
      <c r="AA65" s="61">
        <v>0.60422936152907691</v>
      </c>
    </row>
    <row r="66" spans="1:27" ht="13.8" x14ac:dyDescent="0.3">
      <c r="A66" s="45" t="s">
        <v>305</v>
      </c>
      <c r="B66" s="46" t="s">
        <v>173</v>
      </c>
      <c r="C66" s="46">
        <v>12</v>
      </c>
      <c r="D66" s="46" t="s">
        <v>456</v>
      </c>
      <c r="E66" s="61">
        <f t="shared" si="8"/>
        <v>0.99417211067658851</v>
      </c>
      <c r="F66" s="356"/>
      <c r="Q66" s="93" t="s">
        <v>346</v>
      </c>
      <c r="R66" s="94">
        <v>0.96644084643352246</v>
      </c>
      <c r="S66" s="93" t="s">
        <v>203</v>
      </c>
      <c r="W66" s="45" t="s">
        <v>361</v>
      </c>
      <c r="X66" s="46" t="s">
        <v>139</v>
      </c>
      <c r="Y66" s="46">
        <v>16</v>
      </c>
      <c r="Z66" s="46" t="s">
        <v>194</v>
      </c>
      <c r="AA66" s="61">
        <v>0.58142655748172922</v>
      </c>
    </row>
    <row r="67" spans="1:27" ht="13.8" x14ac:dyDescent="0.3">
      <c r="A67" s="37" t="s">
        <v>411</v>
      </c>
      <c r="B67" s="44" t="s">
        <v>175</v>
      </c>
      <c r="C67" s="44">
        <v>11</v>
      </c>
      <c r="D67" s="44" t="s">
        <v>412</v>
      </c>
      <c r="E67" s="60">
        <f t="shared" si="8"/>
        <v>0.99872589064335693</v>
      </c>
      <c r="F67" s="356"/>
      <c r="Q67" s="93" t="s">
        <v>248</v>
      </c>
      <c r="R67" s="94">
        <v>0.84932154135723226</v>
      </c>
      <c r="S67" s="93" t="s">
        <v>203</v>
      </c>
      <c r="W67" s="37" t="s">
        <v>273</v>
      </c>
      <c r="X67" s="44" t="s">
        <v>142</v>
      </c>
      <c r="Y67" s="44">
        <v>13</v>
      </c>
      <c r="Z67" s="44" t="s">
        <v>274</v>
      </c>
      <c r="AA67" s="60">
        <v>0.58034319753835939</v>
      </c>
    </row>
    <row r="68" spans="1:27" ht="13.8" x14ac:dyDescent="0.3">
      <c r="A68" s="45" t="s">
        <v>303</v>
      </c>
      <c r="B68" s="46" t="s">
        <v>177</v>
      </c>
      <c r="C68" s="46">
        <v>10</v>
      </c>
      <c r="D68" s="46" t="s">
        <v>304</v>
      </c>
      <c r="E68" s="61">
        <f t="shared" si="8"/>
        <v>0.89259170051200387</v>
      </c>
      <c r="F68" s="356"/>
      <c r="G68" s="122"/>
      <c r="Q68" s="93" t="s">
        <v>355</v>
      </c>
      <c r="R68" s="94">
        <v>1</v>
      </c>
      <c r="S68" s="93" t="s">
        <v>203</v>
      </c>
      <c r="W68" s="45" t="s">
        <v>289</v>
      </c>
      <c r="X68" s="46" t="s">
        <v>141</v>
      </c>
      <c r="Y68" s="46">
        <v>14</v>
      </c>
      <c r="Z68" s="46" t="s">
        <v>290</v>
      </c>
      <c r="AA68" s="61">
        <v>0.57546119039331711</v>
      </c>
    </row>
    <row r="69" spans="1:27" ht="14.4" thickBot="1" x14ac:dyDescent="0.35">
      <c r="A69" s="98" t="s">
        <v>371</v>
      </c>
      <c r="B69" s="99" t="s">
        <v>185</v>
      </c>
      <c r="C69" s="99">
        <v>6</v>
      </c>
      <c r="D69" s="99" t="s">
        <v>457</v>
      </c>
      <c r="E69" s="100">
        <f t="shared" si="8"/>
        <v>0.27230062686467099</v>
      </c>
      <c r="F69" s="356"/>
      <c r="Q69" s="93" t="s">
        <v>252</v>
      </c>
      <c r="R69" s="94">
        <v>0.94699999999999995</v>
      </c>
      <c r="S69" s="93" t="s">
        <v>203</v>
      </c>
      <c r="W69" s="105" t="s">
        <v>240</v>
      </c>
      <c r="X69" s="107" t="s">
        <v>139</v>
      </c>
      <c r="Y69" s="107">
        <v>16</v>
      </c>
      <c r="Z69" s="107" t="s">
        <v>241</v>
      </c>
      <c r="AA69" s="109">
        <v>0.55330389203021169</v>
      </c>
    </row>
    <row r="70" spans="1:27" ht="13.8" x14ac:dyDescent="0.3">
      <c r="A70" s="37" t="s">
        <v>464</v>
      </c>
      <c r="B70" s="44" t="s">
        <v>162</v>
      </c>
      <c r="C70" s="44">
        <v>19</v>
      </c>
      <c r="D70" s="44" t="s">
        <v>461</v>
      </c>
      <c r="E70" s="60">
        <f t="shared" si="8"/>
        <v>0.77794419936265724</v>
      </c>
      <c r="F70" s="356"/>
      <c r="G70" s="122"/>
      <c r="Q70" s="49"/>
      <c r="R70" s="58"/>
      <c r="S70" s="49"/>
      <c r="W70" s="37" t="s">
        <v>279</v>
      </c>
      <c r="X70" s="44" t="s">
        <v>142</v>
      </c>
      <c r="Y70" s="44">
        <v>13</v>
      </c>
      <c r="Z70" s="44" t="s">
        <v>280</v>
      </c>
      <c r="AA70" s="69">
        <v>0.44575810739314115</v>
      </c>
    </row>
    <row r="71" spans="1:27" ht="13.8" x14ac:dyDescent="0.3">
      <c r="A71" s="37" t="s">
        <v>462</v>
      </c>
      <c r="B71" s="44" t="s">
        <v>166</v>
      </c>
      <c r="C71" s="44">
        <v>17</v>
      </c>
      <c r="D71" s="44" t="s">
        <v>453</v>
      </c>
      <c r="E71" s="60">
        <f t="shared" si="8"/>
        <v>0.87497195036407094</v>
      </c>
      <c r="F71" s="356"/>
      <c r="Q71" s="49"/>
      <c r="R71" s="58"/>
      <c r="S71" s="49"/>
      <c r="W71" s="37" t="s">
        <v>243</v>
      </c>
      <c r="X71" s="44" t="s">
        <v>140</v>
      </c>
      <c r="Y71" s="44">
        <v>15</v>
      </c>
      <c r="Z71" s="44" t="s">
        <v>244</v>
      </c>
      <c r="AA71" s="69">
        <v>0.42404692082111439</v>
      </c>
    </row>
    <row r="72" spans="1:27" ht="13.8" x14ac:dyDescent="0.3">
      <c r="A72" s="37" t="s">
        <v>458</v>
      </c>
      <c r="B72" s="44" t="s">
        <v>173</v>
      </c>
      <c r="C72" s="44">
        <v>12</v>
      </c>
      <c r="D72" s="44" t="s">
        <v>459</v>
      </c>
      <c r="E72" s="69">
        <f t="shared" si="8"/>
        <v>0.97028603165787286</v>
      </c>
      <c r="F72" s="356"/>
      <c r="Q72" s="49"/>
      <c r="R72" s="58"/>
      <c r="S72" s="49"/>
      <c r="W72" s="37" t="s">
        <v>271</v>
      </c>
      <c r="X72" s="44" t="s">
        <v>140</v>
      </c>
      <c r="Y72" s="44">
        <v>15</v>
      </c>
      <c r="Z72" s="44" t="s">
        <v>272</v>
      </c>
      <c r="AA72" s="60">
        <v>0.36017814864816144</v>
      </c>
    </row>
    <row r="73" spans="1:27" ht="13.8" x14ac:dyDescent="0.3">
      <c r="A73" s="37" t="s">
        <v>424</v>
      </c>
      <c r="B73" s="47" t="s">
        <v>423</v>
      </c>
      <c r="C73" s="47"/>
      <c r="D73" s="44" t="s">
        <v>425</v>
      </c>
      <c r="E73" s="69">
        <f t="shared" si="8"/>
        <v>0.99675869094774683</v>
      </c>
      <c r="F73" s="5"/>
      <c r="Q73" s="49"/>
      <c r="R73" s="58"/>
      <c r="S73" s="49"/>
      <c r="W73" s="106" t="s">
        <v>371</v>
      </c>
      <c r="X73" s="108" t="s">
        <v>185</v>
      </c>
      <c r="Y73" s="108">
        <v>6</v>
      </c>
      <c r="Z73" s="108" t="s">
        <v>457</v>
      </c>
      <c r="AA73" s="110">
        <v>0.27230062686467099</v>
      </c>
    </row>
    <row r="74" spans="1:27" ht="14.4" thickBot="1" x14ac:dyDescent="0.35">
      <c r="A74" s="53" t="s">
        <v>295</v>
      </c>
      <c r="B74" s="54" t="s">
        <v>423</v>
      </c>
      <c r="C74" s="54"/>
      <c r="D74" s="54" t="s">
        <v>296</v>
      </c>
      <c r="E74" s="63">
        <f t="shared" si="8"/>
        <v>0.98634859349145065</v>
      </c>
      <c r="F74" s="5"/>
      <c r="Q74" s="49"/>
      <c r="R74" s="58"/>
      <c r="S74" s="49"/>
      <c r="W74" s="53" t="s">
        <v>463</v>
      </c>
      <c r="X74" s="57" t="s">
        <v>142</v>
      </c>
      <c r="Y74" s="57">
        <v>13</v>
      </c>
      <c r="Z74" s="57" t="s">
        <v>452</v>
      </c>
      <c r="AA74" s="111">
        <v>0.27216238256230779</v>
      </c>
    </row>
    <row r="75" spans="1:27" ht="13.8" x14ac:dyDescent="0.3">
      <c r="A75" s="41" t="s">
        <v>311</v>
      </c>
      <c r="B75" s="43" t="s">
        <v>141</v>
      </c>
      <c r="C75" s="42">
        <f>AVERAGE(C7:C69)</f>
        <v>14.174603174603174</v>
      </c>
      <c r="D75" s="42"/>
      <c r="E75" s="42"/>
      <c r="F75" s="5"/>
      <c r="Q75" s="49"/>
      <c r="R75" s="58"/>
      <c r="S75" s="49"/>
    </row>
    <row r="76" spans="1:27" ht="13.8" x14ac:dyDescent="0.3">
      <c r="A76" s="3"/>
      <c r="B76" s="3"/>
      <c r="F76" s="5"/>
      <c r="Q76" s="49"/>
      <c r="R76" s="59"/>
      <c r="S76" s="49"/>
    </row>
    <row r="77" spans="1:27" x14ac:dyDescent="0.25">
      <c r="A77" s="3"/>
      <c r="B77" s="3"/>
      <c r="F77" s="9"/>
    </row>
    <row r="78" spans="1:27" x14ac:dyDescent="0.25">
      <c r="A78" s="48" t="s">
        <v>312</v>
      </c>
      <c r="F78" s="9"/>
    </row>
    <row r="79" spans="1:27" x14ac:dyDescent="0.25">
      <c r="A79" s="48" t="s">
        <v>313</v>
      </c>
      <c r="B79" s="86"/>
      <c r="C79" s="86"/>
      <c r="D79" s="86"/>
      <c r="E79" s="86"/>
      <c r="F79" s="9"/>
      <c r="G79" s="86"/>
      <c r="W79" s="86"/>
      <c r="X79" s="86"/>
      <c r="Y79" s="86"/>
      <c r="Z79" s="86"/>
      <c r="AA79" s="88"/>
    </row>
    <row r="80" spans="1:27" s="86" customFormat="1" x14ac:dyDescent="0.25">
      <c r="A80" s="85" t="s">
        <v>419</v>
      </c>
      <c r="F80" s="87"/>
      <c r="AA80" s="88"/>
    </row>
    <row r="81" spans="1:27" s="86" customFormat="1" x14ac:dyDescent="0.25">
      <c r="A81" s="85" t="s">
        <v>314</v>
      </c>
      <c r="F81" s="87"/>
      <c r="AA81" s="88"/>
    </row>
    <row r="82" spans="1:27" s="86" customFormat="1" x14ac:dyDescent="0.25">
      <c r="A82" s="85" t="s">
        <v>466</v>
      </c>
      <c r="B82"/>
      <c r="C82"/>
      <c r="D82" s="9"/>
      <c r="E82"/>
      <c r="F82" s="87"/>
      <c r="G82"/>
      <c r="W82"/>
      <c r="X82"/>
      <c r="Y82"/>
      <c r="Z82"/>
      <c r="AA82"/>
    </row>
    <row r="83" spans="1:27" x14ac:dyDescent="0.25">
      <c r="A83" s="48" t="s">
        <v>315</v>
      </c>
      <c r="D83" s="9"/>
      <c r="AA83"/>
    </row>
    <row r="84" spans="1:27" x14ac:dyDescent="0.25">
      <c r="A84" s="48"/>
      <c r="D84" s="9"/>
      <c r="AA84"/>
    </row>
    <row r="85" spans="1:27" x14ac:dyDescent="0.25">
      <c r="A85" s="48"/>
    </row>
    <row r="86" spans="1:27" x14ac:dyDescent="0.25">
      <c r="A86" s="2"/>
      <c r="E86" s="74"/>
      <c r="F86" s="9"/>
    </row>
    <row r="87" spans="1:27" x14ac:dyDescent="0.25">
      <c r="E87" s="74"/>
    </row>
    <row r="88" spans="1:27" x14ac:dyDescent="0.25">
      <c r="E88" s="75"/>
    </row>
  </sheetData>
  <pageMargins left="0.17" right="0.18" top="0.28000000000000003" bottom="0.17" header="0.3" footer="0.3"/>
  <pageSetup scale="76" fitToWidth="0" orientation="portrait" horizontalDpi="1200" verticalDpi="1200" r:id="rId1"/>
  <drawing r:id="rId2"/>
  <legacyDrawing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002060"/>
    <pageSetUpPr fitToPage="1"/>
  </sheetPr>
  <dimension ref="A1:AH89"/>
  <sheetViews>
    <sheetView zoomScale="80" zoomScaleNormal="80" workbookViewId="0"/>
  </sheetViews>
  <sheetFormatPr defaultColWidth="9.109375" defaultRowHeight="13.2" outlineLevelCol="1" x14ac:dyDescent="0.25"/>
  <cols>
    <col min="1" max="1" width="35.109375" customWidth="1"/>
    <col min="4" max="4" width="9.109375" hidden="1" customWidth="1" outlineLevel="1"/>
    <col min="5" max="5" width="12.5546875" hidden="1" customWidth="1" outlineLevel="1"/>
    <col min="6" max="6" width="9.109375" collapsed="1"/>
    <col min="7" max="7" width="11.5546875" customWidth="1"/>
    <col min="11" max="11" width="11" bestFit="1" customWidth="1"/>
    <col min="12" max="12" width="4.88671875" bestFit="1" customWidth="1"/>
    <col min="17" max="26" width="9.109375" hidden="1" customWidth="1" outlineLevel="1"/>
    <col min="27" max="27" width="12.5546875" style="66" hidden="1" customWidth="1" outlineLevel="1"/>
    <col min="28" max="33" width="9.109375" hidden="1" customWidth="1" outlineLevel="1"/>
    <col min="34" max="34" width="9.109375" collapsed="1"/>
  </cols>
  <sheetData>
    <row r="1" spans="1:33" ht="18" x14ac:dyDescent="0.35">
      <c r="A1" s="40" t="s">
        <v>477</v>
      </c>
    </row>
    <row r="2" spans="1:33" ht="18" x14ac:dyDescent="0.35">
      <c r="A2" s="40"/>
    </row>
    <row r="3" spans="1:33" ht="18" x14ac:dyDescent="0.35">
      <c r="A3" s="40"/>
    </row>
    <row r="4" spans="1:33" ht="18" x14ac:dyDescent="0.35">
      <c r="A4" s="40"/>
    </row>
    <row r="5" spans="1:33" ht="13.8" x14ac:dyDescent="0.3">
      <c r="E5" s="65" t="s">
        <v>434</v>
      </c>
      <c r="AA5" s="65" t="s">
        <v>434</v>
      </c>
      <c r="AF5" s="82" t="s">
        <v>435</v>
      </c>
      <c r="AG5" s="81"/>
    </row>
    <row r="6" spans="1:33" ht="13.8" x14ac:dyDescent="0.3">
      <c r="A6" s="38" t="s">
        <v>212</v>
      </c>
      <c r="B6" s="39" t="s">
        <v>478</v>
      </c>
      <c r="C6" s="14"/>
      <c r="D6" s="14"/>
      <c r="E6" s="64">
        <v>40178</v>
      </c>
      <c r="W6" s="38" t="s">
        <v>212</v>
      </c>
      <c r="X6" s="39" t="s">
        <v>478</v>
      </c>
      <c r="Y6" s="14"/>
      <c r="Z6" s="14"/>
      <c r="AA6" s="64">
        <v>40178</v>
      </c>
      <c r="AC6" s="67" t="s">
        <v>136</v>
      </c>
      <c r="AD6" s="68"/>
      <c r="AE6" s="68"/>
      <c r="AF6" s="42">
        <f>AVERAGE(Y$13:Y$47)</f>
        <v>14.2</v>
      </c>
      <c r="AG6" s="79"/>
    </row>
    <row r="7" spans="1:33" ht="14.4" thickBot="1" x14ac:dyDescent="0.35">
      <c r="A7" s="37" t="s">
        <v>431</v>
      </c>
      <c r="B7" s="44" t="s">
        <v>164</v>
      </c>
      <c r="C7" s="44">
        <v>18</v>
      </c>
      <c r="D7" s="44" t="s">
        <v>432</v>
      </c>
      <c r="E7" s="60">
        <f>VLOOKUP($D7,$Q$7:$R$69,2,0)</f>
        <v>0.99706741779950658</v>
      </c>
      <c r="F7" s="356"/>
      <c r="G7" s="57" t="s">
        <v>210</v>
      </c>
      <c r="H7" s="57" t="s">
        <v>134</v>
      </c>
      <c r="I7" s="57" t="s">
        <v>135</v>
      </c>
      <c r="N7" s="122"/>
      <c r="O7" s="122"/>
      <c r="Q7" s="93" t="s">
        <v>226</v>
      </c>
      <c r="R7" s="94">
        <v>0.82576712904581762</v>
      </c>
      <c r="S7" s="93" t="s">
        <v>203</v>
      </c>
      <c r="W7" s="37" t="s">
        <v>437</v>
      </c>
      <c r="X7" s="44" t="s">
        <v>139</v>
      </c>
      <c r="Y7" s="44">
        <v>16</v>
      </c>
      <c r="Z7" s="44" t="s">
        <v>438</v>
      </c>
      <c r="AA7" s="70" t="s">
        <v>423</v>
      </c>
      <c r="AC7" s="57" t="s">
        <v>210</v>
      </c>
      <c r="AD7" s="57" t="s">
        <v>134</v>
      </c>
      <c r="AE7" s="57" t="s">
        <v>135</v>
      </c>
      <c r="AG7" s="80"/>
    </row>
    <row r="8" spans="1:33" ht="13.8" x14ac:dyDescent="0.3">
      <c r="A8" s="37" t="s">
        <v>479</v>
      </c>
      <c r="B8" s="44" t="s">
        <v>166</v>
      </c>
      <c r="C8" s="44">
        <v>17</v>
      </c>
      <c r="D8" s="44" t="s">
        <v>241</v>
      </c>
      <c r="E8" s="60">
        <f>VLOOKUP($D8,$Q$7:$R$69,2,0)</f>
        <v>0.55330389203021169</v>
      </c>
      <c r="F8" s="356"/>
      <c r="G8" s="37" t="s">
        <v>137</v>
      </c>
      <c r="H8" s="49">
        <f>COUNTIF(C$7:C$75,"&gt;16")</f>
        <v>5</v>
      </c>
      <c r="I8" s="50">
        <f>H8/H$14</f>
        <v>7.575757575757576E-2</v>
      </c>
      <c r="K8" s="122"/>
      <c r="M8" s="122"/>
      <c r="N8" s="122"/>
      <c r="O8" s="122"/>
      <c r="Q8" s="93" t="s">
        <v>223</v>
      </c>
      <c r="R8" s="94">
        <v>0.97067096880946468</v>
      </c>
      <c r="S8" s="93" t="s">
        <v>203</v>
      </c>
      <c r="W8" s="37" t="s">
        <v>439</v>
      </c>
      <c r="X8" s="44" t="s">
        <v>139</v>
      </c>
      <c r="Y8" s="44">
        <v>16</v>
      </c>
      <c r="Z8" s="44" t="s">
        <v>440</v>
      </c>
      <c r="AA8" s="70" t="s">
        <v>423</v>
      </c>
      <c r="AC8" s="37" t="s">
        <v>137</v>
      </c>
      <c r="AD8" s="49">
        <f>COUNTIF(Y$13:Y$47,"&gt;16")</f>
        <v>3</v>
      </c>
      <c r="AE8" s="50">
        <f>AD8/AD$14</f>
        <v>8.5714285714285715E-2</v>
      </c>
      <c r="AG8" s="80"/>
    </row>
    <row r="9" spans="1:33" ht="13.8" x14ac:dyDescent="0.3">
      <c r="A9" s="37" t="s">
        <v>293</v>
      </c>
      <c r="B9" s="44" t="s">
        <v>166</v>
      </c>
      <c r="C9" s="44">
        <v>17</v>
      </c>
      <c r="D9" s="44" t="s">
        <v>294</v>
      </c>
      <c r="E9" s="60">
        <f t="shared" ref="E9:E68" si="0">VLOOKUP($D9,$Q$7:$R$75,2,0)</f>
        <v>0.93000422702993502</v>
      </c>
      <c r="F9" s="356"/>
      <c r="G9" s="37" t="s">
        <v>139</v>
      </c>
      <c r="H9" s="49">
        <f>COUNTIF(C$7:C$75,"=16")</f>
        <v>8</v>
      </c>
      <c r="I9" s="50">
        <f t="shared" ref="I9:I14" si="1">H9/H$14</f>
        <v>0.12121212121212122</v>
      </c>
      <c r="K9" s="122"/>
      <c r="M9" s="122"/>
      <c r="N9" s="122"/>
      <c r="O9" s="122"/>
      <c r="Q9" s="93" t="s">
        <v>441</v>
      </c>
      <c r="R9" s="94">
        <v>1</v>
      </c>
      <c r="S9" s="93" t="s">
        <v>203</v>
      </c>
      <c r="W9" s="37" t="s">
        <v>442</v>
      </c>
      <c r="X9" s="44" t="s">
        <v>140</v>
      </c>
      <c r="Y9" s="44">
        <v>15</v>
      </c>
      <c r="Z9" s="44" t="s">
        <v>443</v>
      </c>
      <c r="AA9" s="70" t="s">
        <v>423</v>
      </c>
      <c r="AC9" s="37" t="s">
        <v>139</v>
      </c>
      <c r="AD9" s="49">
        <f>COUNTIF(Y$13:Y$47,"=16")</f>
        <v>4</v>
      </c>
      <c r="AE9" s="50">
        <f t="shared" ref="AE9:AE14" si="2">AD9/AD$14</f>
        <v>0.11428571428571428</v>
      </c>
      <c r="AG9" s="80"/>
    </row>
    <row r="10" spans="1:33" ht="13.8" x14ac:dyDescent="0.3">
      <c r="A10" s="45" t="s">
        <v>227</v>
      </c>
      <c r="B10" s="46" t="s">
        <v>139</v>
      </c>
      <c r="C10" s="46">
        <v>16</v>
      </c>
      <c r="D10" s="46" t="s">
        <v>228</v>
      </c>
      <c r="E10" s="61">
        <f t="shared" si="0"/>
        <v>0.89410444897115693</v>
      </c>
      <c r="F10" s="356"/>
      <c r="G10" s="37" t="s">
        <v>140</v>
      </c>
      <c r="H10" s="49">
        <f>COUNTIF(C$7:C$75,"=15")</f>
        <v>15</v>
      </c>
      <c r="I10" s="50">
        <f t="shared" si="1"/>
        <v>0.22727272727272727</v>
      </c>
      <c r="K10" s="122"/>
      <c r="M10" s="122"/>
      <c r="N10" s="122"/>
      <c r="O10" s="122"/>
      <c r="Q10" s="93" t="s">
        <v>218</v>
      </c>
      <c r="R10" s="94">
        <v>0.91262379340604238</v>
      </c>
      <c r="S10" s="93" t="s">
        <v>203</v>
      </c>
      <c r="W10" s="37" t="s">
        <v>444</v>
      </c>
      <c r="X10" s="44" t="s">
        <v>140</v>
      </c>
      <c r="Y10" s="44">
        <v>15</v>
      </c>
      <c r="Z10" s="44" t="s">
        <v>445</v>
      </c>
      <c r="AA10" s="70" t="s">
        <v>423</v>
      </c>
      <c r="AC10" s="37" t="s">
        <v>140</v>
      </c>
      <c r="AD10" s="49">
        <f>COUNTIF(Y$13:Y$47,"=15")</f>
        <v>7</v>
      </c>
      <c r="AE10" s="50">
        <f t="shared" si="2"/>
        <v>0.2</v>
      </c>
      <c r="AG10" s="80"/>
    </row>
    <row r="11" spans="1:33" ht="13.8" x14ac:dyDescent="0.3">
      <c r="A11" s="45" t="s">
        <v>361</v>
      </c>
      <c r="B11" s="46" t="s">
        <v>139</v>
      </c>
      <c r="C11" s="46">
        <v>16</v>
      </c>
      <c r="D11" s="46" t="s">
        <v>194</v>
      </c>
      <c r="E11" s="61">
        <f t="shared" si="0"/>
        <v>0.58142655748172922</v>
      </c>
      <c r="F11" s="356"/>
      <c r="G11" s="37" t="s">
        <v>141</v>
      </c>
      <c r="H11" s="49">
        <f>COUNTIF(C$7:C$75,"=14")</f>
        <v>19</v>
      </c>
      <c r="I11" s="50">
        <f t="shared" si="1"/>
        <v>0.2878787878787879</v>
      </c>
      <c r="K11" s="122"/>
      <c r="M11" s="122"/>
      <c r="N11" s="122"/>
      <c r="O11" s="122"/>
      <c r="Q11" s="93" t="s">
        <v>239</v>
      </c>
      <c r="R11" s="94">
        <v>0.9427287640364086</v>
      </c>
      <c r="S11" s="93" t="s">
        <v>203</v>
      </c>
      <c r="W11" s="37" t="s">
        <v>446</v>
      </c>
      <c r="X11" s="44" t="s">
        <v>141</v>
      </c>
      <c r="Y11" s="44">
        <v>14</v>
      </c>
      <c r="Z11" s="44" t="s">
        <v>447</v>
      </c>
      <c r="AA11" s="70" t="s">
        <v>423</v>
      </c>
      <c r="AC11" s="37" t="s">
        <v>141</v>
      </c>
      <c r="AD11" s="49">
        <f>COUNTIF(Y$13:Y$47,"=14")</f>
        <v>10</v>
      </c>
      <c r="AE11" s="50">
        <f t="shared" si="2"/>
        <v>0.2857142857142857</v>
      </c>
      <c r="AG11" s="80"/>
    </row>
    <row r="12" spans="1:33" ht="13.8" x14ac:dyDescent="0.3">
      <c r="A12" s="45" t="s">
        <v>259</v>
      </c>
      <c r="B12" s="46" t="s">
        <v>139</v>
      </c>
      <c r="C12" s="46">
        <v>16</v>
      </c>
      <c r="D12" s="46" t="s">
        <v>454</v>
      </c>
      <c r="E12" s="61">
        <f t="shared" si="0"/>
        <v>1</v>
      </c>
      <c r="F12" s="356"/>
      <c r="G12" s="37" t="s">
        <v>142</v>
      </c>
      <c r="H12" s="49">
        <f>COUNTIF(C$7:C$75,"=13")</f>
        <v>14</v>
      </c>
      <c r="I12" s="50">
        <f t="shared" si="1"/>
        <v>0.21212121212121213</v>
      </c>
      <c r="Q12" s="93" t="s">
        <v>448</v>
      </c>
      <c r="R12" s="94">
        <v>0.62875460562079877</v>
      </c>
      <c r="S12" s="93" t="s">
        <v>204</v>
      </c>
      <c r="W12" s="37" t="s">
        <v>449</v>
      </c>
      <c r="X12" s="44" t="s">
        <v>142</v>
      </c>
      <c r="Y12" s="44">
        <v>13</v>
      </c>
      <c r="Z12" s="44" t="s">
        <v>450</v>
      </c>
      <c r="AA12" s="70" t="s">
        <v>423</v>
      </c>
      <c r="AC12" s="37" t="s">
        <v>142</v>
      </c>
      <c r="AD12" s="49">
        <f>COUNTIF(Y$13:Y$47,"=13")</f>
        <v>7</v>
      </c>
      <c r="AE12" s="50">
        <f t="shared" si="2"/>
        <v>0.2</v>
      </c>
      <c r="AG12" s="80"/>
    </row>
    <row r="13" spans="1:33" ht="14.4" thickBot="1" x14ac:dyDescent="0.35">
      <c r="A13" s="45" t="s">
        <v>263</v>
      </c>
      <c r="B13" s="46" t="s">
        <v>139</v>
      </c>
      <c r="C13" s="46">
        <v>16</v>
      </c>
      <c r="D13" s="46" t="s">
        <v>264</v>
      </c>
      <c r="E13" s="61">
        <f t="shared" si="0"/>
        <v>0.7497019635343618</v>
      </c>
      <c r="F13" s="356"/>
      <c r="G13" s="53" t="s">
        <v>143</v>
      </c>
      <c r="H13" s="55">
        <f>COUNTIF(C$7:C$75,"&lt;13")</f>
        <v>5</v>
      </c>
      <c r="I13" s="56">
        <f t="shared" si="1"/>
        <v>7.575757575757576E-2</v>
      </c>
      <c r="Q13" s="93" t="s">
        <v>246</v>
      </c>
      <c r="R13" s="94">
        <v>0.70643925978729205</v>
      </c>
      <c r="S13" s="93" t="s">
        <v>204</v>
      </c>
      <c r="W13" s="37" t="s">
        <v>352</v>
      </c>
      <c r="X13" s="44" t="s">
        <v>141</v>
      </c>
      <c r="Y13" s="44">
        <v>14</v>
      </c>
      <c r="Z13" s="44" t="s">
        <v>353</v>
      </c>
      <c r="AA13" s="70">
        <v>1.0333026830763428</v>
      </c>
      <c r="AC13" s="53" t="s">
        <v>143</v>
      </c>
      <c r="AD13" s="55">
        <f>COUNTIF(Y$13:Y$47,"&lt;13")</f>
        <v>4</v>
      </c>
      <c r="AE13" s="56">
        <f t="shared" si="2"/>
        <v>0.11428571428571428</v>
      </c>
      <c r="AG13" s="80"/>
    </row>
    <row r="14" spans="1:33" ht="13.8" x14ac:dyDescent="0.3">
      <c r="A14" s="45" t="s">
        <v>460</v>
      </c>
      <c r="B14" s="46" t="s">
        <v>139</v>
      </c>
      <c r="C14" s="46">
        <v>16</v>
      </c>
      <c r="D14" s="46" t="s">
        <v>455</v>
      </c>
      <c r="E14" s="61">
        <f t="shared" si="0"/>
        <v>0.96341849943457658</v>
      </c>
      <c r="F14" s="356"/>
      <c r="G14" s="41" t="s">
        <v>144</v>
      </c>
      <c r="H14" s="51">
        <f>SUM(H8:H13)</f>
        <v>66</v>
      </c>
      <c r="I14" s="52">
        <f t="shared" si="1"/>
        <v>1</v>
      </c>
      <c r="Q14" s="93" t="s">
        <v>451</v>
      </c>
      <c r="R14" s="94">
        <v>0.7469877361024081</v>
      </c>
      <c r="S14" s="93" t="s">
        <v>204</v>
      </c>
      <c r="W14" s="37" t="s">
        <v>367</v>
      </c>
      <c r="X14" s="44" t="s">
        <v>142</v>
      </c>
      <c r="Y14" s="44">
        <v>13</v>
      </c>
      <c r="Z14" s="44" t="s">
        <v>368</v>
      </c>
      <c r="AA14" s="70">
        <v>1.0293089747728885</v>
      </c>
      <c r="AC14" s="41" t="s">
        <v>144</v>
      </c>
      <c r="AD14" s="51">
        <f>SUM(AD8:AD13)</f>
        <v>35</v>
      </c>
      <c r="AE14" s="52">
        <f t="shared" si="2"/>
        <v>1</v>
      </c>
      <c r="AG14" s="80"/>
    </row>
    <row r="15" spans="1:33" ht="13.8" x14ac:dyDescent="0.3">
      <c r="A15" s="45" t="s">
        <v>437</v>
      </c>
      <c r="B15" s="46" t="s">
        <v>139</v>
      </c>
      <c r="C15" s="46">
        <v>16</v>
      </c>
      <c r="D15" s="46" t="s">
        <v>438</v>
      </c>
      <c r="E15" s="61" t="s">
        <v>423</v>
      </c>
      <c r="F15" s="356"/>
      <c r="K15" s="5"/>
      <c r="Q15" s="93" t="s">
        <v>452</v>
      </c>
      <c r="R15" s="94">
        <v>0.27216238256230779</v>
      </c>
      <c r="S15" s="93" t="s">
        <v>194</v>
      </c>
      <c r="W15" s="37" t="s">
        <v>259</v>
      </c>
      <c r="X15" s="44" t="s">
        <v>139</v>
      </c>
      <c r="Y15" s="44">
        <v>16</v>
      </c>
      <c r="Z15" s="44" t="s">
        <v>454</v>
      </c>
      <c r="AA15" s="70">
        <v>1</v>
      </c>
      <c r="AG15" s="80"/>
    </row>
    <row r="16" spans="1:33" ht="13.8" x14ac:dyDescent="0.3">
      <c r="A16" s="45" t="s">
        <v>439</v>
      </c>
      <c r="B16" s="46" t="s">
        <v>139</v>
      </c>
      <c r="C16" s="46">
        <v>16</v>
      </c>
      <c r="D16" s="46" t="s">
        <v>440</v>
      </c>
      <c r="E16" s="61" t="s">
        <v>423</v>
      </c>
      <c r="F16" s="356"/>
      <c r="K16" s="5"/>
      <c r="Q16" s="93" t="s">
        <v>453</v>
      </c>
      <c r="R16" s="94">
        <v>0.87497195036407094</v>
      </c>
      <c r="S16" s="93" t="s">
        <v>203</v>
      </c>
      <c r="W16" s="37" t="s">
        <v>285</v>
      </c>
      <c r="X16" s="44" t="s">
        <v>140</v>
      </c>
      <c r="Y16" s="44">
        <v>15</v>
      </c>
      <c r="Z16" s="44" t="s">
        <v>286</v>
      </c>
      <c r="AA16" s="70">
        <v>1</v>
      </c>
      <c r="AG16" s="80"/>
    </row>
    <row r="17" spans="1:33" ht="13.8" x14ac:dyDescent="0.3">
      <c r="A17" s="45" t="s">
        <v>345</v>
      </c>
      <c r="B17" s="46" t="s">
        <v>139</v>
      </c>
      <c r="C17" s="46">
        <v>16</v>
      </c>
      <c r="D17" s="46" t="s">
        <v>346</v>
      </c>
      <c r="E17" s="61">
        <f t="shared" si="0"/>
        <v>0.96644084643352246</v>
      </c>
      <c r="F17" s="356"/>
      <c r="K17" s="5"/>
      <c r="Q17" s="93" t="s">
        <v>257</v>
      </c>
      <c r="R17" s="94">
        <v>0.90135028841111697</v>
      </c>
      <c r="S17" s="93" t="s">
        <v>203</v>
      </c>
      <c r="W17" s="37" t="s">
        <v>328</v>
      </c>
      <c r="X17" s="44" t="s">
        <v>141</v>
      </c>
      <c r="Y17" s="44">
        <v>14</v>
      </c>
      <c r="Z17" s="44" t="s">
        <v>331</v>
      </c>
      <c r="AA17" s="70">
        <v>1</v>
      </c>
      <c r="AC17" s="67" t="s">
        <v>145</v>
      </c>
      <c r="AD17" s="68"/>
      <c r="AE17" s="68"/>
      <c r="AF17" s="42">
        <f>AVERAGE(Y$48:Y$67)</f>
        <v>14.6</v>
      </c>
      <c r="AG17" s="79"/>
    </row>
    <row r="18" spans="1:33" ht="14.4" thickBot="1" x14ac:dyDescent="0.35">
      <c r="A18" s="37" t="s">
        <v>217</v>
      </c>
      <c r="B18" s="44" t="s">
        <v>140</v>
      </c>
      <c r="C18" s="44">
        <v>15</v>
      </c>
      <c r="D18" s="44" t="s">
        <v>218</v>
      </c>
      <c r="E18" s="60">
        <f t="shared" si="0"/>
        <v>0.91262379340604238</v>
      </c>
      <c r="F18" s="356"/>
      <c r="K18" s="5"/>
      <c r="Q18" s="93" t="s">
        <v>378</v>
      </c>
      <c r="R18" s="94">
        <v>0.91044690077830015</v>
      </c>
      <c r="S18" s="93" t="s">
        <v>203</v>
      </c>
      <c r="W18" s="37" t="s">
        <v>287</v>
      </c>
      <c r="X18" s="44" t="s">
        <v>142</v>
      </c>
      <c r="Y18" s="44">
        <v>13</v>
      </c>
      <c r="Z18" s="44" t="s">
        <v>441</v>
      </c>
      <c r="AA18" s="70">
        <v>1</v>
      </c>
      <c r="AC18" s="57" t="s">
        <v>210</v>
      </c>
      <c r="AD18" s="57" t="s">
        <v>134</v>
      </c>
      <c r="AE18" s="57" t="s">
        <v>135</v>
      </c>
      <c r="AG18" s="80"/>
    </row>
    <row r="19" spans="1:33" ht="13.8" x14ac:dyDescent="0.3">
      <c r="A19" s="37" t="s">
        <v>219</v>
      </c>
      <c r="B19" s="44" t="s">
        <v>140</v>
      </c>
      <c r="C19" s="44">
        <v>15</v>
      </c>
      <c r="D19" s="44" t="s">
        <v>220</v>
      </c>
      <c r="E19" s="60">
        <f t="shared" si="0"/>
        <v>0.84890438247011957</v>
      </c>
      <c r="F19" s="356"/>
      <c r="K19" s="5"/>
      <c r="Q19" s="93" t="s">
        <v>250</v>
      </c>
      <c r="R19" s="94">
        <v>0.72270267536539723</v>
      </c>
      <c r="S19" s="93" t="s">
        <v>204</v>
      </c>
      <c r="W19" s="37" t="s">
        <v>354</v>
      </c>
      <c r="X19" s="44" t="s">
        <v>142</v>
      </c>
      <c r="Y19" s="44">
        <v>13</v>
      </c>
      <c r="Z19" s="44" t="s">
        <v>355</v>
      </c>
      <c r="AA19" s="70">
        <v>1</v>
      </c>
      <c r="AC19" s="37" t="s">
        <v>137</v>
      </c>
      <c r="AD19" s="49">
        <f>COUNTIF(Y$48:Y$67,"&gt;16")</f>
        <v>2</v>
      </c>
      <c r="AE19" s="50">
        <f>AD19/AD$14</f>
        <v>5.7142857142857141E-2</v>
      </c>
      <c r="AG19" s="80"/>
    </row>
    <row r="20" spans="1:33" ht="13.8" x14ac:dyDescent="0.3">
      <c r="A20" s="37" t="s">
        <v>395</v>
      </c>
      <c r="B20" s="44" t="s">
        <v>140</v>
      </c>
      <c r="C20" s="44">
        <v>15</v>
      </c>
      <c r="D20" s="44" t="s">
        <v>396</v>
      </c>
      <c r="E20" s="60">
        <f t="shared" si="0"/>
        <v>0.66731657086909912</v>
      </c>
      <c r="F20" s="356"/>
      <c r="K20" s="5"/>
      <c r="Q20" s="93" t="s">
        <v>425</v>
      </c>
      <c r="R20" s="94">
        <v>0.99675869094774683</v>
      </c>
      <c r="S20" s="93" t="s">
        <v>203</v>
      </c>
      <c r="W20" s="37" t="s">
        <v>301</v>
      </c>
      <c r="X20" s="44" t="s">
        <v>140</v>
      </c>
      <c r="Y20" s="44">
        <v>15</v>
      </c>
      <c r="Z20" s="44" t="s">
        <v>302</v>
      </c>
      <c r="AA20" s="70">
        <v>0.99967400162999187</v>
      </c>
      <c r="AC20" s="37" t="s">
        <v>139</v>
      </c>
      <c r="AD20" s="49">
        <f>COUNTIF(Y$48:Y$67,"=16")</f>
        <v>2</v>
      </c>
      <c r="AE20" s="50">
        <f t="shared" ref="AE20:AE25" si="3">AD20/AD$14</f>
        <v>5.7142857142857141E-2</v>
      </c>
      <c r="AG20" s="80"/>
    </row>
    <row r="21" spans="1:33" ht="13.8" x14ac:dyDescent="0.3">
      <c r="A21" s="37" t="s">
        <v>442</v>
      </c>
      <c r="B21" s="44" t="s">
        <v>140</v>
      </c>
      <c r="C21" s="44">
        <v>15</v>
      </c>
      <c r="D21" s="44" t="s">
        <v>443</v>
      </c>
      <c r="E21" s="60" t="s">
        <v>423</v>
      </c>
      <c r="F21" s="356"/>
      <c r="Q21" s="93" t="s">
        <v>194</v>
      </c>
      <c r="R21" s="94">
        <v>0.58142655748172922</v>
      </c>
      <c r="S21" s="93" t="s">
        <v>204</v>
      </c>
      <c r="W21" s="37" t="s">
        <v>411</v>
      </c>
      <c r="X21" s="44" t="s">
        <v>175</v>
      </c>
      <c r="Y21" s="44">
        <v>11</v>
      </c>
      <c r="Z21" s="44" t="s">
        <v>412</v>
      </c>
      <c r="AA21" s="70">
        <v>0.99872589064335693</v>
      </c>
      <c r="AC21" s="37" t="s">
        <v>140</v>
      </c>
      <c r="AD21" s="49">
        <f>COUNTIF(Y$48:Y$67,"=15")</f>
        <v>5</v>
      </c>
      <c r="AE21" s="50">
        <f t="shared" si="3"/>
        <v>0.14285714285714285</v>
      </c>
      <c r="AG21" s="80"/>
    </row>
    <row r="22" spans="1:33" ht="13.8" x14ac:dyDescent="0.3">
      <c r="A22" s="37" t="s">
        <v>444</v>
      </c>
      <c r="B22" s="44" t="s">
        <v>140</v>
      </c>
      <c r="C22" s="44">
        <v>15</v>
      </c>
      <c r="D22" s="44" t="s">
        <v>445</v>
      </c>
      <c r="E22" s="60" t="s">
        <v>423</v>
      </c>
      <c r="F22" s="356"/>
      <c r="Q22" s="93" t="s">
        <v>454</v>
      </c>
      <c r="R22" s="94">
        <v>1</v>
      </c>
      <c r="S22" s="93" t="s">
        <v>203</v>
      </c>
      <c r="W22" s="37" t="s">
        <v>431</v>
      </c>
      <c r="X22" s="44" t="s">
        <v>164</v>
      </c>
      <c r="Y22" s="44">
        <v>18</v>
      </c>
      <c r="Z22" s="44" t="s">
        <v>432</v>
      </c>
      <c r="AA22" s="70">
        <v>0.99706741779950658</v>
      </c>
      <c r="AC22" s="37" t="s">
        <v>141</v>
      </c>
      <c r="AD22" s="49">
        <f>COUNTIF(Y$48:Y$67,"=14")</f>
        <v>6</v>
      </c>
      <c r="AE22" s="50">
        <f t="shared" si="3"/>
        <v>0.17142857142857143</v>
      </c>
      <c r="AG22" s="80"/>
    </row>
    <row r="23" spans="1:33" ht="13.8" x14ac:dyDescent="0.3">
      <c r="A23" s="37" t="s">
        <v>271</v>
      </c>
      <c r="B23" s="44" t="s">
        <v>140</v>
      </c>
      <c r="C23" s="44">
        <v>15</v>
      </c>
      <c r="D23" s="44" t="s">
        <v>272</v>
      </c>
      <c r="E23" s="60">
        <f t="shared" si="0"/>
        <v>0.36017814864816144</v>
      </c>
      <c r="F23" s="356"/>
      <c r="Q23" s="93" t="s">
        <v>262</v>
      </c>
      <c r="R23" s="94">
        <v>0.81467245298615421</v>
      </c>
      <c r="S23" s="93" t="s">
        <v>203</v>
      </c>
      <c r="W23" s="37" t="s">
        <v>297</v>
      </c>
      <c r="X23" s="44" t="s">
        <v>141</v>
      </c>
      <c r="Y23" s="44">
        <v>14</v>
      </c>
      <c r="Z23" s="44" t="s">
        <v>298</v>
      </c>
      <c r="AA23" s="70">
        <v>0.99458022018280356</v>
      </c>
      <c r="AC23" s="37" t="s">
        <v>142</v>
      </c>
      <c r="AD23" s="49">
        <f>COUNTIF(Y$48:Y$67,"=13")</f>
        <v>5</v>
      </c>
      <c r="AE23" s="50">
        <f t="shared" si="3"/>
        <v>0.14285714285714285</v>
      </c>
      <c r="AG23" s="80"/>
    </row>
    <row r="24" spans="1:33" ht="14.4" thickBot="1" x14ac:dyDescent="0.35">
      <c r="A24" s="37" t="s">
        <v>408</v>
      </c>
      <c r="B24" s="44" t="s">
        <v>140</v>
      </c>
      <c r="C24" s="44">
        <v>15</v>
      </c>
      <c r="D24" s="44" t="s">
        <v>451</v>
      </c>
      <c r="E24" s="60">
        <f t="shared" si="0"/>
        <v>0.7469877361024081</v>
      </c>
      <c r="F24" s="356"/>
      <c r="Q24" s="93" t="s">
        <v>264</v>
      </c>
      <c r="R24" s="94">
        <v>0.7497019635343618</v>
      </c>
      <c r="S24" s="93" t="s">
        <v>204</v>
      </c>
      <c r="W24" s="37" t="s">
        <v>305</v>
      </c>
      <c r="X24" s="44" t="s">
        <v>173</v>
      </c>
      <c r="Y24" s="44">
        <v>12</v>
      </c>
      <c r="Z24" s="44" t="s">
        <v>456</v>
      </c>
      <c r="AA24" s="70">
        <v>0.99417211067658851</v>
      </c>
      <c r="AC24" s="53" t="s">
        <v>143</v>
      </c>
      <c r="AD24" s="55">
        <f>COUNTIF(Y$48:Y$67,"&lt;13")</f>
        <v>0</v>
      </c>
      <c r="AE24" s="56">
        <f t="shared" si="3"/>
        <v>0</v>
      </c>
      <c r="AG24" s="80"/>
    </row>
    <row r="25" spans="1:33" ht="13.8" x14ac:dyDescent="0.3">
      <c r="A25" s="37" t="s">
        <v>277</v>
      </c>
      <c r="B25" s="44" t="s">
        <v>140</v>
      </c>
      <c r="C25" s="44">
        <v>15</v>
      </c>
      <c r="D25" s="44" t="s">
        <v>278</v>
      </c>
      <c r="E25" s="60">
        <f t="shared" si="0"/>
        <v>0.75386351438754873</v>
      </c>
      <c r="F25" s="356"/>
      <c r="Q25" s="93" t="s">
        <v>455</v>
      </c>
      <c r="R25" s="94">
        <v>0.96341849943457658</v>
      </c>
      <c r="S25" s="93" t="s">
        <v>203</v>
      </c>
      <c r="W25" s="37" t="s">
        <v>389</v>
      </c>
      <c r="X25" s="44" t="s">
        <v>141</v>
      </c>
      <c r="Y25" s="44">
        <v>14</v>
      </c>
      <c r="Z25" s="44" t="s">
        <v>390</v>
      </c>
      <c r="AA25" s="70">
        <v>0.9915841495030967</v>
      </c>
      <c r="AC25" s="41" t="s">
        <v>144</v>
      </c>
      <c r="AD25" s="51">
        <f>SUM(AD19:AD24)</f>
        <v>20</v>
      </c>
      <c r="AE25" s="52">
        <f t="shared" si="3"/>
        <v>0.5714285714285714</v>
      </c>
      <c r="AG25" s="80"/>
    </row>
    <row r="26" spans="1:33" ht="13.8" x14ac:dyDescent="0.3">
      <c r="A26" s="37" t="s">
        <v>301</v>
      </c>
      <c r="B26" s="44" t="s">
        <v>140</v>
      </c>
      <c r="C26" s="44">
        <v>15</v>
      </c>
      <c r="D26" s="44" t="s">
        <v>302</v>
      </c>
      <c r="E26" s="60">
        <f t="shared" si="0"/>
        <v>0.99967400162999187</v>
      </c>
      <c r="F26" s="356"/>
      <c r="Q26" s="93" t="s">
        <v>228</v>
      </c>
      <c r="R26" s="94">
        <v>0.89410444897115693</v>
      </c>
      <c r="S26" s="93" t="s">
        <v>203</v>
      </c>
      <c r="W26" s="37" t="s">
        <v>281</v>
      </c>
      <c r="X26" s="44" t="s">
        <v>142</v>
      </c>
      <c r="Y26" s="44">
        <v>13</v>
      </c>
      <c r="Z26" s="44" t="s">
        <v>282</v>
      </c>
      <c r="AA26" s="70">
        <v>0.97501693766937669</v>
      </c>
      <c r="AG26" s="80"/>
    </row>
    <row r="27" spans="1:33" ht="13.8" x14ac:dyDescent="0.3">
      <c r="A27" s="37" t="s">
        <v>285</v>
      </c>
      <c r="B27" s="44" t="s">
        <v>140</v>
      </c>
      <c r="C27" s="44">
        <v>15</v>
      </c>
      <c r="D27" s="44" t="s">
        <v>286</v>
      </c>
      <c r="E27" s="60">
        <f t="shared" si="0"/>
        <v>1</v>
      </c>
      <c r="F27" s="356"/>
      <c r="Q27" s="93" t="s">
        <v>368</v>
      </c>
      <c r="R27" s="94">
        <v>1.0293089747728885</v>
      </c>
      <c r="S27" s="93" t="s">
        <v>203</v>
      </c>
      <c r="W27" s="37" t="s">
        <v>222</v>
      </c>
      <c r="X27" s="44" t="s">
        <v>141</v>
      </c>
      <c r="Y27" s="44">
        <v>14</v>
      </c>
      <c r="Z27" s="44" t="s">
        <v>223</v>
      </c>
      <c r="AA27" s="70">
        <v>0.97067096880946468</v>
      </c>
      <c r="AG27" s="80"/>
    </row>
    <row r="28" spans="1:33" ht="13.8" x14ac:dyDescent="0.3">
      <c r="A28" s="37" t="s">
        <v>427</v>
      </c>
      <c r="B28" s="44" t="s">
        <v>140</v>
      </c>
      <c r="C28" s="44">
        <v>15</v>
      </c>
      <c r="D28" s="44" t="s">
        <v>428</v>
      </c>
      <c r="E28" s="60">
        <f t="shared" si="0"/>
        <v>0.85164553720066594</v>
      </c>
      <c r="F28" s="356"/>
      <c r="Q28" s="93" t="s">
        <v>331</v>
      </c>
      <c r="R28" s="94">
        <v>1</v>
      </c>
      <c r="S28" s="93" t="s">
        <v>203</v>
      </c>
      <c r="W28" s="37" t="s">
        <v>458</v>
      </c>
      <c r="X28" s="44" t="s">
        <v>173</v>
      </c>
      <c r="Y28" s="44">
        <v>12</v>
      </c>
      <c r="Z28" s="44" t="s">
        <v>459</v>
      </c>
      <c r="AA28" s="70">
        <v>0.97028603165787286</v>
      </c>
      <c r="AC28" s="67" t="s">
        <v>147</v>
      </c>
      <c r="AD28" s="68"/>
      <c r="AE28" s="68"/>
      <c r="AF28" s="42">
        <f>AVERAGE(Y$68:Y$72)</f>
        <v>12.6</v>
      </c>
      <c r="AG28" s="79"/>
    </row>
    <row r="29" spans="1:33" ht="14.4" thickBot="1" x14ac:dyDescent="0.35">
      <c r="A29" s="37" t="s">
        <v>347</v>
      </c>
      <c r="B29" s="44" t="s">
        <v>140</v>
      </c>
      <c r="C29" s="44">
        <v>15</v>
      </c>
      <c r="D29" s="44" t="s">
        <v>348</v>
      </c>
      <c r="E29" s="60">
        <f t="shared" si="0"/>
        <v>0.77327600463039525</v>
      </c>
      <c r="F29" s="356"/>
      <c r="Q29" s="93" t="s">
        <v>457</v>
      </c>
      <c r="R29" s="94">
        <v>0.27230062686467099</v>
      </c>
      <c r="S29" s="93" t="s">
        <v>194</v>
      </c>
      <c r="W29" s="37" t="s">
        <v>345</v>
      </c>
      <c r="X29" s="44" t="s">
        <v>139</v>
      </c>
      <c r="Y29" s="44">
        <v>16</v>
      </c>
      <c r="Z29" s="44" t="s">
        <v>346</v>
      </c>
      <c r="AA29" s="70">
        <v>0.96644084643352246</v>
      </c>
      <c r="AC29" s="57" t="s">
        <v>210</v>
      </c>
      <c r="AD29" s="57" t="s">
        <v>134</v>
      </c>
      <c r="AE29" s="57" t="s">
        <v>135</v>
      </c>
    </row>
    <row r="30" spans="1:33" ht="13.8" x14ac:dyDescent="0.3">
      <c r="A30" s="37" t="s">
        <v>291</v>
      </c>
      <c r="B30" s="44" t="s">
        <v>140</v>
      </c>
      <c r="C30" s="44">
        <v>15</v>
      </c>
      <c r="D30" s="44" t="s">
        <v>292</v>
      </c>
      <c r="E30" s="60">
        <f t="shared" si="0"/>
        <v>0.614337822671156</v>
      </c>
      <c r="F30" s="356"/>
      <c r="Q30" s="93" t="s">
        <v>266</v>
      </c>
      <c r="R30" s="94">
        <v>0.78356336260978665</v>
      </c>
      <c r="S30" s="93" t="s">
        <v>204</v>
      </c>
      <c r="W30" s="37" t="s">
        <v>460</v>
      </c>
      <c r="X30" s="44" t="s">
        <v>139</v>
      </c>
      <c r="Y30" s="44">
        <v>16</v>
      </c>
      <c r="Z30" s="44" t="s">
        <v>455</v>
      </c>
      <c r="AA30" s="70">
        <v>0.96341849943457658</v>
      </c>
      <c r="AC30" s="37" t="s">
        <v>137</v>
      </c>
      <c r="AD30" s="49">
        <f>COUNTIF(Y$68:Y$72,"&gt;16")</f>
        <v>0</v>
      </c>
      <c r="AE30" s="50">
        <f>AD30/AD$14</f>
        <v>0</v>
      </c>
    </row>
    <row r="31" spans="1:33" ht="13.8" x14ac:dyDescent="0.3">
      <c r="A31" s="37" t="s">
        <v>247</v>
      </c>
      <c r="B31" s="44" t="s">
        <v>140</v>
      </c>
      <c r="C31" s="44">
        <v>15</v>
      </c>
      <c r="D31" s="44" t="s">
        <v>248</v>
      </c>
      <c r="E31" s="60">
        <f t="shared" si="0"/>
        <v>0.84932154135723226</v>
      </c>
      <c r="F31" s="356"/>
      <c r="K31" s="122"/>
      <c r="L31" s="122"/>
      <c r="Q31" s="93" t="s">
        <v>268</v>
      </c>
      <c r="R31" s="94">
        <v>0.79472908539599674</v>
      </c>
      <c r="S31" s="93" t="s">
        <v>204</v>
      </c>
      <c r="W31" s="37" t="s">
        <v>394</v>
      </c>
      <c r="X31" s="44" t="s">
        <v>141</v>
      </c>
      <c r="Y31" s="44">
        <v>14</v>
      </c>
      <c r="Z31" s="44" t="s">
        <v>236</v>
      </c>
      <c r="AA31" s="70">
        <v>0.9619710194413027</v>
      </c>
      <c r="AC31" s="37" t="s">
        <v>139</v>
      </c>
      <c r="AD31" s="49">
        <f>COUNTIF(Y$68:Y$72,"=16")</f>
        <v>0</v>
      </c>
      <c r="AE31" s="50">
        <f t="shared" ref="AE31:AE36" si="4">AD31/AD$14</f>
        <v>0</v>
      </c>
    </row>
    <row r="32" spans="1:33" ht="13.8" x14ac:dyDescent="0.3">
      <c r="A32" s="37" t="s">
        <v>251</v>
      </c>
      <c r="B32" s="44" t="s">
        <v>140</v>
      </c>
      <c r="C32" s="44">
        <v>15</v>
      </c>
      <c r="D32" s="44" t="s">
        <v>252</v>
      </c>
      <c r="E32" s="60">
        <f t="shared" si="0"/>
        <v>0.94699999999999995</v>
      </c>
      <c r="F32" s="356"/>
      <c r="L32" s="122"/>
      <c r="Q32" s="93" t="s">
        <v>270</v>
      </c>
      <c r="R32" s="94">
        <v>0.60422936152907691</v>
      </c>
      <c r="S32" s="93" t="s">
        <v>204</v>
      </c>
      <c r="W32" s="37" t="s">
        <v>283</v>
      </c>
      <c r="X32" s="44" t="s">
        <v>141</v>
      </c>
      <c r="Y32" s="44">
        <v>14</v>
      </c>
      <c r="Z32" s="44" t="s">
        <v>284</v>
      </c>
      <c r="AA32" s="70">
        <v>0.96099371344273887</v>
      </c>
      <c r="AC32" s="37" t="s">
        <v>140</v>
      </c>
      <c r="AD32" s="49">
        <f>COUNTIF(Y$68:Y$72,"=15")</f>
        <v>1</v>
      </c>
      <c r="AE32" s="50">
        <f t="shared" si="4"/>
        <v>2.8571428571428571E-2</v>
      </c>
    </row>
    <row r="33" spans="1:31" ht="13.8" x14ac:dyDescent="0.3">
      <c r="A33" s="45" t="s">
        <v>222</v>
      </c>
      <c r="B33" s="46" t="s">
        <v>141</v>
      </c>
      <c r="C33" s="46">
        <v>14</v>
      </c>
      <c r="D33" s="46" t="s">
        <v>223</v>
      </c>
      <c r="E33" s="61">
        <f t="shared" si="0"/>
        <v>0.97067096880946468</v>
      </c>
      <c r="F33" s="356"/>
      <c r="L33" s="122"/>
      <c r="Q33" s="93" t="s">
        <v>276</v>
      </c>
      <c r="R33" s="94">
        <v>0.66983442164179108</v>
      </c>
      <c r="S33" s="93" t="s">
        <v>204</v>
      </c>
      <c r="W33" s="37" t="s">
        <v>251</v>
      </c>
      <c r="X33" s="44" t="s">
        <v>140</v>
      </c>
      <c r="Y33" s="44">
        <v>15</v>
      </c>
      <c r="Z33" s="44" t="s">
        <v>252</v>
      </c>
      <c r="AA33" s="70">
        <v>0.94699999999999995</v>
      </c>
      <c r="AC33" s="37" t="s">
        <v>141</v>
      </c>
      <c r="AD33" s="49">
        <f>COUNTIF(Y$68:Y$72,"=14")</f>
        <v>2</v>
      </c>
      <c r="AE33" s="50">
        <f t="shared" si="4"/>
        <v>5.7142857142857141E-2</v>
      </c>
    </row>
    <row r="34" spans="1:31" ht="13.8" x14ac:dyDescent="0.3">
      <c r="A34" s="45" t="s">
        <v>249</v>
      </c>
      <c r="B34" s="46" t="s">
        <v>141</v>
      </c>
      <c r="C34" s="46">
        <v>14</v>
      </c>
      <c r="D34" s="46" t="s">
        <v>250</v>
      </c>
      <c r="E34" s="61">
        <f t="shared" si="0"/>
        <v>0.72270267536539723</v>
      </c>
      <c r="F34" s="356"/>
      <c r="L34" s="122"/>
      <c r="Q34" s="93" t="s">
        <v>353</v>
      </c>
      <c r="R34" s="94">
        <v>1.0333026830763428</v>
      </c>
      <c r="S34" s="93" t="s">
        <v>203</v>
      </c>
      <c r="W34" s="37" t="s">
        <v>238</v>
      </c>
      <c r="X34" s="44" t="s">
        <v>142</v>
      </c>
      <c r="Y34" s="44">
        <v>13</v>
      </c>
      <c r="Z34" s="44" t="s">
        <v>239</v>
      </c>
      <c r="AA34" s="70">
        <v>0.9427287640364086</v>
      </c>
      <c r="AC34" s="37" t="s">
        <v>142</v>
      </c>
      <c r="AD34" s="49">
        <f>COUNTIF(Y$68:Y$72,"=13")</f>
        <v>1</v>
      </c>
      <c r="AE34" s="50">
        <f t="shared" si="4"/>
        <v>2.8571428571428571E-2</v>
      </c>
    </row>
    <row r="35" spans="1:31" ht="14.4" thickBot="1" x14ac:dyDescent="0.35">
      <c r="A35" s="45" t="s">
        <v>254</v>
      </c>
      <c r="B35" s="46" t="s">
        <v>141</v>
      </c>
      <c r="C35" s="46">
        <v>14</v>
      </c>
      <c r="D35" s="46" t="s">
        <v>378</v>
      </c>
      <c r="E35" s="61">
        <f t="shared" si="0"/>
        <v>0.91044690077830015</v>
      </c>
      <c r="F35" s="356"/>
      <c r="G35" s="49" t="s">
        <v>373</v>
      </c>
      <c r="L35" s="122"/>
      <c r="Q35" s="93" t="s">
        <v>280</v>
      </c>
      <c r="R35" s="94">
        <v>0.44575810739314115</v>
      </c>
      <c r="S35" s="93" t="s">
        <v>194</v>
      </c>
      <c r="W35" s="37" t="s">
        <v>293</v>
      </c>
      <c r="X35" s="44" t="s">
        <v>166</v>
      </c>
      <c r="Y35" s="44">
        <v>17</v>
      </c>
      <c r="Z35" s="44" t="s">
        <v>294</v>
      </c>
      <c r="AA35" s="70">
        <v>0.93000422702993502</v>
      </c>
      <c r="AC35" s="53" t="s">
        <v>143</v>
      </c>
      <c r="AD35" s="55">
        <f>COUNTIF(Y$68:Y$72,"&lt;13")</f>
        <v>1</v>
      </c>
      <c r="AE35" s="56">
        <f t="shared" si="4"/>
        <v>2.8571428571428571E-2</v>
      </c>
    </row>
    <row r="36" spans="1:31" ht="13.8" x14ac:dyDescent="0.3">
      <c r="A36" s="45" t="s">
        <v>261</v>
      </c>
      <c r="B36" s="46" t="s">
        <v>141</v>
      </c>
      <c r="C36" s="46">
        <v>14</v>
      </c>
      <c r="D36" s="46" t="s">
        <v>262</v>
      </c>
      <c r="E36" s="61">
        <f t="shared" si="0"/>
        <v>0.81467245298615421</v>
      </c>
      <c r="F36" s="356"/>
      <c r="G36" s="92"/>
      <c r="H36" s="7"/>
      <c r="I36" s="7"/>
      <c r="L36" s="122"/>
      <c r="Q36" s="93" t="s">
        <v>284</v>
      </c>
      <c r="R36" s="94">
        <v>0.96099371344273887</v>
      </c>
      <c r="S36" s="93" t="s">
        <v>203</v>
      </c>
      <c r="W36" s="37" t="s">
        <v>217</v>
      </c>
      <c r="X36" s="44" t="s">
        <v>140</v>
      </c>
      <c r="Y36" s="44">
        <v>15</v>
      </c>
      <c r="Z36" s="44" t="s">
        <v>218</v>
      </c>
      <c r="AA36" s="70">
        <v>0.91262379340604238</v>
      </c>
      <c r="AC36" s="41" t="s">
        <v>144</v>
      </c>
      <c r="AD36" s="51">
        <f>SUM(AD30:AD35)</f>
        <v>5</v>
      </c>
      <c r="AE36" s="52">
        <f t="shared" si="4"/>
        <v>0.14285714285714285</v>
      </c>
    </row>
    <row r="37" spans="1:31" ht="13.8" x14ac:dyDescent="0.3">
      <c r="A37" s="45" t="s">
        <v>328</v>
      </c>
      <c r="B37" s="46" t="s">
        <v>141</v>
      </c>
      <c r="C37" s="46">
        <v>14</v>
      </c>
      <c r="D37" s="46" t="s">
        <v>331</v>
      </c>
      <c r="E37" s="61">
        <f t="shared" si="0"/>
        <v>1</v>
      </c>
      <c r="F37" s="356"/>
      <c r="H37" s="5"/>
      <c r="J37" s="7"/>
      <c r="Q37" s="93" t="s">
        <v>220</v>
      </c>
      <c r="R37" s="94">
        <v>0.84890438247011957</v>
      </c>
      <c r="S37" s="93" t="s">
        <v>203</v>
      </c>
      <c r="W37" s="37" t="s">
        <v>254</v>
      </c>
      <c r="X37" s="44" t="s">
        <v>141</v>
      </c>
      <c r="Y37" s="44">
        <v>14</v>
      </c>
      <c r="Z37" s="44" t="s">
        <v>378</v>
      </c>
      <c r="AA37" s="70">
        <v>0.91044690077830015</v>
      </c>
    </row>
    <row r="38" spans="1:31" ht="13.8" x14ac:dyDescent="0.3">
      <c r="A38" s="45" t="s">
        <v>267</v>
      </c>
      <c r="B38" s="46" t="s">
        <v>141</v>
      </c>
      <c r="C38" s="46">
        <v>14</v>
      </c>
      <c r="D38" s="46" t="s">
        <v>268</v>
      </c>
      <c r="E38" s="61">
        <f t="shared" si="0"/>
        <v>0.79472908539599674</v>
      </c>
      <c r="F38" s="356"/>
      <c r="H38" s="5"/>
      <c r="J38" s="8"/>
      <c r="Q38" s="93" t="s">
        <v>476</v>
      </c>
      <c r="R38" s="94">
        <v>0.98237685298627964</v>
      </c>
      <c r="S38" s="93" t="s">
        <v>203</v>
      </c>
      <c r="W38" s="37" t="s">
        <v>369</v>
      </c>
      <c r="X38" s="44" t="s">
        <v>141</v>
      </c>
      <c r="Y38" s="44">
        <v>14</v>
      </c>
      <c r="Z38" s="44" t="s">
        <v>375</v>
      </c>
      <c r="AA38" s="70">
        <v>0.90975829351063098</v>
      </c>
    </row>
    <row r="39" spans="1:31" ht="13.8" x14ac:dyDescent="0.3">
      <c r="A39" s="45" t="s">
        <v>269</v>
      </c>
      <c r="B39" s="46" t="s">
        <v>141</v>
      </c>
      <c r="C39" s="46">
        <v>14</v>
      </c>
      <c r="D39" s="46" t="s">
        <v>270</v>
      </c>
      <c r="E39" s="61">
        <f t="shared" si="0"/>
        <v>0.60422936152907691</v>
      </c>
      <c r="F39" s="356"/>
      <c r="H39" s="5"/>
      <c r="J39" s="8"/>
      <c r="Q39" s="93" t="s">
        <v>272</v>
      </c>
      <c r="R39" s="94">
        <v>0.36017814864816144</v>
      </c>
      <c r="S39" s="93" t="s">
        <v>194</v>
      </c>
      <c r="W39" s="37" t="s">
        <v>256</v>
      </c>
      <c r="X39" s="44" t="s">
        <v>142</v>
      </c>
      <c r="Y39" s="44">
        <v>13</v>
      </c>
      <c r="Z39" s="44" t="s">
        <v>257</v>
      </c>
      <c r="AA39" s="70">
        <v>0.90135028841111697</v>
      </c>
    </row>
    <row r="40" spans="1:31" ht="13.8" x14ac:dyDescent="0.3">
      <c r="A40" s="45" t="s">
        <v>275</v>
      </c>
      <c r="B40" s="46" t="s">
        <v>141</v>
      </c>
      <c r="C40" s="46">
        <v>14</v>
      </c>
      <c r="D40" s="46" t="s">
        <v>276</v>
      </c>
      <c r="E40" s="61">
        <f t="shared" si="0"/>
        <v>0.66983442164179108</v>
      </c>
      <c r="F40" s="356"/>
      <c r="H40" s="5"/>
      <c r="J40" s="8"/>
      <c r="Q40" s="93" t="s">
        <v>461</v>
      </c>
      <c r="R40" s="94">
        <v>0.77794419936265724</v>
      </c>
      <c r="S40" s="93" t="s">
        <v>204</v>
      </c>
      <c r="W40" s="37" t="s">
        <v>227</v>
      </c>
      <c r="X40" s="44" t="s">
        <v>139</v>
      </c>
      <c r="Y40" s="44">
        <v>16</v>
      </c>
      <c r="Z40" s="44" t="s">
        <v>228</v>
      </c>
      <c r="AA40" s="70">
        <v>0.89410444897115693</v>
      </c>
    </row>
    <row r="41" spans="1:31" ht="13.8" x14ac:dyDescent="0.3">
      <c r="A41" s="45" t="s">
        <v>352</v>
      </c>
      <c r="B41" s="46" t="s">
        <v>141</v>
      </c>
      <c r="C41" s="46">
        <v>14</v>
      </c>
      <c r="D41" s="46" t="s">
        <v>353</v>
      </c>
      <c r="E41" s="61">
        <f t="shared" si="0"/>
        <v>1.0333026830763428</v>
      </c>
      <c r="F41" s="356"/>
      <c r="H41" s="5"/>
      <c r="J41" s="8"/>
      <c r="Q41" s="93" t="s">
        <v>241</v>
      </c>
      <c r="R41" s="94">
        <v>0.55330389203021169</v>
      </c>
      <c r="S41" s="93" t="s">
        <v>204</v>
      </c>
      <c r="W41" s="37" t="s">
        <v>303</v>
      </c>
      <c r="X41" s="44" t="s">
        <v>177</v>
      </c>
      <c r="Y41" s="44">
        <v>10</v>
      </c>
      <c r="Z41" s="44" t="s">
        <v>304</v>
      </c>
      <c r="AA41" s="70">
        <v>0.89259170051200387</v>
      </c>
    </row>
    <row r="42" spans="1:31" ht="13.8" x14ac:dyDescent="0.3">
      <c r="A42" s="45" t="s">
        <v>446</v>
      </c>
      <c r="B42" s="46" t="s">
        <v>141</v>
      </c>
      <c r="C42" s="46">
        <v>14</v>
      </c>
      <c r="D42" s="46" t="s">
        <v>447</v>
      </c>
      <c r="E42" s="61" t="s">
        <v>423</v>
      </c>
      <c r="F42" s="356"/>
      <c r="H42" s="5"/>
      <c r="J42" s="8"/>
      <c r="Q42" s="93" t="s">
        <v>274</v>
      </c>
      <c r="R42" s="94">
        <v>0.58034319753835939</v>
      </c>
      <c r="S42" s="93" t="s">
        <v>204</v>
      </c>
      <c r="W42" s="37" t="s">
        <v>462</v>
      </c>
      <c r="X42" s="44" t="s">
        <v>166</v>
      </c>
      <c r="Y42" s="44">
        <v>17</v>
      </c>
      <c r="Z42" s="44" t="s">
        <v>453</v>
      </c>
      <c r="AA42" s="70">
        <v>0.87497195036407094</v>
      </c>
    </row>
    <row r="43" spans="1:31" ht="13.8" x14ac:dyDescent="0.3">
      <c r="A43" s="45" t="s">
        <v>279</v>
      </c>
      <c r="B43" s="46" t="s">
        <v>141</v>
      </c>
      <c r="C43" s="46">
        <v>14</v>
      </c>
      <c r="D43" s="46" t="s">
        <v>280</v>
      </c>
      <c r="E43" s="61">
        <f t="shared" si="0"/>
        <v>0.44575810739314115</v>
      </c>
      <c r="F43" s="356"/>
      <c r="Q43" s="93" t="s">
        <v>432</v>
      </c>
      <c r="R43" s="94">
        <v>0.99706741779950658</v>
      </c>
      <c r="S43" s="93" t="s">
        <v>203</v>
      </c>
      <c r="W43" s="37" t="s">
        <v>427</v>
      </c>
      <c r="X43" s="44" t="s">
        <v>140</v>
      </c>
      <c r="Y43" s="44">
        <v>15</v>
      </c>
      <c r="Z43" s="44" t="s">
        <v>428</v>
      </c>
      <c r="AA43" s="70">
        <v>0.85164553720066594</v>
      </c>
    </row>
    <row r="44" spans="1:31" ht="13.8" x14ac:dyDescent="0.3">
      <c r="A44" s="45" t="s">
        <v>283</v>
      </c>
      <c r="B44" s="46" t="s">
        <v>141</v>
      </c>
      <c r="C44" s="46">
        <v>14</v>
      </c>
      <c r="D44" s="46" t="s">
        <v>284</v>
      </c>
      <c r="E44" s="61">
        <f t="shared" si="0"/>
        <v>0.96099371344273887</v>
      </c>
      <c r="F44" s="356"/>
      <c r="Q44" s="93" t="s">
        <v>236</v>
      </c>
      <c r="R44" s="94">
        <v>0.9619710194413027</v>
      </c>
      <c r="S44" s="93" t="s">
        <v>203</v>
      </c>
      <c r="W44" s="37" t="s">
        <v>247</v>
      </c>
      <c r="X44" s="44" t="s">
        <v>140</v>
      </c>
      <c r="Y44" s="44">
        <v>15</v>
      </c>
      <c r="Z44" s="44" t="s">
        <v>248</v>
      </c>
      <c r="AA44" s="70">
        <v>0.84932154135723226</v>
      </c>
    </row>
    <row r="45" spans="1:31" ht="13.8" x14ac:dyDescent="0.3">
      <c r="A45" s="45" t="s">
        <v>394</v>
      </c>
      <c r="B45" s="46" t="s">
        <v>141</v>
      </c>
      <c r="C45" s="46">
        <v>14</v>
      </c>
      <c r="D45" s="46" t="s">
        <v>236</v>
      </c>
      <c r="E45" s="61">
        <f t="shared" si="0"/>
        <v>0.9619710194413027</v>
      </c>
      <c r="F45" s="356"/>
      <c r="Q45" s="93" t="s">
        <v>412</v>
      </c>
      <c r="R45" s="94">
        <v>0.99872589064335693</v>
      </c>
      <c r="S45" s="93" t="s">
        <v>203</v>
      </c>
      <c r="W45" s="37" t="s">
        <v>219</v>
      </c>
      <c r="X45" s="44" t="s">
        <v>140</v>
      </c>
      <c r="Y45" s="44">
        <v>15</v>
      </c>
      <c r="Z45" s="44" t="s">
        <v>220</v>
      </c>
      <c r="AA45" s="70">
        <v>0.84890438247011957</v>
      </c>
    </row>
    <row r="46" spans="1:31" ht="13.8" x14ac:dyDescent="0.3">
      <c r="A46" s="45" t="s">
        <v>297</v>
      </c>
      <c r="B46" s="46" t="s">
        <v>141</v>
      </c>
      <c r="C46" s="46">
        <v>14</v>
      </c>
      <c r="D46" s="46" t="s">
        <v>298</v>
      </c>
      <c r="E46" s="61">
        <f t="shared" si="0"/>
        <v>0.99458022018280356</v>
      </c>
      <c r="F46" s="356"/>
      <c r="G46" s="122"/>
      <c r="J46" s="122"/>
      <c r="Q46" s="93" t="s">
        <v>298</v>
      </c>
      <c r="R46" s="94">
        <v>0.99458022018280356</v>
      </c>
      <c r="S46" s="93" t="s">
        <v>203</v>
      </c>
      <c r="W46" s="37" t="s">
        <v>225</v>
      </c>
      <c r="X46" s="44" t="s">
        <v>142</v>
      </c>
      <c r="Y46" s="44">
        <v>13</v>
      </c>
      <c r="Z46" s="44" t="s">
        <v>226</v>
      </c>
      <c r="AA46" s="70">
        <v>0.82576712904581762</v>
      </c>
    </row>
    <row r="47" spans="1:31" ht="13.8" x14ac:dyDescent="0.3">
      <c r="A47" s="45" t="s">
        <v>382</v>
      </c>
      <c r="B47" s="46" t="s">
        <v>141</v>
      </c>
      <c r="C47" s="46">
        <v>14</v>
      </c>
      <c r="D47" s="46" t="s">
        <v>383</v>
      </c>
      <c r="E47" s="61">
        <f t="shared" si="0"/>
        <v>0.64890043729006908</v>
      </c>
      <c r="F47" s="356"/>
      <c r="G47" s="122"/>
      <c r="I47" s="122"/>
      <c r="J47" s="122"/>
      <c r="Q47" s="93" t="s">
        <v>278</v>
      </c>
      <c r="R47" s="94">
        <v>0.75386351438754873</v>
      </c>
      <c r="S47" s="93" t="s">
        <v>204</v>
      </c>
      <c r="W47" s="37" t="s">
        <v>261</v>
      </c>
      <c r="X47" s="44" t="s">
        <v>141</v>
      </c>
      <c r="Y47" s="44">
        <v>14</v>
      </c>
      <c r="Z47" s="44" t="s">
        <v>262</v>
      </c>
      <c r="AA47" s="70">
        <v>0.81467245298615421</v>
      </c>
    </row>
    <row r="48" spans="1:31" ht="13.8" x14ac:dyDescent="0.3">
      <c r="A48" s="45" t="s">
        <v>243</v>
      </c>
      <c r="B48" s="46" t="s">
        <v>141</v>
      </c>
      <c r="C48" s="46">
        <v>14</v>
      </c>
      <c r="D48" s="46" t="s">
        <v>244</v>
      </c>
      <c r="E48" s="61">
        <f t="shared" si="0"/>
        <v>0.42404692082111439</v>
      </c>
      <c r="F48" s="356"/>
      <c r="G48" s="122"/>
      <c r="I48" s="122"/>
      <c r="J48" s="122"/>
      <c r="Q48" s="93" t="s">
        <v>300</v>
      </c>
      <c r="R48" s="94">
        <v>0.63819230650865855</v>
      </c>
      <c r="S48" s="93" t="s">
        <v>204</v>
      </c>
      <c r="W48" s="37" t="s">
        <v>267</v>
      </c>
      <c r="X48" s="44" t="s">
        <v>141</v>
      </c>
      <c r="Y48" s="44">
        <v>14</v>
      </c>
      <c r="Z48" s="44" t="s">
        <v>268</v>
      </c>
      <c r="AA48" s="70">
        <v>0.79472908539599674</v>
      </c>
    </row>
    <row r="49" spans="1:27" ht="13.8" x14ac:dyDescent="0.3">
      <c r="A49" s="45" t="s">
        <v>289</v>
      </c>
      <c r="B49" s="46" t="s">
        <v>141</v>
      </c>
      <c r="C49" s="46">
        <v>14</v>
      </c>
      <c r="D49" s="46" t="s">
        <v>290</v>
      </c>
      <c r="E49" s="61">
        <f t="shared" si="0"/>
        <v>0.57546119039331711</v>
      </c>
      <c r="F49" s="356"/>
      <c r="G49" s="122"/>
      <c r="I49" s="122"/>
      <c r="J49" s="122"/>
      <c r="Q49" s="93" t="s">
        <v>302</v>
      </c>
      <c r="R49" s="94">
        <v>0.99967400162999187</v>
      </c>
      <c r="S49" s="93" t="s">
        <v>203</v>
      </c>
      <c r="W49" s="37" t="s">
        <v>265</v>
      </c>
      <c r="X49" s="44" t="s">
        <v>142</v>
      </c>
      <c r="Y49" s="44">
        <v>13</v>
      </c>
      <c r="Z49" s="44" t="s">
        <v>266</v>
      </c>
      <c r="AA49" s="70">
        <v>0.78356336260978665</v>
      </c>
    </row>
    <row r="50" spans="1:27" ht="13.8" x14ac:dyDescent="0.3">
      <c r="A50" s="45" t="s">
        <v>369</v>
      </c>
      <c r="B50" s="46" t="s">
        <v>141</v>
      </c>
      <c r="C50" s="46">
        <v>14</v>
      </c>
      <c r="D50" s="46" t="s">
        <v>375</v>
      </c>
      <c r="E50" s="61">
        <f t="shared" si="0"/>
        <v>0.90975829351063098</v>
      </c>
      <c r="F50" s="356"/>
      <c r="G50" s="122"/>
      <c r="I50" s="122"/>
      <c r="J50" s="122"/>
      <c r="Q50" s="93" t="s">
        <v>290</v>
      </c>
      <c r="R50" s="94">
        <v>0.57546119039331711</v>
      </c>
      <c r="S50" s="93" t="s">
        <v>204</v>
      </c>
      <c r="W50" s="37" t="s">
        <v>464</v>
      </c>
      <c r="X50" s="44" t="s">
        <v>162</v>
      </c>
      <c r="Y50" s="44">
        <v>19</v>
      </c>
      <c r="Z50" s="44" t="s">
        <v>461</v>
      </c>
      <c r="AA50" s="70">
        <v>0.77794419936265724</v>
      </c>
    </row>
    <row r="51" spans="1:27" ht="13.8" x14ac:dyDescent="0.3">
      <c r="A51" s="84" t="s">
        <v>389</v>
      </c>
      <c r="B51" s="46" t="s">
        <v>141</v>
      </c>
      <c r="C51" s="46">
        <v>14</v>
      </c>
      <c r="D51" s="46" t="s">
        <v>390</v>
      </c>
      <c r="E51" s="61">
        <f>VLOOKUP($D51,$Q$7:$R$75,2,0)</f>
        <v>0.9915841495030967</v>
      </c>
      <c r="F51" s="356"/>
      <c r="I51" s="122"/>
      <c r="J51" s="122"/>
      <c r="Q51" s="93" t="s">
        <v>428</v>
      </c>
      <c r="R51" s="94">
        <v>0.85164553720066594</v>
      </c>
      <c r="S51" s="93" t="s">
        <v>203</v>
      </c>
      <c r="W51" s="37" t="s">
        <v>347</v>
      </c>
      <c r="X51" s="44" t="s">
        <v>140</v>
      </c>
      <c r="Y51" s="44">
        <v>15</v>
      </c>
      <c r="Z51" s="44" t="s">
        <v>348</v>
      </c>
      <c r="AA51" s="70">
        <v>0.77327600463039525</v>
      </c>
    </row>
    <row r="52" spans="1:27" ht="13.8" x14ac:dyDescent="0.3">
      <c r="A52" s="37" t="s">
        <v>465</v>
      </c>
      <c r="B52" s="44" t="s">
        <v>142</v>
      </c>
      <c r="C52" s="44">
        <v>13</v>
      </c>
      <c r="D52" s="44" t="s">
        <v>448</v>
      </c>
      <c r="E52" s="60">
        <f t="shared" si="0"/>
        <v>0.62875460562079877</v>
      </c>
      <c r="F52" s="356"/>
      <c r="Q52" s="93" t="s">
        <v>304</v>
      </c>
      <c r="R52" s="94">
        <v>0.89259170051200387</v>
      </c>
      <c r="S52" s="93" t="s">
        <v>203</v>
      </c>
      <c r="W52" s="37" t="s">
        <v>277</v>
      </c>
      <c r="X52" s="44" t="s">
        <v>140</v>
      </c>
      <c r="Y52" s="44">
        <v>15</v>
      </c>
      <c r="Z52" s="44" t="s">
        <v>278</v>
      </c>
      <c r="AA52" s="70">
        <v>0.75386351438754873</v>
      </c>
    </row>
    <row r="53" spans="1:27" ht="13.8" x14ac:dyDescent="0.3">
      <c r="A53" s="37" t="s">
        <v>225</v>
      </c>
      <c r="B53" s="44" t="s">
        <v>142</v>
      </c>
      <c r="C53" s="44">
        <v>13</v>
      </c>
      <c r="D53" s="44" t="s">
        <v>226</v>
      </c>
      <c r="E53" s="60">
        <f t="shared" si="0"/>
        <v>0.82576712904581762</v>
      </c>
      <c r="F53" s="356"/>
      <c r="Q53" s="93" t="s">
        <v>282</v>
      </c>
      <c r="R53" s="94">
        <v>0.97501693766937669</v>
      </c>
      <c r="S53" s="93" t="s">
        <v>203</v>
      </c>
      <c r="W53" s="37" t="s">
        <v>263</v>
      </c>
      <c r="X53" s="44" t="s">
        <v>139</v>
      </c>
      <c r="Y53" s="44">
        <v>16</v>
      </c>
      <c r="Z53" s="44" t="s">
        <v>264</v>
      </c>
      <c r="AA53" s="70">
        <v>0.7497019635343618</v>
      </c>
    </row>
    <row r="54" spans="1:27" ht="13.8" x14ac:dyDescent="0.3">
      <c r="A54" s="37" t="s">
        <v>238</v>
      </c>
      <c r="B54" s="44" t="s">
        <v>142</v>
      </c>
      <c r="C54" s="44">
        <v>13</v>
      </c>
      <c r="D54" s="44" t="s">
        <v>239</v>
      </c>
      <c r="E54" s="60">
        <f t="shared" si="0"/>
        <v>0.9427287640364086</v>
      </c>
      <c r="F54" s="356"/>
      <c r="Q54" s="93" t="s">
        <v>383</v>
      </c>
      <c r="R54" s="94">
        <v>0.64890043729006908</v>
      </c>
      <c r="S54" s="93" t="s">
        <v>204</v>
      </c>
      <c r="W54" s="37" t="s">
        <v>408</v>
      </c>
      <c r="X54" s="44" t="s">
        <v>140</v>
      </c>
      <c r="Y54" s="44">
        <v>15</v>
      </c>
      <c r="Z54" s="44" t="s">
        <v>451</v>
      </c>
      <c r="AA54" s="70">
        <v>0.7469877361024081</v>
      </c>
    </row>
    <row r="55" spans="1:27" ht="13.8" x14ac:dyDescent="0.3">
      <c r="A55" s="37" t="s">
        <v>245</v>
      </c>
      <c r="B55" s="44" t="s">
        <v>142</v>
      </c>
      <c r="C55" s="44">
        <v>13</v>
      </c>
      <c r="D55" s="44" t="s">
        <v>246</v>
      </c>
      <c r="E55" s="60">
        <f t="shared" si="0"/>
        <v>0.70643925978729205</v>
      </c>
      <c r="F55" s="356"/>
      <c r="Q55" s="93" t="s">
        <v>286</v>
      </c>
      <c r="R55" s="94">
        <v>1</v>
      </c>
      <c r="S55" s="93" t="s">
        <v>203</v>
      </c>
      <c r="W55" s="37" t="s">
        <v>249</v>
      </c>
      <c r="X55" s="44" t="s">
        <v>141</v>
      </c>
      <c r="Y55" s="44">
        <v>14</v>
      </c>
      <c r="Z55" s="44" t="s">
        <v>250</v>
      </c>
      <c r="AA55" s="70">
        <v>0.72270267536539723</v>
      </c>
    </row>
    <row r="56" spans="1:27" ht="13.8" x14ac:dyDescent="0.3">
      <c r="A56" s="37" t="s">
        <v>256</v>
      </c>
      <c r="B56" s="44" t="s">
        <v>142</v>
      </c>
      <c r="C56" s="44">
        <v>13</v>
      </c>
      <c r="D56" s="44" t="s">
        <v>257</v>
      </c>
      <c r="E56" s="60">
        <f t="shared" si="0"/>
        <v>0.90135028841111697</v>
      </c>
      <c r="F56" s="356"/>
      <c r="Q56" s="93" t="s">
        <v>244</v>
      </c>
      <c r="R56" s="94">
        <v>0.42404692082111439</v>
      </c>
      <c r="S56" s="93" t="s">
        <v>194</v>
      </c>
      <c r="W56" s="37" t="s">
        <v>245</v>
      </c>
      <c r="X56" s="44" t="s">
        <v>142</v>
      </c>
      <c r="Y56" s="44">
        <v>13</v>
      </c>
      <c r="Z56" s="44" t="s">
        <v>246</v>
      </c>
      <c r="AA56" s="70">
        <v>0.70643925978729205</v>
      </c>
    </row>
    <row r="57" spans="1:27" ht="13.8" x14ac:dyDescent="0.3">
      <c r="A57" s="73" t="s">
        <v>463</v>
      </c>
      <c r="B57" s="44" t="s">
        <v>142</v>
      </c>
      <c r="C57" s="44">
        <v>13</v>
      </c>
      <c r="D57" s="44" t="s">
        <v>452</v>
      </c>
      <c r="E57" s="69">
        <f>VLOOKUP($D57,$Q$7:$R$75,2,0)</f>
        <v>0.27216238256230779</v>
      </c>
      <c r="F57" s="356"/>
      <c r="Q57" s="93" t="s">
        <v>456</v>
      </c>
      <c r="R57" s="94">
        <v>0.99417211067658851</v>
      </c>
      <c r="S57" s="93" t="s">
        <v>203</v>
      </c>
      <c r="W57" s="37" t="s">
        <v>275</v>
      </c>
      <c r="X57" s="44" t="s">
        <v>141</v>
      </c>
      <c r="Y57" s="44">
        <v>14</v>
      </c>
      <c r="Z57" s="44" t="s">
        <v>276</v>
      </c>
      <c r="AA57" s="70">
        <v>0.66983442164179108</v>
      </c>
    </row>
    <row r="58" spans="1:27" ht="13.8" x14ac:dyDescent="0.3">
      <c r="A58" s="37" t="s">
        <v>449</v>
      </c>
      <c r="B58" s="44" t="s">
        <v>142</v>
      </c>
      <c r="C58" s="44">
        <v>13</v>
      </c>
      <c r="D58" s="44" t="s">
        <v>450</v>
      </c>
      <c r="E58" s="60" t="s">
        <v>423</v>
      </c>
      <c r="F58" s="356"/>
      <c r="Q58" s="93" t="s">
        <v>348</v>
      </c>
      <c r="R58" s="94">
        <v>0.77327600463039525</v>
      </c>
      <c r="S58" s="93" t="s">
        <v>204</v>
      </c>
      <c r="W58" s="37" t="s">
        <v>395</v>
      </c>
      <c r="X58" s="44" t="s">
        <v>140</v>
      </c>
      <c r="Y58" s="44">
        <v>15</v>
      </c>
      <c r="Z58" s="44" t="s">
        <v>396</v>
      </c>
      <c r="AA58" s="70">
        <v>0.66731657086909912</v>
      </c>
    </row>
    <row r="59" spans="1:27" ht="13.8" x14ac:dyDescent="0.3">
      <c r="A59" s="37" t="s">
        <v>265</v>
      </c>
      <c r="B59" s="44" t="s">
        <v>142</v>
      </c>
      <c r="C59" s="44">
        <v>13</v>
      </c>
      <c r="D59" s="44" t="s">
        <v>266</v>
      </c>
      <c r="E59" s="60">
        <f t="shared" si="0"/>
        <v>0.78356336260978665</v>
      </c>
      <c r="F59" s="356"/>
      <c r="Q59" s="93" t="s">
        <v>294</v>
      </c>
      <c r="R59" s="94">
        <v>0.93000422702993502</v>
      </c>
      <c r="S59" s="93" t="s">
        <v>203</v>
      </c>
      <c r="W59" s="37" t="s">
        <v>382</v>
      </c>
      <c r="X59" s="44" t="s">
        <v>141</v>
      </c>
      <c r="Y59" s="44">
        <v>14</v>
      </c>
      <c r="Z59" s="44" t="s">
        <v>383</v>
      </c>
      <c r="AA59" s="70">
        <v>0.64890043729006908</v>
      </c>
    </row>
    <row r="60" spans="1:27" ht="13.8" x14ac:dyDescent="0.3">
      <c r="A60" s="37" t="s">
        <v>367</v>
      </c>
      <c r="B60" s="44" t="s">
        <v>142</v>
      </c>
      <c r="C60" s="44">
        <v>13</v>
      </c>
      <c r="D60" s="44" t="s">
        <v>368</v>
      </c>
      <c r="E60" s="60">
        <f t="shared" si="0"/>
        <v>1.0293089747728885</v>
      </c>
      <c r="F60" s="356"/>
      <c r="Q60" s="93" t="s">
        <v>292</v>
      </c>
      <c r="R60" s="94">
        <v>0.614337822671156</v>
      </c>
      <c r="S60" s="93" t="s">
        <v>204</v>
      </c>
      <c r="W60" s="37" t="s">
        <v>299</v>
      </c>
      <c r="X60" s="44" t="s">
        <v>142</v>
      </c>
      <c r="Y60" s="44">
        <v>13</v>
      </c>
      <c r="Z60" s="44" t="s">
        <v>300</v>
      </c>
      <c r="AA60" s="70">
        <v>0.63819230650865855</v>
      </c>
    </row>
    <row r="61" spans="1:27" ht="13.8" x14ac:dyDescent="0.3">
      <c r="A61" s="37" t="s">
        <v>287</v>
      </c>
      <c r="B61" s="44" t="s">
        <v>142</v>
      </c>
      <c r="C61" s="44">
        <v>13</v>
      </c>
      <c r="D61" s="44" t="s">
        <v>441</v>
      </c>
      <c r="E61" s="60">
        <f t="shared" si="0"/>
        <v>1</v>
      </c>
      <c r="F61" s="356"/>
      <c r="Q61" s="93" t="s">
        <v>375</v>
      </c>
      <c r="R61" s="94">
        <v>0.90975829351063098</v>
      </c>
      <c r="S61" s="93" t="s">
        <v>203</v>
      </c>
      <c r="W61" s="37" t="s">
        <v>465</v>
      </c>
      <c r="X61" s="44" t="s">
        <v>142</v>
      </c>
      <c r="Y61" s="44">
        <v>13</v>
      </c>
      <c r="Z61" s="44" t="s">
        <v>448</v>
      </c>
      <c r="AA61" s="70">
        <v>0.62875460562079877</v>
      </c>
    </row>
    <row r="62" spans="1:27" ht="13.8" x14ac:dyDescent="0.3">
      <c r="A62" s="37" t="s">
        <v>273</v>
      </c>
      <c r="B62" s="44" t="s">
        <v>142</v>
      </c>
      <c r="C62" s="44">
        <v>13</v>
      </c>
      <c r="D62" s="44" t="s">
        <v>274</v>
      </c>
      <c r="E62" s="60">
        <f t="shared" si="0"/>
        <v>0.58034319753835939</v>
      </c>
      <c r="F62" s="356"/>
      <c r="Q62" s="93" t="s">
        <v>396</v>
      </c>
      <c r="R62" s="94">
        <v>0.66731657086909912</v>
      </c>
      <c r="S62" s="93" t="s">
        <v>204</v>
      </c>
      <c r="W62" s="37" t="s">
        <v>291</v>
      </c>
      <c r="X62" s="44" t="s">
        <v>140</v>
      </c>
      <c r="Y62" s="44">
        <v>15</v>
      </c>
      <c r="Z62" s="44" t="s">
        <v>292</v>
      </c>
      <c r="AA62" s="70">
        <v>0.614337822671156</v>
      </c>
    </row>
    <row r="63" spans="1:27" ht="13.8" x14ac:dyDescent="0.3">
      <c r="A63" s="37" t="s">
        <v>299</v>
      </c>
      <c r="B63" s="44" t="s">
        <v>142</v>
      </c>
      <c r="C63" s="44">
        <v>13</v>
      </c>
      <c r="D63" s="44" t="s">
        <v>300</v>
      </c>
      <c r="E63" s="60">
        <f t="shared" si="0"/>
        <v>0.63819230650865855</v>
      </c>
      <c r="F63" s="356"/>
      <c r="Q63" s="93" t="s">
        <v>390</v>
      </c>
      <c r="R63" s="94">
        <v>0.9915841495030967</v>
      </c>
      <c r="S63" s="93" t="s">
        <v>203</v>
      </c>
      <c r="W63" s="37" t="s">
        <v>269</v>
      </c>
      <c r="X63" s="44" t="s">
        <v>141</v>
      </c>
      <c r="Y63" s="44">
        <v>14</v>
      </c>
      <c r="Z63" s="44" t="s">
        <v>270</v>
      </c>
      <c r="AA63" s="70">
        <v>0.60422936152907691</v>
      </c>
    </row>
    <row r="64" spans="1:27" ht="13.8" x14ac:dyDescent="0.3">
      <c r="A64" s="37" t="s">
        <v>281</v>
      </c>
      <c r="B64" s="44" t="s">
        <v>142</v>
      </c>
      <c r="C64" s="44">
        <v>13</v>
      </c>
      <c r="D64" s="44" t="s">
        <v>282</v>
      </c>
      <c r="E64" s="60">
        <f t="shared" si="0"/>
        <v>0.97501693766937669</v>
      </c>
      <c r="F64" s="356"/>
      <c r="Q64" s="93" t="s">
        <v>459</v>
      </c>
      <c r="R64" s="94">
        <v>0.97028603165787286</v>
      </c>
      <c r="S64" s="93" t="s">
        <v>203</v>
      </c>
      <c r="W64" s="37" t="s">
        <v>361</v>
      </c>
      <c r="X64" s="44" t="s">
        <v>139</v>
      </c>
      <c r="Y64" s="44">
        <v>16</v>
      </c>
      <c r="Z64" s="44" t="s">
        <v>194</v>
      </c>
      <c r="AA64" s="70">
        <v>0.58142655748172922</v>
      </c>
    </row>
    <row r="65" spans="1:27" ht="13.8" x14ac:dyDescent="0.3">
      <c r="A65" s="37" t="s">
        <v>354</v>
      </c>
      <c r="B65" s="44" t="s">
        <v>142</v>
      </c>
      <c r="C65" s="44">
        <v>13</v>
      </c>
      <c r="D65" s="44" t="s">
        <v>355</v>
      </c>
      <c r="E65" s="60">
        <f t="shared" si="0"/>
        <v>1</v>
      </c>
      <c r="F65" s="356"/>
      <c r="Q65" s="93" t="s">
        <v>296</v>
      </c>
      <c r="R65" s="94">
        <v>0.98634859349145065</v>
      </c>
      <c r="S65" s="93" t="s">
        <v>203</v>
      </c>
      <c r="W65" s="37" t="s">
        <v>273</v>
      </c>
      <c r="X65" s="44" t="s">
        <v>142</v>
      </c>
      <c r="Y65" s="44">
        <v>13</v>
      </c>
      <c r="Z65" s="44" t="s">
        <v>274</v>
      </c>
      <c r="AA65" s="70">
        <v>0.58034319753835939</v>
      </c>
    </row>
    <row r="66" spans="1:27" ht="13.8" x14ac:dyDescent="0.3">
      <c r="A66" s="45" t="s">
        <v>305</v>
      </c>
      <c r="B66" s="46" t="s">
        <v>173</v>
      </c>
      <c r="C66" s="46">
        <v>12</v>
      </c>
      <c r="D66" s="46" t="s">
        <v>456</v>
      </c>
      <c r="E66" s="61">
        <f t="shared" si="0"/>
        <v>0.99417211067658851</v>
      </c>
      <c r="F66" s="356"/>
      <c r="Q66" s="93" t="s">
        <v>346</v>
      </c>
      <c r="R66" s="94">
        <v>0.96644084643352246</v>
      </c>
      <c r="S66" s="93" t="s">
        <v>203</v>
      </c>
      <c r="W66" s="37" t="s">
        <v>289</v>
      </c>
      <c r="X66" s="44" t="s">
        <v>141</v>
      </c>
      <c r="Y66" s="44">
        <v>14</v>
      </c>
      <c r="Z66" s="44" t="s">
        <v>290</v>
      </c>
      <c r="AA66" s="70">
        <v>0.57546119039331711</v>
      </c>
    </row>
    <row r="67" spans="1:27" ht="13.8" x14ac:dyDescent="0.3">
      <c r="A67" s="37" t="s">
        <v>411</v>
      </c>
      <c r="B67" s="44" t="s">
        <v>175</v>
      </c>
      <c r="C67" s="44">
        <v>11</v>
      </c>
      <c r="D67" s="44" t="s">
        <v>412</v>
      </c>
      <c r="E67" s="60">
        <f t="shared" si="0"/>
        <v>0.99872589064335693</v>
      </c>
      <c r="F67" s="356"/>
      <c r="Q67" s="93" t="s">
        <v>248</v>
      </c>
      <c r="R67" s="94">
        <v>0.84932154135723226</v>
      </c>
      <c r="S67" s="93" t="s">
        <v>203</v>
      </c>
      <c r="W67" s="37" t="s">
        <v>479</v>
      </c>
      <c r="X67" s="44" t="s">
        <v>166</v>
      </c>
      <c r="Y67" s="44">
        <v>17</v>
      </c>
      <c r="Z67" s="44" t="s">
        <v>241</v>
      </c>
      <c r="AA67" s="70">
        <v>0.55330389203021169</v>
      </c>
    </row>
    <row r="68" spans="1:27" ht="13.8" x14ac:dyDescent="0.3">
      <c r="A68" s="37" t="s">
        <v>303</v>
      </c>
      <c r="B68" s="44" t="s">
        <v>177</v>
      </c>
      <c r="C68" s="44">
        <v>10</v>
      </c>
      <c r="D68" s="44" t="s">
        <v>304</v>
      </c>
      <c r="E68" s="60">
        <f t="shared" si="0"/>
        <v>0.89259170051200387</v>
      </c>
      <c r="F68" s="356"/>
      <c r="G68" s="122"/>
      <c r="Q68" s="93" t="s">
        <v>355</v>
      </c>
      <c r="R68" s="94">
        <v>1</v>
      </c>
      <c r="S68" s="93" t="s">
        <v>203</v>
      </c>
      <c r="W68" s="37" t="s">
        <v>279</v>
      </c>
      <c r="X68" s="44" t="s">
        <v>141</v>
      </c>
      <c r="Y68" s="44">
        <v>14</v>
      </c>
      <c r="Z68" s="44" t="s">
        <v>280</v>
      </c>
      <c r="AA68" s="70">
        <v>0.44575810739314115</v>
      </c>
    </row>
    <row r="69" spans="1:27" ht="14.4" thickBot="1" x14ac:dyDescent="0.35">
      <c r="A69" s="89" t="s">
        <v>371</v>
      </c>
      <c r="B69" s="90" t="s">
        <v>183</v>
      </c>
      <c r="C69" s="90">
        <v>7</v>
      </c>
      <c r="D69" s="90" t="s">
        <v>457</v>
      </c>
      <c r="E69" s="91">
        <f t="shared" ref="E69:E75" si="5">VLOOKUP($D69,$Q$7:$R$75,2,0)</f>
        <v>0.27230062686467099</v>
      </c>
      <c r="F69" s="356"/>
      <c r="Q69" s="93" t="s">
        <v>252</v>
      </c>
      <c r="R69" s="94">
        <v>0.94699999999999995</v>
      </c>
      <c r="S69" s="93" t="s">
        <v>203</v>
      </c>
      <c r="W69" s="37" t="s">
        <v>243</v>
      </c>
      <c r="X69" s="44" t="s">
        <v>141</v>
      </c>
      <c r="Y69" s="44">
        <v>14</v>
      </c>
      <c r="Z69" s="44" t="s">
        <v>244</v>
      </c>
      <c r="AA69" s="70">
        <v>0.42404692082111439</v>
      </c>
    </row>
    <row r="70" spans="1:27" ht="13.8" x14ac:dyDescent="0.3">
      <c r="A70" s="37" t="s">
        <v>464</v>
      </c>
      <c r="B70" s="44" t="s">
        <v>162</v>
      </c>
      <c r="C70" s="44">
        <v>19</v>
      </c>
      <c r="D70" s="44" t="s">
        <v>461</v>
      </c>
      <c r="E70" s="60">
        <f>VLOOKUP($D70,$Q$7:$R$75,2,0)</f>
        <v>0.77794419936265724</v>
      </c>
      <c r="F70" s="356"/>
      <c r="G70" s="122"/>
      <c r="Q70" s="49"/>
      <c r="R70" s="58"/>
      <c r="S70" s="49"/>
      <c r="W70" s="37" t="s">
        <v>271</v>
      </c>
      <c r="X70" s="44" t="s">
        <v>140</v>
      </c>
      <c r="Y70" s="44">
        <v>15</v>
      </c>
      <c r="Z70" s="44" t="s">
        <v>272</v>
      </c>
      <c r="AA70" s="70">
        <v>0.36017814864816144</v>
      </c>
    </row>
    <row r="71" spans="1:27" ht="13.8" x14ac:dyDescent="0.3">
      <c r="A71" s="37" t="s">
        <v>462</v>
      </c>
      <c r="B71" s="44" t="s">
        <v>166</v>
      </c>
      <c r="C71" s="44">
        <v>17</v>
      </c>
      <c r="D71" s="44" t="s">
        <v>453</v>
      </c>
      <c r="E71" s="60">
        <f>VLOOKUP($D71,$Q$7:$R$75,2,0)</f>
        <v>0.87497195036407094</v>
      </c>
      <c r="F71" s="356"/>
      <c r="Q71" s="49"/>
      <c r="R71" s="58"/>
      <c r="S71" s="49"/>
      <c r="W71" s="37" t="s">
        <v>371</v>
      </c>
      <c r="X71" s="44" t="s">
        <v>183</v>
      </c>
      <c r="Y71" s="44">
        <v>7</v>
      </c>
      <c r="Z71" s="44" t="s">
        <v>457</v>
      </c>
      <c r="AA71" s="70">
        <v>0.27230062686467099</v>
      </c>
    </row>
    <row r="72" spans="1:27" ht="13.8" x14ac:dyDescent="0.3">
      <c r="A72" s="37" t="s">
        <v>458</v>
      </c>
      <c r="B72" s="44" t="s">
        <v>173</v>
      </c>
      <c r="C72" s="44">
        <v>12</v>
      </c>
      <c r="D72" s="44" t="s">
        <v>459</v>
      </c>
      <c r="E72" s="69">
        <f>VLOOKUP($D72,$Q$7:$R$75,2,0)</f>
        <v>0.97028603165787286</v>
      </c>
      <c r="F72" s="356"/>
      <c r="Q72" s="49"/>
      <c r="R72" s="58"/>
      <c r="S72" s="49"/>
      <c r="W72" s="37" t="s">
        <v>463</v>
      </c>
      <c r="X72" s="44" t="s">
        <v>142</v>
      </c>
      <c r="Y72" s="44">
        <v>13</v>
      </c>
      <c r="Z72" s="44" t="s">
        <v>452</v>
      </c>
      <c r="AA72" s="70">
        <v>0.27216238256230779</v>
      </c>
    </row>
    <row r="73" spans="1:27" ht="13.8" x14ac:dyDescent="0.3">
      <c r="A73" s="83" t="s">
        <v>424</v>
      </c>
      <c r="B73" s="47" t="s">
        <v>423</v>
      </c>
      <c r="C73" s="47"/>
      <c r="D73" s="44" t="s">
        <v>425</v>
      </c>
      <c r="E73" s="69">
        <f>VLOOKUP($D73,$Q$7:$R$75,2,0)</f>
        <v>0.99675869094774683</v>
      </c>
      <c r="F73" s="5"/>
      <c r="Q73" s="49"/>
      <c r="R73" s="58"/>
      <c r="S73" s="49"/>
      <c r="W73" s="37" t="s">
        <v>424</v>
      </c>
      <c r="X73" s="47" t="s">
        <v>423</v>
      </c>
      <c r="Y73" s="47"/>
      <c r="Z73" s="44" t="s">
        <v>425</v>
      </c>
      <c r="AA73" s="70">
        <v>0.99675869094774683</v>
      </c>
    </row>
    <row r="74" spans="1:27" ht="13.8" x14ac:dyDescent="0.3">
      <c r="A74" s="37" t="s">
        <v>480</v>
      </c>
      <c r="B74" s="47" t="s">
        <v>423</v>
      </c>
      <c r="C74" s="47"/>
      <c r="D74" s="47" t="s">
        <v>476</v>
      </c>
      <c r="E74" s="62">
        <f t="shared" si="5"/>
        <v>0.98237685298627964</v>
      </c>
      <c r="F74" s="5"/>
      <c r="Q74" s="49"/>
      <c r="R74" s="58"/>
      <c r="S74" s="49"/>
      <c r="W74" s="37" t="s">
        <v>480</v>
      </c>
      <c r="X74" s="47" t="s">
        <v>423</v>
      </c>
      <c r="Y74" s="47"/>
      <c r="Z74" s="47" t="s">
        <v>476</v>
      </c>
      <c r="AA74" s="71">
        <v>0.98237685298627964</v>
      </c>
    </row>
    <row r="75" spans="1:27" ht="14.4" thickBot="1" x14ac:dyDescent="0.35">
      <c r="A75" s="53" t="s">
        <v>295</v>
      </c>
      <c r="B75" s="54" t="s">
        <v>423</v>
      </c>
      <c r="C75" s="54"/>
      <c r="D75" s="54" t="s">
        <v>296</v>
      </c>
      <c r="E75" s="63">
        <f t="shared" si="5"/>
        <v>0.98634859349145065</v>
      </c>
      <c r="F75" s="5"/>
      <c r="Q75" s="49"/>
      <c r="R75" s="58"/>
      <c r="S75" s="49"/>
      <c r="W75" s="53" t="s">
        <v>295</v>
      </c>
      <c r="X75" s="54" t="s">
        <v>423</v>
      </c>
      <c r="Y75" s="54"/>
      <c r="Z75" s="54" t="s">
        <v>296</v>
      </c>
      <c r="AA75" s="72">
        <v>0.98634859349145065</v>
      </c>
    </row>
    <row r="76" spans="1:27" ht="13.8" x14ac:dyDescent="0.3">
      <c r="A76" s="41" t="s">
        <v>311</v>
      </c>
      <c r="B76" s="43" t="s">
        <v>141</v>
      </c>
      <c r="C76" s="42">
        <f>AVERAGE(C7:C69)</f>
        <v>14.174603174603174</v>
      </c>
      <c r="D76" s="42"/>
      <c r="E76" s="42"/>
      <c r="F76" s="5"/>
      <c r="Q76" s="49"/>
      <c r="R76" s="59"/>
      <c r="S76" s="49"/>
    </row>
    <row r="77" spans="1:27" x14ac:dyDescent="0.25">
      <c r="A77" s="3"/>
      <c r="B77" s="3"/>
      <c r="F77" s="9"/>
    </row>
    <row r="78" spans="1:27" x14ac:dyDescent="0.25">
      <c r="A78" s="3"/>
      <c r="B78" s="3"/>
      <c r="F78" s="9"/>
    </row>
    <row r="79" spans="1:27" x14ac:dyDescent="0.25">
      <c r="A79" s="48" t="s">
        <v>312</v>
      </c>
      <c r="F79" s="9"/>
      <c r="G79" s="86"/>
    </row>
    <row r="80" spans="1:27" s="86" customFormat="1" x14ac:dyDescent="0.25">
      <c r="A80" s="48" t="s">
        <v>313</v>
      </c>
      <c r="F80" s="87"/>
      <c r="AA80" s="88"/>
    </row>
    <row r="81" spans="1:27" s="86" customFormat="1" x14ac:dyDescent="0.25">
      <c r="A81" s="85" t="s">
        <v>419</v>
      </c>
      <c r="F81" s="87"/>
      <c r="AA81" s="88"/>
    </row>
    <row r="82" spans="1:27" s="86" customFormat="1" x14ac:dyDescent="0.25">
      <c r="A82" s="85" t="s">
        <v>314</v>
      </c>
      <c r="F82" s="87"/>
      <c r="G82"/>
      <c r="AA82" s="88"/>
    </row>
    <row r="83" spans="1:27" x14ac:dyDescent="0.25">
      <c r="A83" s="85" t="s">
        <v>466</v>
      </c>
      <c r="D83" s="9"/>
      <c r="AA83"/>
    </row>
    <row r="84" spans="1:27" x14ac:dyDescent="0.25">
      <c r="A84" s="48" t="s">
        <v>315</v>
      </c>
      <c r="D84" s="9"/>
      <c r="AA84"/>
    </row>
    <row r="85" spans="1:27" x14ac:dyDescent="0.25">
      <c r="A85" s="48" t="s">
        <v>481</v>
      </c>
      <c r="D85" s="9"/>
      <c r="AA85"/>
    </row>
    <row r="86" spans="1:27" x14ac:dyDescent="0.25">
      <c r="A86" s="48" t="s">
        <v>482</v>
      </c>
      <c r="F86" s="9"/>
    </row>
    <row r="87" spans="1:27" x14ac:dyDescent="0.25">
      <c r="A87" s="2"/>
      <c r="E87" s="74"/>
    </row>
    <row r="88" spans="1:27" x14ac:dyDescent="0.25">
      <c r="E88" s="74"/>
    </row>
    <row r="89" spans="1:27" x14ac:dyDescent="0.25">
      <c r="E89" s="75"/>
    </row>
  </sheetData>
  <pageMargins left="0.17" right="0.18" top="0.28000000000000003" bottom="0.17" header="0.3" footer="0.3"/>
  <pageSetup scale="73" fitToWidth="0" orientation="portrait" horizontalDpi="1200" verticalDpi="120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0070C0"/>
    <pageSetUpPr fitToPage="1"/>
  </sheetPr>
  <dimension ref="A1:M83"/>
  <sheetViews>
    <sheetView zoomScale="80" zoomScaleNormal="80" workbookViewId="0"/>
  </sheetViews>
  <sheetFormatPr defaultColWidth="9.109375" defaultRowHeight="13.2" x14ac:dyDescent="0.25"/>
  <cols>
    <col min="1" max="1" width="35.109375" customWidth="1"/>
    <col min="5" max="5" width="11.5546875" customWidth="1"/>
    <col min="9" max="9" width="11" bestFit="1" customWidth="1"/>
    <col min="10" max="10" width="4.88671875" bestFit="1" customWidth="1"/>
  </cols>
  <sheetData>
    <row r="1" spans="1:13" ht="18" x14ac:dyDescent="0.35">
      <c r="A1" s="40" t="s">
        <v>483</v>
      </c>
    </row>
    <row r="2" spans="1:13" ht="18" x14ac:dyDescent="0.35">
      <c r="A2" s="40"/>
    </row>
    <row r="3" spans="1:13" ht="18" x14ac:dyDescent="0.35">
      <c r="A3" s="40"/>
    </row>
    <row r="4" spans="1:13" ht="18" x14ac:dyDescent="0.35">
      <c r="A4" s="40"/>
    </row>
    <row r="6" spans="1:13" ht="13.8" x14ac:dyDescent="0.3">
      <c r="A6" s="38" t="s">
        <v>212</v>
      </c>
      <c r="B6" s="39" t="s">
        <v>484</v>
      </c>
      <c r="C6" s="14"/>
    </row>
    <row r="7" spans="1:13" ht="14.4" thickBot="1" x14ac:dyDescent="0.35">
      <c r="A7" s="37" t="s">
        <v>431</v>
      </c>
      <c r="B7" s="44" t="s">
        <v>164</v>
      </c>
      <c r="C7" s="44">
        <v>18</v>
      </c>
      <c r="D7" s="356"/>
      <c r="E7" s="57" t="s">
        <v>210</v>
      </c>
      <c r="F7" s="57" t="s">
        <v>134</v>
      </c>
      <c r="G7" s="57" t="s">
        <v>135</v>
      </c>
      <c r="L7" s="122"/>
      <c r="M7" s="122"/>
    </row>
    <row r="8" spans="1:13" ht="13.8" x14ac:dyDescent="0.3">
      <c r="A8" s="37" t="s">
        <v>462</v>
      </c>
      <c r="B8" s="44" t="s">
        <v>166</v>
      </c>
      <c r="C8" s="44">
        <v>17</v>
      </c>
      <c r="D8" s="356"/>
      <c r="E8" s="37" t="s">
        <v>137</v>
      </c>
      <c r="F8" s="49">
        <f>COUNTIF(C$7:C$75,"&gt;16")</f>
        <v>4</v>
      </c>
      <c r="G8" s="50">
        <f>F8/F$14</f>
        <v>6.1538461538461542E-2</v>
      </c>
      <c r="I8" s="122"/>
      <c r="K8" s="122"/>
      <c r="L8" s="122"/>
      <c r="M8" s="122"/>
    </row>
    <row r="9" spans="1:13" ht="13.8" x14ac:dyDescent="0.3">
      <c r="A9" s="37" t="s">
        <v>479</v>
      </c>
      <c r="B9" s="44" t="s">
        <v>166</v>
      </c>
      <c r="C9" s="44">
        <v>17</v>
      </c>
      <c r="D9" s="356"/>
      <c r="E9" s="37" t="s">
        <v>139</v>
      </c>
      <c r="F9" s="49">
        <f>COUNTIF(C$7:C$75,"=16")</f>
        <v>9</v>
      </c>
      <c r="G9" s="50">
        <f t="shared" ref="G9:G14" si="0">F9/F$14</f>
        <v>0.13846153846153847</v>
      </c>
      <c r="I9" s="122"/>
      <c r="K9" s="122"/>
      <c r="L9" s="122"/>
      <c r="M9" s="122"/>
    </row>
    <row r="10" spans="1:13" ht="13.8" x14ac:dyDescent="0.3">
      <c r="A10" s="37" t="s">
        <v>293</v>
      </c>
      <c r="B10" s="44" t="s">
        <v>166</v>
      </c>
      <c r="C10" s="44">
        <v>17</v>
      </c>
      <c r="D10" s="356"/>
      <c r="E10" s="37" t="s">
        <v>140</v>
      </c>
      <c r="F10" s="49">
        <f>COUNTIF(C$7:C$75,"=15")</f>
        <v>13</v>
      </c>
      <c r="G10" s="50">
        <f t="shared" si="0"/>
        <v>0.2</v>
      </c>
      <c r="I10" s="122"/>
      <c r="K10" s="122"/>
      <c r="L10" s="122"/>
      <c r="M10" s="122"/>
    </row>
    <row r="11" spans="1:13" ht="13.8" x14ac:dyDescent="0.3">
      <c r="A11" s="45" t="s">
        <v>227</v>
      </c>
      <c r="B11" s="46" t="s">
        <v>139</v>
      </c>
      <c r="C11" s="46">
        <v>16</v>
      </c>
      <c r="D11" s="356"/>
      <c r="E11" s="37" t="s">
        <v>141</v>
      </c>
      <c r="F11" s="49">
        <f>COUNTIF(C$7:C$75,"=14")</f>
        <v>19</v>
      </c>
      <c r="G11" s="50">
        <f t="shared" si="0"/>
        <v>0.29230769230769232</v>
      </c>
      <c r="I11" s="122"/>
      <c r="K11" s="122"/>
      <c r="L11" s="122"/>
      <c r="M11" s="122"/>
    </row>
    <row r="12" spans="1:13" ht="13.8" x14ac:dyDescent="0.3">
      <c r="A12" s="45" t="s">
        <v>361</v>
      </c>
      <c r="B12" s="46" t="s">
        <v>139</v>
      </c>
      <c r="C12" s="46">
        <v>16</v>
      </c>
      <c r="D12" s="356"/>
      <c r="E12" s="37" t="s">
        <v>142</v>
      </c>
      <c r="F12" s="49">
        <f>COUNTIF(C$7:C$75,"=13")</f>
        <v>14</v>
      </c>
      <c r="G12" s="50">
        <f t="shared" si="0"/>
        <v>0.2153846153846154</v>
      </c>
    </row>
    <row r="13" spans="1:13" ht="14.4" thickBot="1" x14ac:dyDescent="0.35">
      <c r="A13" s="45" t="s">
        <v>263</v>
      </c>
      <c r="B13" s="46" t="s">
        <v>139</v>
      </c>
      <c r="C13" s="46">
        <v>16</v>
      </c>
      <c r="D13" s="356"/>
      <c r="E13" s="53" t="s">
        <v>143</v>
      </c>
      <c r="F13" s="55">
        <f>COUNTIF(C$7:C$75,"&lt;13")</f>
        <v>6</v>
      </c>
      <c r="G13" s="56">
        <f t="shared" si="0"/>
        <v>9.2307692307692313E-2</v>
      </c>
    </row>
    <row r="14" spans="1:13" ht="13.8" x14ac:dyDescent="0.3">
      <c r="A14" s="45" t="s">
        <v>395</v>
      </c>
      <c r="B14" s="46" t="s">
        <v>139</v>
      </c>
      <c r="C14" s="46">
        <v>16</v>
      </c>
      <c r="D14" s="356"/>
      <c r="E14" s="41" t="s">
        <v>144</v>
      </c>
      <c r="F14" s="51">
        <f>SUM(F8:F13)</f>
        <v>65</v>
      </c>
      <c r="G14" s="52">
        <f t="shared" si="0"/>
        <v>1</v>
      </c>
    </row>
    <row r="15" spans="1:13" ht="13.8" x14ac:dyDescent="0.3">
      <c r="A15" s="45" t="s">
        <v>437</v>
      </c>
      <c r="B15" s="46" t="s">
        <v>139</v>
      </c>
      <c r="C15" s="46">
        <v>16</v>
      </c>
      <c r="D15" s="356"/>
      <c r="I15" s="5"/>
    </row>
    <row r="16" spans="1:13" ht="13.8" x14ac:dyDescent="0.3">
      <c r="A16" s="45" t="s">
        <v>408</v>
      </c>
      <c r="B16" s="46" t="s">
        <v>139</v>
      </c>
      <c r="C16" s="46">
        <v>16</v>
      </c>
      <c r="D16" s="356"/>
      <c r="I16" s="5"/>
    </row>
    <row r="17" spans="1:10" ht="13.8" x14ac:dyDescent="0.3">
      <c r="A17" s="45" t="s">
        <v>439</v>
      </c>
      <c r="B17" s="46" t="s">
        <v>139</v>
      </c>
      <c r="C17" s="46">
        <v>16</v>
      </c>
      <c r="D17" s="356"/>
      <c r="I17" s="5"/>
    </row>
    <row r="18" spans="1:10" ht="13.8" x14ac:dyDescent="0.3">
      <c r="A18" s="45" t="s">
        <v>347</v>
      </c>
      <c r="B18" s="46" t="s">
        <v>139</v>
      </c>
      <c r="C18" s="46">
        <v>16</v>
      </c>
      <c r="D18" s="356"/>
      <c r="I18" s="5"/>
    </row>
    <row r="19" spans="1:10" ht="13.8" x14ac:dyDescent="0.3">
      <c r="A19" s="45" t="s">
        <v>345</v>
      </c>
      <c r="B19" s="46" t="s">
        <v>139</v>
      </c>
      <c r="C19" s="46">
        <v>16</v>
      </c>
      <c r="D19" s="356"/>
      <c r="I19" s="5"/>
    </row>
    <row r="20" spans="1:10" ht="13.8" x14ac:dyDescent="0.3">
      <c r="A20" s="37" t="s">
        <v>217</v>
      </c>
      <c r="B20" s="44" t="s">
        <v>140</v>
      </c>
      <c r="C20" s="44">
        <v>15</v>
      </c>
      <c r="D20" s="356"/>
      <c r="I20" s="5"/>
    </row>
    <row r="21" spans="1:10" ht="13.8" x14ac:dyDescent="0.3">
      <c r="A21" s="37" t="s">
        <v>219</v>
      </c>
      <c r="B21" s="44" t="s">
        <v>140</v>
      </c>
      <c r="C21" s="44">
        <v>15</v>
      </c>
      <c r="D21" s="356"/>
    </row>
    <row r="22" spans="1:10" ht="13.8" x14ac:dyDescent="0.3">
      <c r="A22" s="37" t="s">
        <v>460</v>
      </c>
      <c r="B22" s="44" t="s">
        <v>140</v>
      </c>
      <c r="C22" s="44">
        <v>15</v>
      </c>
      <c r="D22" s="356"/>
    </row>
    <row r="23" spans="1:10" ht="13.8" x14ac:dyDescent="0.3">
      <c r="A23" s="37" t="s">
        <v>442</v>
      </c>
      <c r="B23" s="44" t="s">
        <v>140</v>
      </c>
      <c r="C23" s="44">
        <v>15</v>
      </c>
      <c r="D23" s="356"/>
    </row>
    <row r="24" spans="1:10" ht="13.8" x14ac:dyDescent="0.3">
      <c r="A24" s="37" t="s">
        <v>444</v>
      </c>
      <c r="B24" s="44" t="s">
        <v>140</v>
      </c>
      <c r="C24" s="44">
        <v>15</v>
      </c>
      <c r="D24" s="356"/>
    </row>
    <row r="25" spans="1:10" ht="13.8" x14ac:dyDescent="0.3">
      <c r="A25" s="37" t="s">
        <v>271</v>
      </c>
      <c r="B25" s="44" t="s">
        <v>140</v>
      </c>
      <c r="C25" s="44">
        <v>15</v>
      </c>
      <c r="D25" s="356"/>
    </row>
    <row r="26" spans="1:10" ht="13.8" x14ac:dyDescent="0.3">
      <c r="A26" s="37" t="s">
        <v>277</v>
      </c>
      <c r="B26" s="44" t="s">
        <v>140</v>
      </c>
      <c r="C26" s="44">
        <v>15</v>
      </c>
      <c r="D26" s="356"/>
    </row>
    <row r="27" spans="1:10" ht="13.8" x14ac:dyDescent="0.3">
      <c r="A27" s="37" t="s">
        <v>485</v>
      </c>
      <c r="B27" s="44" t="s">
        <v>140</v>
      </c>
      <c r="C27" s="44">
        <v>15</v>
      </c>
      <c r="D27" s="356"/>
    </row>
    <row r="28" spans="1:10" ht="13.8" x14ac:dyDescent="0.3">
      <c r="A28" s="37" t="s">
        <v>285</v>
      </c>
      <c r="B28" s="44" t="s">
        <v>140</v>
      </c>
      <c r="C28" s="44">
        <v>15</v>
      </c>
      <c r="D28" s="356"/>
    </row>
    <row r="29" spans="1:10" ht="13.8" x14ac:dyDescent="0.3">
      <c r="A29" s="37" t="s">
        <v>427</v>
      </c>
      <c r="B29" s="44" t="s">
        <v>140</v>
      </c>
      <c r="C29" s="44">
        <v>15</v>
      </c>
      <c r="D29" s="356"/>
    </row>
    <row r="30" spans="1:10" ht="13.8" x14ac:dyDescent="0.3">
      <c r="A30" s="37" t="s">
        <v>291</v>
      </c>
      <c r="B30" s="44" t="s">
        <v>140</v>
      </c>
      <c r="C30" s="44">
        <v>15</v>
      </c>
      <c r="D30" s="356"/>
    </row>
    <row r="31" spans="1:10" ht="13.8" x14ac:dyDescent="0.3">
      <c r="A31" s="37" t="s">
        <v>247</v>
      </c>
      <c r="B31" s="44" t="s">
        <v>140</v>
      </c>
      <c r="C31" s="44">
        <v>15</v>
      </c>
      <c r="D31" s="356"/>
      <c r="I31" s="122"/>
      <c r="J31" s="122"/>
    </row>
    <row r="32" spans="1:10" ht="13.8" x14ac:dyDescent="0.3">
      <c r="A32" s="37" t="s">
        <v>251</v>
      </c>
      <c r="B32" s="44" t="s">
        <v>140</v>
      </c>
      <c r="C32" s="44">
        <v>15</v>
      </c>
      <c r="D32" s="356"/>
      <c r="J32" s="122"/>
    </row>
    <row r="33" spans="1:10" ht="13.8" x14ac:dyDescent="0.3">
      <c r="A33" s="45" t="s">
        <v>222</v>
      </c>
      <c r="B33" s="46" t="s">
        <v>141</v>
      </c>
      <c r="C33" s="46">
        <v>14</v>
      </c>
      <c r="D33" s="356"/>
      <c r="J33" s="122"/>
    </row>
    <row r="34" spans="1:10" ht="13.8" x14ac:dyDescent="0.3">
      <c r="A34" s="45" t="s">
        <v>249</v>
      </c>
      <c r="B34" s="46" t="s">
        <v>141</v>
      </c>
      <c r="C34" s="46">
        <v>14</v>
      </c>
      <c r="D34" s="356"/>
      <c r="J34" s="122"/>
    </row>
    <row r="35" spans="1:10" ht="13.8" x14ac:dyDescent="0.3">
      <c r="A35" s="45" t="s">
        <v>254</v>
      </c>
      <c r="B35" s="46" t="s">
        <v>141</v>
      </c>
      <c r="C35" s="46">
        <v>14</v>
      </c>
      <c r="D35" s="356"/>
      <c r="E35" s="49" t="s">
        <v>373</v>
      </c>
      <c r="J35" s="122"/>
    </row>
    <row r="36" spans="1:10" ht="13.8" x14ac:dyDescent="0.3">
      <c r="A36" s="45" t="s">
        <v>463</v>
      </c>
      <c r="B36" s="46" t="s">
        <v>141</v>
      </c>
      <c r="C36" s="46">
        <v>14</v>
      </c>
      <c r="D36" s="356"/>
      <c r="F36" s="7"/>
      <c r="G36" s="7"/>
      <c r="J36" s="122"/>
    </row>
    <row r="37" spans="1:10" ht="13.8" x14ac:dyDescent="0.3">
      <c r="A37" s="45" t="s">
        <v>259</v>
      </c>
      <c r="B37" s="46" t="s">
        <v>141</v>
      </c>
      <c r="C37" s="46">
        <v>14</v>
      </c>
      <c r="D37" s="356"/>
      <c r="F37" s="5"/>
      <c r="H37" s="7"/>
    </row>
    <row r="38" spans="1:10" ht="13.8" x14ac:dyDescent="0.3">
      <c r="A38" s="45" t="s">
        <v>261</v>
      </c>
      <c r="B38" s="46" t="s">
        <v>141</v>
      </c>
      <c r="C38" s="46">
        <v>14</v>
      </c>
      <c r="D38" s="356"/>
      <c r="F38" s="5"/>
      <c r="H38" s="8"/>
    </row>
    <row r="39" spans="1:10" ht="13.8" x14ac:dyDescent="0.3">
      <c r="A39" s="45" t="s">
        <v>328</v>
      </c>
      <c r="B39" s="46" t="s">
        <v>141</v>
      </c>
      <c r="C39" s="46">
        <v>14</v>
      </c>
      <c r="D39" s="356"/>
      <c r="F39" s="5"/>
      <c r="H39" s="8"/>
    </row>
    <row r="40" spans="1:10" ht="13.8" x14ac:dyDescent="0.3">
      <c r="A40" s="45" t="s">
        <v>267</v>
      </c>
      <c r="B40" s="46" t="s">
        <v>141</v>
      </c>
      <c r="C40" s="46">
        <v>14</v>
      </c>
      <c r="D40" s="356"/>
      <c r="F40" s="5"/>
      <c r="H40" s="8"/>
    </row>
    <row r="41" spans="1:10" ht="13.8" x14ac:dyDescent="0.3">
      <c r="A41" s="45" t="s">
        <v>269</v>
      </c>
      <c r="B41" s="46" t="s">
        <v>141</v>
      </c>
      <c r="C41" s="46">
        <v>14</v>
      </c>
      <c r="D41" s="356"/>
      <c r="F41" s="5"/>
      <c r="H41" s="8"/>
    </row>
    <row r="42" spans="1:10" ht="13.8" x14ac:dyDescent="0.3">
      <c r="A42" s="45" t="s">
        <v>275</v>
      </c>
      <c r="B42" s="46" t="s">
        <v>141</v>
      </c>
      <c r="C42" s="46">
        <v>14</v>
      </c>
      <c r="D42" s="356"/>
      <c r="F42" s="5"/>
      <c r="H42" s="8"/>
    </row>
    <row r="43" spans="1:10" ht="13.8" x14ac:dyDescent="0.3">
      <c r="A43" s="45" t="s">
        <v>352</v>
      </c>
      <c r="B43" s="46" t="s">
        <v>141</v>
      </c>
      <c r="C43" s="46">
        <v>14</v>
      </c>
      <c r="D43" s="356"/>
    </row>
    <row r="44" spans="1:10" ht="13.8" x14ac:dyDescent="0.3">
      <c r="A44" s="45" t="s">
        <v>446</v>
      </c>
      <c r="B44" s="46" t="s">
        <v>141</v>
      </c>
      <c r="C44" s="46">
        <v>14</v>
      </c>
      <c r="D44" s="356"/>
    </row>
    <row r="45" spans="1:10" ht="13.8" x14ac:dyDescent="0.3">
      <c r="A45" s="45" t="s">
        <v>279</v>
      </c>
      <c r="B45" s="46" t="s">
        <v>141</v>
      </c>
      <c r="C45" s="46">
        <v>14</v>
      </c>
      <c r="D45" s="356"/>
    </row>
    <row r="46" spans="1:10" ht="13.8" x14ac:dyDescent="0.3">
      <c r="A46" s="45" t="s">
        <v>283</v>
      </c>
      <c r="B46" s="46" t="s">
        <v>141</v>
      </c>
      <c r="C46" s="46">
        <v>14</v>
      </c>
      <c r="D46" s="356"/>
      <c r="H46" s="122"/>
    </row>
    <row r="47" spans="1:10" ht="13.8" x14ac:dyDescent="0.3">
      <c r="A47" s="45" t="s">
        <v>394</v>
      </c>
      <c r="B47" s="46" t="s">
        <v>141</v>
      </c>
      <c r="C47" s="46">
        <v>14</v>
      </c>
      <c r="D47" s="356"/>
      <c r="E47" s="122"/>
      <c r="G47" s="122"/>
      <c r="H47" s="122"/>
    </row>
    <row r="48" spans="1:10" ht="13.8" x14ac:dyDescent="0.3">
      <c r="A48" s="45" t="s">
        <v>297</v>
      </c>
      <c r="B48" s="46" t="s">
        <v>141</v>
      </c>
      <c r="C48" s="46">
        <v>14</v>
      </c>
      <c r="D48" s="356"/>
      <c r="E48" s="122"/>
      <c r="G48" s="122"/>
      <c r="H48" s="122"/>
    </row>
    <row r="49" spans="1:8" ht="13.8" x14ac:dyDescent="0.3">
      <c r="A49" s="45" t="s">
        <v>382</v>
      </c>
      <c r="B49" s="46" t="s">
        <v>141</v>
      </c>
      <c r="C49" s="46">
        <v>14</v>
      </c>
      <c r="D49" s="356"/>
      <c r="E49" s="122"/>
      <c r="G49" s="122"/>
      <c r="H49" s="122"/>
    </row>
    <row r="50" spans="1:8" ht="13.8" x14ac:dyDescent="0.3">
      <c r="A50" s="45" t="s">
        <v>243</v>
      </c>
      <c r="B50" s="46" t="s">
        <v>141</v>
      </c>
      <c r="C50" s="46">
        <v>14</v>
      </c>
      <c r="D50" s="356"/>
      <c r="E50" s="122"/>
      <c r="G50" s="122"/>
      <c r="H50" s="122"/>
    </row>
    <row r="51" spans="1:8" ht="13.8" x14ac:dyDescent="0.3">
      <c r="A51" s="45" t="s">
        <v>289</v>
      </c>
      <c r="B51" s="46" t="s">
        <v>141</v>
      </c>
      <c r="C51" s="46">
        <v>14</v>
      </c>
      <c r="D51" s="356"/>
      <c r="E51" s="122"/>
      <c r="G51" s="122"/>
      <c r="H51" s="122"/>
    </row>
    <row r="52" spans="1:8" ht="13.8" x14ac:dyDescent="0.3">
      <c r="A52" s="37" t="s">
        <v>465</v>
      </c>
      <c r="B52" s="44" t="s">
        <v>142</v>
      </c>
      <c r="C52" s="44">
        <v>13</v>
      </c>
      <c r="D52" s="356"/>
    </row>
    <row r="53" spans="1:8" ht="13.8" x14ac:dyDescent="0.3">
      <c r="A53" s="37" t="s">
        <v>225</v>
      </c>
      <c r="B53" s="44" t="s">
        <v>142</v>
      </c>
      <c r="C53" s="44">
        <v>13</v>
      </c>
      <c r="D53" s="356"/>
    </row>
    <row r="54" spans="1:8" ht="13.8" x14ac:dyDescent="0.3">
      <c r="A54" s="37" t="s">
        <v>238</v>
      </c>
      <c r="B54" s="44" t="s">
        <v>142</v>
      </c>
      <c r="C54" s="44">
        <v>13</v>
      </c>
      <c r="D54" s="356"/>
    </row>
    <row r="55" spans="1:8" ht="13.8" x14ac:dyDescent="0.3">
      <c r="A55" s="37" t="s">
        <v>245</v>
      </c>
      <c r="B55" s="44" t="s">
        <v>142</v>
      </c>
      <c r="C55" s="44">
        <v>13</v>
      </c>
      <c r="D55" s="356"/>
    </row>
    <row r="56" spans="1:8" ht="13.8" x14ac:dyDescent="0.3">
      <c r="A56" s="37" t="s">
        <v>256</v>
      </c>
      <c r="B56" s="44" t="s">
        <v>142</v>
      </c>
      <c r="C56" s="44">
        <v>13</v>
      </c>
      <c r="D56" s="356"/>
    </row>
    <row r="57" spans="1:8" ht="13.8" x14ac:dyDescent="0.3">
      <c r="A57" s="37" t="s">
        <v>449</v>
      </c>
      <c r="B57" s="44" t="s">
        <v>142</v>
      </c>
      <c r="C57" s="44">
        <v>13</v>
      </c>
      <c r="D57" s="356"/>
    </row>
    <row r="58" spans="1:8" ht="13.8" x14ac:dyDescent="0.3">
      <c r="A58" s="37" t="s">
        <v>265</v>
      </c>
      <c r="B58" s="44" t="s">
        <v>142</v>
      </c>
      <c r="C58" s="44">
        <v>13</v>
      </c>
      <c r="D58" s="356"/>
    </row>
    <row r="59" spans="1:8" ht="13.8" x14ac:dyDescent="0.3">
      <c r="A59" s="37" t="s">
        <v>367</v>
      </c>
      <c r="B59" s="44" t="s">
        <v>142</v>
      </c>
      <c r="C59" s="44">
        <v>13</v>
      </c>
      <c r="D59" s="356"/>
    </row>
    <row r="60" spans="1:8" ht="13.8" x14ac:dyDescent="0.3">
      <c r="A60" s="37" t="s">
        <v>273</v>
      </c>
      <c r="B60" s="44" t="s">
        <v>142</v>
      </c>
      <c r="C60" s="44">
        <v>13</v>
      </c>
      <c r="D60" s="356"/>
    </row>
    <row r="61" spans="1:8" ht="13.8" x14ac:dyDescent="0.3">
      <c r="A61" s="37" t="s">
        <v>299</v>
      </c>
      <c r="B61" s="44" t="s">
        <v>142</v>
      </c>
      <c r="C61" s="44">
        <v>13</v>
      </c>
      <c r="D61" s="356"/>
    </row>
    <row r="62" spans="1:8" ht="13.8" x14ac:dyDescent="0.3">
      <c r="A62" s="37" t="s">
        <v>281</v>
      </c>
      <c r="B62" s="44" t="s">
        <v>142</v>
      </c>
      <c r="C62" s="44">
        <v>13</v>
      </c>
      <c r="D62" s="356"/>
    </row>
    <row r="63" spans="1:8" ht="13.8" x14ac:dyDescent="0.3">
      <c r="A63" s="37" t="s">
        <v>305</v>
      </c>
      <c r="B63" s="44" t="s">
        <v>142</v>
      </c>
      <c r="C63" s="44">
        <v>13</v>
      </c>
      <c r="D63" s="356"/>
    </row>
    <row r="64" spans="1:8" ht="13.8" x14ac:dyDescent="0.3">
      <c r="A64" s="37" t="s">
        <v>369</v>
      </c>
      <c r="B64" s="44" t="s">
        <v>142</v>
      </c>
      <c r="C64" s="44">
        <v>13</v>
      </c>
      <c r="D64" s="356"/>
    </row>
    <row r="65" spans="1:5" ht="13.8" x14ac:dyDescent="0.3">
      <c r="A65" s="37" t="s">
        <v>354</v>
      </c>
      <c r="B65" s="44" t="s">
        <v>142</v>
      </c>
      <c r="C65" s="44">
        <v>13</v>
      </c>
      <c r="D65" s="356"/>
    </row>
    <row r="66" spans="1:5" ht="13.8" x14ac:dyDescent="0.3">
      <c r="A66" s="45" t="s">
        <v>424</v>
      </c>
      <c r="B66" s="46" t="s">
        <v>173</v>
      </c>
      <c r="C66" s="46">
        <v>12</v>
      </c>
      <c r="D66" s="356"/>
    </row>
    <row r="67" spans="1:5" ht="13.8" x14ac:dyDescent="0.3">
      <c r="A67" s="45" t="s">
        <v>287</v>
      </c>
      <c r="B67" s="46" t="s">
        <v>173</v>
      </c>
      <c r="C67" s="46">
        <v>12</v>
      </c>
      <c r="D67" s="356"/>
    </row>
    <row r="68" spans="1:5" ht="13.8" x14ac:dyDescent="0.3">
      <c r="A68" s="45" t="s">
        <v>458</v>
      </c>
      <c r="B68" s="46" t="s">
        <v>173</v>
      </c>
      <c r="C68" s="46">
        <v>12</v>
      </c>
      <c r="D68" s="356"/>
    </row>
    <row r="69" spans="1:5" ht="13.8" x14ac:dyDescent="0.3">
      <c r="A69" s="37" t="s">
        <v>486</v>
      </c>
      <c r="B69" s="44" t="s">
        <v>175</v>
      </c>
      <c r="C69" s="44">
        <v>11</v>
      </c>
      <c r="D69" s="356"/>
      <c r="E69" s="122"/>
    </row>
    <row r="70" spans="1:5" ht="13.8" x14ac:dyDescent="0.3">
      <c r="A70" s="37" t="s">
        <v>303</v>
      </c>
      <c r="B70" s="44" t="s">
        <v>177</v>
      </c>
      <c r="C70" s="44">
        <v>10</v>
      </c>
      <c r="D70" s="356"/>
    </row>
    <row r="71" spans="1:5" ht="13.8" x14ac:dyDescent="0.3">
      <c r="A71" s="37" t="s">
        <v>371</v>
      </c>
      <c r="B71" s="44" t="s">
        <v>183</v>
      </c>
      <c r="C71" s="44">
        <v>7</v>
      </c>
      <c r="D71" s="356"/>
      <c r="E71" s="122"/>
    </row>
    <row r="72" spans="1:5" ht="13.8" x14ac:dyDescent="0.3">
      <c r="A72" s="37" t="s">
        <v>480</v>
      </c>
      <c r="B72" s="47" t="s">
        <v>487</v>
      </c>
      <c r="C72" s="47"/>
      <c r="D72" s="356"/>
    </row>
    <row r="73" spans="1:5" ht="13.8" x14ac:dyDescent="0.3">
      <c r="A73" s="37" t="s">
        <v>308</v>
      </c>
      <c r="B73" s="47" t="s">
        <v>487</v>
      </c>
      <c r="C73" s="47"/>
      <c r="D73" s="5"/>
    </row>
    <row r="74" spans="1:5" ht="13.8" x14ac:dyDescent="0.3">
      <c r="A74" s="37" t="s">
        <v>389</v>
      </c>
      <c r="B74" s="47" t="s">
        <v>487</v>
      </c>
      <c r="C74" s="47"/>
      <c r="D74" s="5"/>
    </row>
    <row r="75" spans="1:5" ht="14.4" thickBot="1" x14ac:dyDescent="0.35">
      <c r="A75" s="53" t="s">
        <v>295</v>
      </c>
      <c r="B75" s="54" t="s">
        <v>487</v>
      </c>
      <c r="C75" s="54"/>
      <c r="D75" s="5"/>
    </row>
    <row r="76" spans="1:5" ht="13.8" x14ac:dyDescent="0.3">
      <c r="A76" s="41" t="s">
        <v>311</v>
      </c>
      <c r="B76" s="43" t="s">
        <v>141</v>
      </c>
      <c r="C76" s="42">
        <f>AVERAGE(C7:C71)</f>
        <v>14.153846153846153</v>
      </c>
      <c r="D76" s="5"/>
    </row>
    <row r="77" spans="1:5" x14ac:dyDescent="0.25">
      <c r="A77" s="3"/>
      <c r="B77" s="3"/>
      <c r="D77" s="9"/>
    </row>
    <row r="78" spans="1:5" x14ac:dyDescent="0.25">
      <c r="A78" s="3"/>
      <c r="B78" s="3"/>
      <c r="D78" s="9"/>
    </row>
    <row r="79" spans="1:5" x14ac:dyDescent="0.25">
      <c r="A79" s="48" t="s">
        <v>312</v>
      </c>
      <c r="D79" s="9"/>
    </row>
    <row r="80" spans="1:5" x14ac:dyDescent="0.25">
      <c r="A80" s="48" t="s">
        <v>488</v>
      </c>
      <c r="D80" s="9"/>
    </row>
    <row r="81" spans="1:4" x14ac:dyDescent="0.25">
      <c r="A81" s="48" t="s">
        <v>489</v>
      </c>
      <c r="D81" s="9"/>
    </row>
    <row r="82" spans="1:4" x14ac:dyDescent="0.25">
      <c r="A82" s="48" t="s">
        <v>490</v>
      </c>
      <c r="D82" s="9"/>
    </row>
    <row r="83" spans="1:4" x14ac:dyDescent="0.25">
      <c r="A83" s="2"/>
      <c r="D83" s="9"/>
    </row>
  </sheetData>
  <pageMargins left="0.17" right="0.18" top="0.28000000000000003" bottom="0.17" header="0.3" footer="0.3"/>
  <pageSetup scale="77" fitToWidth="0" orientation="portrait" horizontalDpi="1200" verticalDpi="120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002060"/>
    <pageSetUpPr fitToPage="1"/>
  </sheetPr>
  <dimension ref="A1:M84"/>
  <sheetViews>
    <sheetView zoomScale="80" zoomScaleNormal="80" workbookViewId="0"/>
  </sheetViews>
  <sheetFormatPr defaultColWidth="9.109375" defaultRowHeight="13.2" x14ac:dyDescent="0.25"/>
  <cols>
    <col min="1" max="1" width="35.109375" customWidth="1"/>
    <col min="5" max="5" width="11.5546875" customWidth="1"/>
    <col min="9" max="9" width="11" bestFit="1" customWidth="1"/>
    <col min="10" max="10" width="4.88671875" bestFit="1" customWidth="1"/>
  </cols>
  <sheetData>
    <row r="1" spans="1:13" ht="18" x14ac:dyDescent="0.35">
      <c r="A1" s="40" t="s">
        <v>491</v>
      </c>
    </row>
    <row r="2" spans="1:13" ht="18" x14ac:dyDescent="0.35">
      <c r="A2" s="40"/>
    </row>
    <row r="3" spans="1:13" ht="18" x14ac:dyDescent="0.35">
      <c r="A3" s="40"/>
    </row>
    <row r="4" spans="1:13" ht="18" x14ac:dyDescent="0.35">
      <c r="A4" s="40"/>
    </row>
    <row r="6" spans="1:13" ht="13.8" x14ac:dyDescent="0.3">
      <c r="A6" s="38" t="s">
        <v>212</v>
      </c>
      <c r="B6" s="39" t="s">
        <v>492</v>
      </c>
      <c r="C6" s="14"/>
    </row>
    <row r="7" spans="1:13" ht="14.4" thickBot="1" x14ac:dyDescent="0.35">
      <c r="A7" s="37" t="s">
        <v>431</v>
      </c>
      <c r="B7" s="44" t="s">
        <v>164</v>
      </c>
      <c r="C7" s="44">
        <v>18</v>
      </c>
      <c r="D7" s="356"/>
      <c r="E7" s="57" t="s">
        <v>210</v>
      </c>
      <c r="F7" s="57" t="s">
        <v>134</v>
      </c>
      <c r="G7" s="57" t="s">
        <v>135</v>
      </c>
      <c r="L7" s="122"/>
      <c r="M7" s="122"/>
    </row>
    <row r="8" spans="1:13" ht="13.8" x14ac:dyDescent="0.3">
      <c r="A8" s="37" t="s">
        <v>462</v>
      </c>
      <c r="B8" s="44" t="s">
        <v>166</v>
      </c>
      <c r="C8" s="44">
        <v>17</v>
      </c>
      <c r="D8" s="356"/>
      <c r="E8" s="37" t="s">
        <v>137</v>
      </c>
      <c r="F8" s="49">
        <f>COUNTIF(C$7:C$76,"&gt;16")</f>
        <v>6</v>
      </c>
      <c r="G8" s="50">
        <f>F8/F$14</f>
        <v>9.0909090909090912E-2</v>
      </c>
      <c r="I8" s="122"/>
      <c r="K8" s="122"/>
      <c r="L8" s="122"/>
      <c r="M8" s="122"/>
    </row>
    <row r="9" spans="1:13" ht="13.8" x14ac:dyDescent="0.3">
      <c r="A9" s="37" t="s">
        <v>227</v>
      </c>
      <c r="B9" s="44" t="s">
        <v>166</v>
      </c>
      <c r="C9" s="44">
        <v>17</v>
      </c>
      <c r="D9" s="356"/>
      <c r="E9" s="37" t="s">
        <v>139</v>
      </c>
      <c r="F9" s="49">
        <f>COUNTIF(C$7:C$76,"=16")</f>
        <v>7</v>
      </c>
      <c r="G9" s="50">
        <f t="shared" ref="G9:G14" si="0">F9/F$14</f>
        <v>0.10606060606060606</v>
      </c>
      <c r="I9" s="122"/>
      <c r="K9" s="122"/>
      <c r="L9" s="122"/>
      <c r="M9" s="122"/>
    </row>
    <row r="10" spans="1:13" ht="13.8" x14ac:dyDescent="0.3">
      <c r="A10" s="37" t="s">
        <v>479</v>
      </c>
      <c r="B10" s="44" t="s">
        <v>166</v>
      </c>
      <c r="C10" s="44">
        <v>17</v>
      </c>
      <c r="D10" s="356"/>
      <c r="E10" s="37" t="s">
        <v>140</v>
      </c>
      <c r="F10" s="49">
        <f>COUNTIF(C$7:C$76,"=15")</f>
        <v>17</v>
      </c>
      <c r="G10" s="50">
        <f t="shared" si="0"/>
        <v>0.25757575757575757</v>
      </c>
      <c r="I10" s="122"/>
      <c r="K10" s="122"/>
      <c r="L10" s="122"/>
      <c r="M10" s="122"/>
    </row>
    <row r="11" spans="1:13" ht="13.8" x14ac:dyDescent="0.3">
      <c r="A11" s="37" t="s">
        <v>439</v>
      </c>
      <c r="B11" s="44" t="s">
        <v>166</v>
      </c>
      <c r="C11" s="44">
        <v>17</v>
      </c>
      <c r="D11" s="356"/>
      <c r="E11" s="37" t="s">
        <v>141</v>
      </c>
      <c r="F11" s="49">
        <f>COUNTIF(C$7:C$76,"=14")</f>
        <v>15</v>
      </c>
      <c r="G11" s="50">
        <f t="shared" si="0"/>
        <v>0.22727272727272727</v>
      </c>
      <c r="I11" s="122"/>
      <c r="K11" s="122"/>
      <c r="L11" s="122"/>
      <c r="M11" s="122"/>
    </row>
    <row r="12" spans="1:13" ht="13.8" x14ac:dyDescent="0.3">
      <c r="A12" s="37" t="s">
        <v>293</v>
      </c>
      <c r="B12" s="44" t="s">
        <v>166</v>
      </c>
      <c r="C12" s="44">
        <v>17</v>
      </c>
      <c r="D12" s="356"/>
      <c r="E12" s="37" t="s">
        <v>142</v>
      </c>
      <c r="F12" s="49">
        <f>COUNTIF(C$7:C$76,"=13")</f>
        <v>13</v>
      </c>
      <c r="G12" s="50">
        <f t="shared" si="0"/>
        <v>0.19696969696969696</v>
      </c>
    </row>
    <row r="13" spans="1:13" ht="14.4" thickBot="1" x14ac:dyDescent="0.35">
      <c r="A13" s="45" t="s">
        <v>361</v>
      </c>
      <c r="B13" s="46" t="s">
        <v>139</v>
      </c>
      <c r="C13" s="46">
        <v>16</v>
      </c>
      <c r="D13" s="356"/>
      <c r="E13" s="53" t="s">
        <v>143</v>
      </c>
      <c r="F13" s="55">
        <f>COUNTIF(C$7:C$76,"&lt;13")</f>
        <v>8</v>
      </c>
      <c r="G13" s="56">
        <f t="shared" si="0"/>
        <v>0.12121212121212122</v>
      </c>
    </row>
    <row r="14" spans="1:13" ht="13.8" x14ac:dyDescent="0.3">
      <c r="A14" s="45" t="s">
        <v>263</v>
      </c>
      <c r="B14" s="46" t="s">
        <v>139</v>
      </c>
      <c r="C14" s="46">
        <v>16</v>
      </c>
      <c r="D14" s="356"/>
      <c r="E14" s="41" t="s">
        <v>144</v>
      </c>
      <c r="F14" s="51">
        <f>SUM(F8:F13)</f>
        <v>66</v>
      </c>
      <c r="G14" s="52">
        <f t="shared" si="0"/>
        <v>1</v>
      </c>
    </row>
    <row r="15" spans="1:13" ht="13.8" x14ac:dyDescent="0.3">
      <c r="A15" s="45" t="s">
        <v>395</v>
      </c>
      <c r="B15" s="46" t="s">
        <v>139</v>
      </c>
      <c r="C15" s="46">
        <v>16</v>
      </c>
      <c r="D15" s="356"/>
      <c r="I15" s="5"/>
    </row>
    <row r="16" spans="1:13" ht="13.8" x14ac:dyDescent="0.3">
      <c r="A16" s="45" t="s">
        <v>437</v>
      </c>
      <c r="B16" s="46" t="s">
        <v>139</v>
      </c>
      <c r="C16" s="46">
        <v>16</v>
      </c>
      <c r="D16" s="356"/>
      <c r="I16" s="5"/>
    </row>
    <row r="17" spans="1:10" ht="13.8" x14ac:dyDescent="0.3">
      <c r="A17" s="45" t="s">
        <v>408</v>
      </c>
      <c r="B17" s="46" t="s">
        <v>139</v>
      </c>
      <c r="C17" s="46">
        <v>16</v>
      </c>
      <c r="D17" s="356"/>
      <c r="I17" s="5"/>
    </row>
    <row r="18" spans="1:10" ht="13.8" x14ac:dyDescent="0.3">
      <c r="A18" s="45" t="s">
        <v>347</v>
      </c>
      <c r="B18" s="46" t="s">
        <v>139</v>
      </c>
      <c r="C18" s="46">
        <v>16</v>
      </c>
      <c r="D18" s="356"/>
      <c r="I18" s="5"/>
    </row>
    <row r="19" spans="1:10" ht="13.8" x14ac:dyDescent="0.3">
      <c r="A19" s="45" t="s">
        <v>345</v>
      </c>
      <c r="B19" s="46" t="s">
        <v>139</v>
      </c>
      <c r="C19" s="46">
        <v>16</v>
      </c>
      <c r="D19" s="356"/>
      <c r="I19" s="5"/>
    </row>
    <row r="20" spans="1:10" ht="13.8" x14ac:dyDescent="0.3">
      <c r="A20" s="37" t="s">
        <v>217</v>
      </c>
      <c r="B20" s="44" t="s">
        <v>140</v>
      </c>
      <c r="C20" s="44">
        <v>15</v>
      </c>
      <c r="D20" s="356"/>
      <c r="I20" s="5"/>
    </row>
    <row r="21" spans="1:10" ht="13.8" x14ac:dyDescent="0.3">
      <c r="A21" s="37" t="s">
        <v>219</v>
      </c>
      <c r="B21" s="44" t="s">
        <v>140</v>
      </c>
      <c r="C21" s="44">
        <v>15</v>
      </c>
      <c r="D21" s="356"/>
    </row>
    <row r="22" spans="1:10" ht="13.8" x14ac:dyDescent="0.3">
      <c r="A22" s="37" t="s">
        <v>463</v>
      </c>
      <c r="B22" s="44" t="s">
        <v>140</v>
      </c>
      <c r="C22" s="44">
        <v>15</v>
      </c>
      <c r="D22" s="356"/>
    </row>
    <row r="23" spans="1:10" ht="13.8" x14ac:dyDescent="0.3">
      <c r="A23" s="37" t="s">
        <v>460</v>
      </c>
      <c r="B23" s="44" t="s">
        <v>140</v>
      </c>
      <c r="C23" s="44">
        <v>15</v>
      </c>
      <c r="D23" s="356"/>
    </row>
    <row r="24" spans="1:10" ht="13.8" x14ac:dyDescent="0.3">
      <c r="A24" s="37" t="s">
        <v>269</v>
      </c>
      <c r="B24" s="44" t="s">
        <v>140</v>
      </c>
      <c r="C24" s="44">
        <v>15</v>
      </c>
      <c r="D24" s="356"/>
    </row>
    <row r="25" spans="1:10" ht="13.8" x14ac:dyDescent="0.3">
      <c r="A25" s="37" t="s">
        <v>283</v>
      </c>
      <c r="B25" s="44" t="s">
        <v>140</v>
      </c>
      <c r="C25" s="44">
        <v>15</v>
      </c>
      <c r="D25" s="356"/>
    </row>
    <row r="26" spans="1:10" ht="13.8" x14ac:dyDescent="0.3">
      <c r="A26" s="37" t="s">
        <v>442</v>
      </c>
      <c r="B26" s="44" t="s">
        <v>140</v>
      </c>
      <c r="C26" s="44">
        <v>15</v>
      </c>
      <c r="D26" s="356"/>
    </row>
    <row r="27" spans="1:10" ht="13.8" x14ac:dyDescent="0.3">
      <c r="A27" s="37" t="s">
        <v>444</v>
      </c>
      <c r="B27" s="44" t="s">
        <v>140</v>
      </c>
      <c r="C27" s="44">
        <v>15</v>
      </c>
      <c r="D27" s="356"/>
    </row>
    <row r="28" spans="1:10" ht="13.8" x14ac:dyDescent="0.3">
      <c r="A28" s="37" t="s">
        <v>271</v>
      </c>
      <c r="B28" s="44" t="s">
        <v>140</v>
      </c>
      <c r="C28" s="44">
        <v>15</v>
      </c>
      <c r="D28" s="356"/>
    </row>
    <row r="29" spans="1:10" ht="13.8" x14ac:dyDescent="0.3">
      <c r="A29" s="37" t="s">
        <v>277</v>
      </c>
      <c r="B29" s="44" t="s">
        <v>140</v>
      </c>
      <c r="C29" s="44">
        <v>15</v>
      </c>
      <c r="D29" s="356"/>
    </row>
    <row r="30" spans="1:10" ht="13.8" x14ac:dyDescent="0.3">
      <c r="A30" s="37" t="s">
        <v>299</v>
      </c>
      <c r="B30" s="44" t="s">
        <v>140</v>
      </c>
      <c r="C30" s="44">
        <v>15</v>
      </c>
      <c r="D30" s="356"/>
    </row>
    <row r="31" spans="1:10" ht="13.8" x14ac:dyDescent="0.3">
      <c r="A31" s="37" t="s">
        <v>485</v>
      </c>
      <c r="B31" s="44" t="s">
        <v>140</v>
      </c>
      <c r="C31" s="44">
        <v>15</v>
      </c>
      <c r="D31" s="356"/>
      <c r="I31" s="122"/>
      <c r="J31" s="122"/>
    </row>
    <row r="32" spans="1:10" ht="13.8" x14ac:dyDescent="0.3">
      <c r="A32" s="37" t="s">
        <v>285</v>
      </c>
      <c r="B32" s="44" t="s">
        <v>140</v>
      </c>
      <c r="C32" s="44">
        <v>15</v>
      </c>
      <c r="D32" s="356"/>
      <c r="J32" s="122"/>
    </row>
    <row r="33" spans="1:10" ht="13.8" x14ac:dyDescent="0.3">
      <c r="A33" s="37" t="s">
        <v>427</v>
      </c>
      <c r="B33" s="44" t="s">
        <v>140</v>
      </c>
      <c r="C33" s="44">
        <v>15</v>
      </c>
      <c r="D33" s="356"/>
      <c r="J33" s="122"/>
    </row>
    <row r="34" spans="1:10" ht="13.8" x14ac:dyDescent="0.3">
      <c r="A34" s="37" t="s">
        <v>291</v>
      </c>
      <c r="B34" s="44" t="s">
        <v>140</v>
      </c>
      <c r="C34" s="44">
        <v>15</v>
      </c>
      <c r="D34" s="356"/>
      <c r="J34" s="122"/>
    </row>
    <row r="35" spans="1:10" ht="13.8" x14ac:dyDescent="0.3">
      <c r="A35" s="37" t="s">
        <v>247</v>
      </c>
      <c r="B35" s="44" t="s">
        <v>140</v>
      </c>
      <c r="C35" s="44">
        <v>15</v>
      </c>
      <c r="D35" s="356"/>
      <c r="E35" s="49" t="s">
        <v>373</v>
      </c>
      <c r="J35" s="122"/>
    </row>
    <row r="36" spans="1:10" ht="13.8" x14ac:dyDescent="0.3">
      <c r="A36" s="37" t="s">
        <v>251</v>
      </c>
      <c r="B36" s="44" t="s">
        <v>140</v>
      </c>
      <c r="C36" s="44">
        <v>15</v>
      </c>
      <c r="D36" s="356"/>
      <c r="F36" s="7"/>
      <c r="G36" s="7"/>
      <c r="J36" s="122"/>
    </row>
    <row r="37" spans="1:10" ht="13.8" x14ac:dyDescent="0.3">
      <c r="A37" s="45" t="s">
        <v>222</v>
      </c>
      <c r="B37" s="46" t="s">
        <v>141</v>
      </c>
      <c r="C37" s="46">
        <v>14</v>
      </c>
      <c r="D37" s="356"/>
      <c r="F37" s="5"/>
      <c r="H37" s="7"/>
    </row>
    <row r="38" spans="1:10" ht="13.8" x14ac:dyDescent="0.3">
      <c r="A38" s="45" t="s">
        <v>249</v>
      </c>
      <c r="B38" s="46" t="s">
        <v>141</v>
      </c>
      <c r="C38" s="46">
        <v>14</v>
      </c>
      <c r="D38" s="356"/>
      <c r="F38" s="5"/>
      <c r="H38" s="8"/>
    </row>
    <row r="39" spans="1:10" ht="13.8" x14ac:dyDescent="0.3">
      <c r="A39" s="45" t="s">
        <v>254</v>
      </c>
      <c r="B39" s="46" t="s">
        <v>141</v>
      </c>
      <c r="C39" s="46">
        <v>14</v>
      </c>
      <c r="D39" s="356"/>
      <c r="F39" s="5"/>
      <c r="H39" s="8"/>
    </row>
    <row r="40" spans="1:10" ht="13.8" x14ac:dyDescent="0.3">
      <c r="A40" s="45" t="s">
        <v>259</v>
      </c>
      <c r="B40" s="46" t="s">
        <v>141</v>
      </c>
      <c r="C40" s="46">
        <v>14</v>
      </c>
      <c r="D40" s="356"/>
      <c r="F40" s="5"/>
      <c r="H40" s="8"/>
    </row>
    <row r="41" spans="1:10" ht="13.8" x14ac:dyDescent="0.3">
      <c r="A41" s="45" t="s">
        <v>261</v>
      </c>
      <c r="B41" s="46" t="s">
        <v>141</v>
      </c>
      <c r="C41" s="46">
        <v>14</v>
      </c>
      <c r="D41" s="356"/>
      <c r="F41" s="5"/>
      <c r="H41" s="8"/>
    </row>
    <row r="42" spans="1:10" ht="13.8" x14ac:dyDescent="0.3">
      <c r="A42" s="45" t="s">
        <v>328</v>
      </c>
      <c r="B42" s="46" t="s">
        <v>141</v>
      </c>
      <c r="C42" s="46">
        <v>14</v>
      </c>
      <c r="D42" s="356"/>
      <c r="F42" s="5"/>
      <c r="H42" s="8"/>
    </row>
    <row r="43" spans="1:10" ht="13.8" x14ac:dyDescent="0.3">
      <c r="A43" s="45" t="s">
        <v>267</v>
      </c>
      <c r="B43" s="46" t="s">
        <v>141</v>
      </c>
      <c r="C43" s="46">
        <v>14</v>
      </c>
      <c r="D43" s="356"/>
    </row>
    <row r="44" spans="1:10" ht="13.8" x14ac:dyDescent="0.3">
      <c r="A44" s="45" t="s">
        <v>275</v>
      </c>
      <c r="B44" s="46" t="s">
        <v>141</v>
      </c>
      <c r="C44" s="46">
        <v>14</v>
      </c>
      <c r="D44" s="356"/>
    </row>
    <row r="45" spans="1:10" ht="13.8" x14ac:dyDescent="0.3">
      <c r="A45" s="45" t="s">
        <v>352</v>
      </c>
      <c r="B45" s="46" t="s">
        <v>141</v>
      </c>
      <c r="C45" s="46">
        <v>14</v>
      </c>
      <c r="D45" s="356"/>
    </row>
    <row r="46" spans="1:10" ht="13.8" x14ac:dyDescent="0.3">
      <c r="A46" s="45" t="s">
        <v>446</v>
      </c>
      <c r="B46" s="46" t="s">
        <v>141</v>
      </c>
      <c r="C46" s="46">
        <v>14</v>
      </c>
      <c r="D46" s="356"/>
      <c r="H46" s="122"/>
    </row>
    <row r="47" spans="1:10" ht="13.8" x14ac:dyDescent="0.3">
      <c r="A47" s="45" t="s">
        <v>279</v>
      </c>
      <c r="B47" s="46" t="s">
        <v>141</v>
      </c>
      <c r="C47" s="46">
        <v>14</v>
      </c>
      <c r="D47" s="356"/>
      <c r="E47" s="122"/>
      <c r="G47" s="122"/>
      <c r="H47" s="122"/>
    </row>
    <row r="48" spans="1:10" ht="13.8" x14ac:dyDescent="0.3">
      <c r="A48" s="45" t="s">
        <v>394</v>
      </c>
      <c r="B48" s="46" t="s">
        <v>141</v>
      </c>
      <c r="C48" s="46">
        <v>14</v>
      </c>
      <c r="D48" s="356"/>
      <c r="E48" s="122"/>
      <c r="G48" s="122"/>
      <c r="H48" s="122"/>
    </row>
    <row r="49" spans="1:8" ht="13.8" x14ac:dyDescent="0.3">
      <c r="A49" s="45" t="s">
        <v>382</v>
      </c>
      <c r="B49" s="46" t="s">
        <v>141</v>
      </c>
      <c r="C49" s="46">
        <v>14</v>
      </c>
      <c r="D49" s="356"/>
      <c r="E49" s="122"/>
      <c r="G49" s="122"/>
      <c r="H49" s="122"/>
    </row>
    <row r="50" spans="1:8" ht="13.8" x14ac:dyDescent="0.3">
      <c r="A50" s="45" t="s">
        <v>243</v>
      </c>
      <c r="B50" s="46" t="s">
        <v>141</v>
      </c>
      <c r="C50" s="46">
        <v>14</v>
      </c>
      <c r="D50" s="356"/>
      <c r="E50" s="122"/>
      <c r="G50" s="122"/>
      <c r="H50" s="122"/>
    </row>
    <row r="51" spans="1:8" ht="13.8" x14ac:dyDescent="0.3">
      <c r="A51" s="45" t="s">
        <v>289</v>
      </c>
      <c r="B51" s="46" t="s">
        <v>141</v>
      </c>
      <c r="C51" s="46">
        <v>14</v>
      </c>
      <c r="D51" s="356"/>
      <c r="E51" s="122"/>
      <c r="G51" s="122"/>
      <c r="H51" s="122"/>
    </row>
    <row r="52" spans="1:8" ht="13.8" x14ac:dyDescent="0.3">
      <c r="A52" s="37" t="s">
        <v>465</v>
      </c>
      <c r="B52" s="44" t="s">
        <v>142</v>
      </c>
      <c r="C52" s="44">
        <v>13</v>
      </c>
      <c r="D52" s="356"/>
    </row>
    <row r="53" spans="1:8" ht="13.8" x14ac:dyDescent="0.3">
      <c r="A53" s="37" t="s">
        <v>225</v>
      </c>
      <c r="B53" s="44" t="s">
        <v>142</v>
      </c>
      <c r="C53" s="44">
        <v>13</v>
      </c>
      <c r="D53" s="356"/>
    </row>
    <row r="54" spans="1:8" ht="13.8" x14ac:dyDescent="0.3">
      <c r="A54" s="37" t="s">
        <v>245</v>
      </c>
      <c r="B54" s="44" t="s">
        <v>142</v>
      </c>
      <c r="C54" s="44">
        <v>13</v>
      </c>
      <c r="D54" s="356"/>
    </row>
    <row r="55" spans="1:8" ht="13.8" x14ac:dyDescent="0.3">
      <c r="A55" s="37" t="s">
        <v>256</v>
      </c>
      <c r="B55" s="44" t="s">
        <v>142</v>
      </c>
      <c r="C55" s="44">
        <v>13</v>
      </c>
      <c r="D55" s="356"/>
    </row>
    <row r="56" spans="1:8" ht="13.8" x14ac:dyDescent="0.3">
      <c r="A56" s="37" t="s">
        <v>449</v>
      </c>
      <c r="B56" s="44" t="s">
        <v>142</v>
      </c>
      <c r="C56" s="44">
        <v>13</v>
      </c>
      <c r="D56" s="356"/>
    </row>
    <row r="57" spans="1:8" ht="13.8" x14ac:dyDescent="0.3">
      <c r="A57" s="37" t="s">
        <v>265</v>
      </c>
      <c r="B57" s="44" t="s">
        <v>142</v>
      </c>
      <c r="C57" s="44">
        <v>13</v>
      </c>
      <c r="D57" s="356"/>
    </row>
    <row r="58" spans="1:8" ht="13.8" x14ac:dyDescent="0.3">
      <c r="A58" s="37" t="s">
        <v>367</v>
      </c>
      <c r="B58" s="44" t="s">
        <v>142</v>
      </c>
      <c r="C58" s="44">
        <v>13</v>
      </c>
      <c r="D58" s="356"/>
    </row>
    <row r="59" spans="1:8" ht="13.8" x14ac:dyDescent="0.3">
      <c r="A59" s="37" t="s">
        <v>273</v>
      </c>
      <c r="B59" s="44" t="s">
        <v>142</v>
      </c>
      <c r="C59" s="44">
        <v>13</v>
      </c>
      <c r="D59" s="356"/>
    </row>
    <row r="60" spans="1:8" ht="13.8" x14ac:dyDescent="0.3">
      <c r="A60" s="37" t="s">
        <v>281</v>
      </c>
      <c r="B60" s="44" t="s">
        <v>142</v>
      </c>
      <c r="C60" s="44">
        <v>13</v>
      </c>
      <c r="D60" s="356"/>
    </row>
    <row r="61" spans="1:8" ht="13.8" x14ac:dyDescent="0.3">
      <c r="A61" s="37" t="s">
        <v>303</v>
      </c>
      <c r="B61" s="44" t="s">
        <v>142</v>
      </c>
      <c r="C61" s="44">
        <v>13</v>
      </c>
      <c r="D61" s="356"/>
    </row>
    <row r="62" spans="1:8" ht="13.8" x14ac:dyDescent="0.3">
      <c r="A62" s="37" t="s">
        <v>305</v>
      </c>
      <c r="B62" s="44" t="s">
        <v>142</v>
      </c>
      <c r="C62" s="44">
        <v>13</v>
      </c>
      <c r="D62" s="356"/>
    </row>
    <row r="63" spans="1:8" ht="13.8" x14ac:dyDescent="0.3">
      <c r="A63" s="37" t="s">
        <v>369</v>
      </c>
      <c r="B63" s="44" t="s">
        <v>142</v>
      </c>
      <c r="C63" s="44">
        <v>13</v>
      </c>
      <c r="D63" s="356"/>
    </row>
    <row r="64" spans="1:8" ht="13.8" x14ac:dyDescent="0.3">
      <c r="A64" s="37" t="s">
        <v>354</v>
      </c>
      <c r="B64" s="44" t="s">
        <v>142</v>
      </c>
      <c r="C64" s="44">
        <v>13</v>
      </c>
      <c r="D64" s="356"/>
    </row>
    <row r="65" spans="1:5" ht="13.8" x14ac:dyDescent="0.3">
      <c r="A65" s="45" t="s">
        <v>238</v>
      </c>
      <c r="B65" s="46" t="s">
        <v>173</v>
      </c>
      <c r="C65" s="46">
        <v>12</v>
      </c>
      <c r="D65" s="356"/>
    </row>
    <row r="66" spans="1:5" ht="13.8" x14ac:dyDescent="0.3">
      <c r="A66" s="45" t="s">
        <v>424</v>
      </c>
      <c r="B66" s="46" t="s">
        <v>173</v>
      </c>
      <c r="C66" s="46">
        <v>12</v>
      </c>
      <c r="D66" s="356"/>
    </row>
    <row r="67" spans="1:5" ht="13.8" x14ac:dyDescent="0.3">
      <c r="A67" s="45" t="s">
        <v>287</v>
      </c>
      <c r="B67" s="46" t="s">
        <v>173</v>
      </c>
      <c r="C67" s="46">
        <v>12</v>
      </c>
      <c r="D67" s="356"/>
    </row>
    <row r="68" spans="1:5" ht="13.8" x14ac:dyDescent="0.3">
      <c r="A68" s="45" t="s">
        <v>297</v>
      </c>
      <c r="B68" s="46" t="s">
        <v>173</v>
      </c>
      <c r="C68" s="46">
        <v>12</v>
      </c>
      <c r="D68" s="356"/>
    </row>
    <row r="69" spans="1:5" ht="13.8" x14ac:dyDescent="0.3">
      <c r="A69" s="37" t="s">
        <v>458</v>
      </c>
      <c r="B69" s="44" t="s">
        <v>175</v>
      </c>
      <c r="C69" s="44">
        <v>11</v>
      </c>
      <c r="D69" s="356"/>
      <c r="E69" s="122"/>
    </row>
    <row r="70" spans="1:5" ht="13.8" x14ac:dyDescent="0.3">
      <c r="A70" s="37" t="s">
        <v>486</v>
      </c>
      <c r="B70" s="44" t="s">
        <v>177</v>
      </c>
      <c r="C70" s="44">
        <v>10</v>
      </c>
      <c r="D70" s="356"/>
    </row>
    <row r="71" spans="1:5" ht="13.8" x14ac:dyDescent="0.3">
      <c r="A71" s="37" t="s">
        <v>493</v>
      </c>
      <c r="B71" s="44" t="s">
        <v>179</v>
      </c>
      <c r="C71" s="44">
        <v>9</v>
      </c>
      <c r="D71" s="356"/>
      <c r="E71" s="122"/>
    </row>
    <row r="72" spans="1:5" ht="13.8" x14ac:dyDescent="0.3">
      <c r="A72" s="37" t="s">
        <v>371</v>
      </c>
      <c r="B72" s="44" t="s">
        <v>183</v>
      </c>
      <c r="C72" s="44">
        <v>7</v>
      </c>
      <c r="D72" s="356"/>
    </row>
    <row r="73" spans="1:5" ht="13.8" x14ac:dyDescent="0.3">
      <c r="A73" s="37" t="s">
        <v>480</v>
      </c>
      <c r="B73" s="47" t="s">
        <v>487</v>
      </c>
      <c r="C73" s="47"/>
      <c r="D73" s="5"/>
    </row>
    <row r="74" spans="1:5" ht="13.8" x14ac:dyDescent="0.3">
      <c r="A74" s="37" t="s">
        <v>308</v>
      </c>
      <c r="B74" s="47" t="s">
        <v>487</v>
      </c>
      <c r="C74" s="47"/>
      <c r="D74" s="5"/>
    </row>
    <row r="75" spans="1:5" ht="13.8" x14ac:dyDescent="0.3">
      <c r="A75" s="37" t="s">
        <v>389</v>
      </c>
      <c r="B75" s="47" t="s">
        <v>487</v>
      </c>
      <c r="C75" s="47"/>
      <c r="D75" s="5"/>
    </row>
    <row r="76" spans="1:5" ht="14.4" thickBot="1" x14ac:dyDescent="0.35">
      <c r="A76" s="53" t="s">
        <v>295</v>
      </c>
      <c r="B76" s="54" t="s">
        <v>487</v>
      </c>
      <c r="C76" s="54"/>
      <c r="D76" s="5"/>
    </row>
    <row r="77" spans="1:5" ht="13.8" x14ac:dyDescent="0.3">
      <c r="A77" s="41" t="s">
        <v>311</v>
      </c>
      <c r="B77" s="43" t="s">
        <v>141</v>
      </c>
      <c r="C77" s="42">
        <f>AVERAGE(C7:C72)</f>
        <v>14.151515151515152</v>
      </c>
      <c r="D77" s="9"/>
    </row>
    <row r="78" spans="1:5" x14ac:dyDescent="0.25">
      <c r="A78" s="3"/>
      <c r="B78" s="3"/>
      <c r="D78" s="9"/>
    </row>
    <row r="79" spans="1:5" x14ac:dyDescent="0.25">
      <c r="A79" s="3"/>
      <c r="B79" s="3"/>
      <c r="D79" s="9"/>
    </row>
    <row r="80" spans="1:5" x14ac:dyDescent="0.25">
      <c r="A80" s="48" t="s">
        <v>312</v>
      </c>
      <c r="D80" s="9"/>
    </row>
    <row r="81" spans="1:4" x14ac:dyDescent="0.25">
      <c r="A81" s="48" t="s">
        <v>494</v>
      </c>
      <c r="D81" s="9"/>
    </row>
    <row r="82" spans="1:4" x14ac:dyDescent="0.25">
      <c r="A82" s="48" t="s">
        <v>495</v>
      </c>
      <c r="D82" s="9"/>
    </row>
    <row r="83" spans="1:4" x14ac:dyDescent="0.25">
      <c r="A83" s="48" t="s">
        <v>496</v>
      </c>
      <c r="D83" s="9"/>
    </row>
    <row r="84" spans="1:4" x14ac:dyDescent="0.25">
      <c r="A84" s="2"/>
    </row>
  </sheetData>
  <pageMargins left="0.17" right="0.18" top="0.28000000000000003" bottom="0.17" header="0.3" footer="0.3"/>
  <pageSetup scale="76" fitToWidth="0" orientation="portrait" horizontalDpi="1200" verticalDpi="120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0070C0"/>
    <pageSetUpPr fitToPage="1"/>
  </sheetPr>
  <dimension ref="A1:H84"/>
  <sheetViews>
    <sheetView zoomScale="80" zoomScaleNormal="80" workbookViewId="0"/>
  </sheetViews>
  <sheetFormatPr defaultColWidth="9.109375" defaultRowHeight="13.2" x14ac:dyDescent="0.25"/>
  <cols>
    <col min="1" max="1" width="37.109375" customWidth="1"/>
    <col min="5" max="5" width="11.5546875" customWidth="1"/>
  </cols>
  <sheetData>
    <row r="1" spans="1:7" ht="17.399999999999999" x14ac:dyDescent="0.3">
      <c r="A1" s="12" t="s">
        <v>497</v>
      </c>
    </row>
    <row r="2" spans="1:7" ht="17.399999999999999" x14ac:dyDescent="0.3">
      <c r="A2" s="12"/>
    </row>
    <row r="3" spans="1:7" ht="17.399999999999999" x14ac:dyDescent="0.3">
      <c r="A3" s="12"/>
    </row>
    <row r="4" spans="1:7" ht="17.399999999999999" x14ac:dyDescent="0.3">
      <c r="A4" s="12"/>
    </row>
    <row r="6" spans="1:7" x14ac:dyDescent="0.25">
      <c r="A6" s="22" t="s">
        <v>212</v>
      </c>
      <c r="B6" s="13">
        <v>2006</v>
      </c>
      <c r="C6" s="14"/>
      <c r="E6" s="11"/>
    </row>
    <row r="7" spans="1:7" x14ac:dyDescent="0.25">
      <c r="A7" s="3" t="s">
        <v>431</v>
      </c>
      <c r="B7" s="3" t="s">
        <v>164</v>
      </c>
      <c r="C7" s="4">
        <v>18</v>
      </c>
      <c r="D7" s="5"/>
      <c r="E7" s="7" t="s">
        <v>210</v>
      </c>
      <c r="F7" s="7" t="s">
        <v>134</v>
      </c>
      <c r="G7" s="7" t="s">
        <v>135</v>
      </c>
    </row>
    <row r="8" spans="1:7" x14ac:dyDescent="0.25">
      <c r="A8" s="3" t="s">
        <v>418</v>
      </c>
      <c r="B8" s="1" t="s">
        <v>166</v>
      </c>
      <c r="C8" s="4">
        <v>17</v>
      </c>
      <c r="D8" s="5"/>
      <c r="E8" s="5" t="s">
        <v>137</v>
      </c>
      <c r="F8">
        <v>8</v>
      </c>
      <c r="G8" s="8">
        <f>F8/F14</f>
        <v>0.12121212121212122</v>
      </c>
    </row>
    <row r="9" spans="1:7" x14ac:dyDescent="0.25">
      <c r="A9" s="3" t="s">
        <v>227</v>
      </c>
      <c r="B9" s="3" t="s">
        <v>166</v>
      </c>
      <c r="C9" s="4">
        <v>17</v>
      </c>
      <c r="D9" s="5"/>
      <c r="E9" s="5" t="s">
        <v>139</v>
      </c>
      <c r="F9">
        <v>3</v>
      </c>
      <c r="G9" s="8">
        <f t="shared" ref="G9:G14" si="0">F9/$F$14</f>
        <v>4.5454545454545456E-2</v>
      </c>
    </row>
    <row r="10" spans="1:7" x14ac:dyDescent="0.25">
      <c r="A10" s="3" t="s">
        <v>479</v>
      </c>
      <c r="B10" s="3" t="s">
        <v>166</v>
      </c>
      <c r="C10" s="4">
        <v>17</v>
      </c>
      <c r="D10" s="5"/>
      <c r="E10" s="5" t="s">
        <v>140</v>
      </c>
      <c r="F10">
        <v>14</v>
      </c>
      <c r="G10" s="8">
        <f t="shared" si="0"/>
        <v>0.21212121212121213</v>
      </c>
    </row>
    <row r="11" spans="1:7" x14ac:dyDescent="0.25">
      <c r="A11" s="3" t="s">
        <v>437</v>
      </c>
      <c r="B11" s="3" t="s">
        <v>166</v>
      </c>
      <c r="C11" s="4">
        <v>17</v>
      </c>
      <c r="D11" s="5"/>
      <c r="E11" s="5" t="s">
        <v>141</v>
      </c>
      <c r="F11">
        <v>23</v>
      </c>
      <c r="G11" s="8">
        <f t="shared" si="0"/>
        <v>0.34848484848484851</v>
      </c>
    </row>
    <row r="12" spans="1:7" x14ac:dyDescent="0.25">
      <c r="A12" s="3" t="s">
        <v>439</v>
      </c>
      <c r="B12" s="3" t="s">
        <v>166</v>
      </c>
      <c r="C12" s="4">
        <v>17</v>
      </c>
      <c r="D12" s="5"/>
      <c r="E12" s="5" t="s">
        <v>142</v>
      </c>
      <c r="F12">
        <v>6</v>
      </c>
      <c r="G12" s="8">
        <f t="shared" si="0"/>
        <v>9.0909090909090912E-2</v>
      </c>
    </row>
    <row r="13" spans="1:7" x14ac:dyDescent="0.25">
      <c r="A13" s="3" t="s">
        <v>293</v>
      </c>
      <c r="B13" s="3" t="s">
        <v>166</v>
      </c>
      <c r="C13" s="4">
        <v>17</v>
      </c>
      <c r="D13" s="5"/>
      <c r="E13" s="5" t="s">
        <v>143</v>
      </c>
      <c r="F13">
        <v>12</v>
      </c>
      <c r="G13" s="8">
        <f t="shared" si="0"/>
        <v>0.18181818181818182</v>
      </c>
    </row>
    <row r="14" spans="1:7" x14ac:dyDescent="0.25">
      <c r="A14" s="3" t="s">
        <v>498</v>
      </c>
      <c r="B14" s="3" t="s">
        <v>166</v>
      </c>
      <c r="C14" s="4">
        <v>17</v>
      </c>
      <c r="D14" s="5"/>
      <c r="E14" s="5" t="s">
        <v>144</v>
      </c>
      <c r="F14">
        <f>SUM(F8:F13)</f>
        <v>66</v>
      </c>
      <c r="G14" s="6">
        <f t="shared" si="0"/>
        <v>1</v>
      </c>
    </row>
    <row r="15" spans="1:7" x14ac:dyDescent="0.25">
      <c r="A15" s="19" t="s">
        <v>408</v>
      </c>
      <c r="B15" s="15" t="s">
        <v>139</v>
      </c>
      <c r="C15" s="16">
        <v>16</v>
      </c>
      <c r="D15" s="5"/>
    </row>
    <row r="16" spans="1:7" x14ac:dyDescent="0.25">
      <c r="A16" s="15" t="s">
        <v>347</v>
      </c>
      <c r="B16" s="15" t="s">
        <v>139</v>
      </c>
      <c r="C16" s="16">
        <v>16</v>
      </c>
      <c r="D16" s="5"/>
    </row>
    <row r="17" spans="1:4" x14ac:dyDescent="0.25">
      <c r="A17" s="15" t="s">
        <v>345</v>
      </c>
      <c r="B17" s="15" t="s">
        <v>139</v>
      </c>
      <c r="C17" s="16">
        <v>16</v>
      </c>
      <c r="D17" s="5"/>
    </row>
    <row r="18" spans="1:4" x14ac:dyDescent="0.25">
      <c r="A18" s="3" t="s">
        <v>217</v>
      </c>
      <c r="B18" s="3" t="s">
        <v>140</v>
      </c>
      <c r="C18" s="4">
        <v>15</v>
      </c>
      <c r="D18" s="5"/>
    </row>
    <row r="19" spans="1:4" x14ac:dyDescent="0.25">
      <c r="A19" s="3" t="s">
        <v>219</v>
      </c>
      <c r="B19" s="3" t="s">
        <v>140</v>
      </c>
      <c r="C19" s="4">
        <v>15</v>
      </c>
      <c r="D19" s="5"/>
    </row>
    <row r="20" spans="1:4" x14ac:dyDescent="0.25">
      <c r="A20" s="3" t="s">
        <v>499</v>
      </c>
      <c r="B20" s="3" t="s">
        <v>140</v>
      </c>
      <c r="C20" s="4">
        <v>15</v>
      </c>
      <c r="D20" s="5"/>
    </row>
    <row r="21" spans="1:4" x14ac:dyDescent="0.25">
      <c r="A21" s="3" t="s">
        <v>460</v>
      </c>
      <c r="B21" s="3" t="s">
        <v>140</v>
      </c>
      <c r="C21" s="4">
        <v>15</v>
      </c>
      <c r="D21" s="5"/>
    </row>
    <row r="22" spans="1:4" x14ac:dyDescent="0.25">
      <c r="A22" s="3" t="s">
        <v>269</v>
      </c>
      <c r="B22" s="3" t="s">
        <v>140</v>
      </c>
      <c r="C22" s="4">
        <v>15</v>
      </c>
      <c r="D22" s="5"/>
    </row>
    <row r="23" spans="1:4" x14ac:dyDescent="0.25">
      <c r="A23" s="3" t="s">
        <v>283</v>
      </c>
      <c r="B23" s="3" t="s">
        <v>140</v>
      </c>
      <c r="C23" s="4">
        <v>15</v>
      </c>
      <c r="D23" s="5"/>
    </row>
    <row r="24" spans="1:4" x14ac:dyDescent="0.25">
      <c r="A24" s="1" t="s">
        <v>500</v>
      </c>
      <c r="B24" s="1" t="s">
        <v>140</v>
      </c>
      <c r="C24" s="4">
        <v>15</v>
      </c>
      <c r="D24" s="5"/>
    </row>
    <row r="25" spans="1:4" x14ac:dyDescent="0.25">
      <c r="A25" s="1" t="s">
        <v>501</v>
      </c>
      <c r="B25" s="1" t="s">
        <v>140</v>
      </c>
      <c r="C25" s="4">
        <v>15</v>
      </c>
      <c r="D25" s="5"/>
    </row>
    <row r="26" spans="1:4" x14ac:dyDescent="0.25">
      <c r="A26" s="18" t="s">
        <v>271</v>
      </c>
      <c r="B26" s="18" t="s">
        <v>140</v>
      </c>
      <c r="C26" s="4">
        <v>15</v>
      </c>
      <c r="D26" s="5"/>
    </row>
    <row r="27" spans="1:4" x14ac:dyDescent="0.25">
      <c r="A27" s="3" t="s">
        <v>277</v>
      </c>
      <c r="B27" s="3" t="s">
        <v>140</v>
      </c>
      <c r="C27" s="4">
        <v>15</v>
      </c>
      <c r="D27" s="5"/>
    </row>
    <row r="28" spans="1:4" x14ac:dyDescent="0.25">
      <c r="A28" s="3" t="s">
        <v>299</v>
      </c>
      <c r="B28" s="3" t="s">
        <v>140</v>
      </c>
      <c r="C28" s="4">
        <v>15</v>
      </c>
      <c r="D28" s="5"/>
    </row>
    <row r="29" spans="1:4" x14ac:dyDescent="0.25">
      <c r="A29" s="3" t="s">
        <v>285</v>
      </c>
      <c r="B29" s="3" t="s">
        <v>140</v>
      </c>
      <c r="C29" s="4">
        <v>15</v>
      </c>
      <c r="D29" s="5"/>
    </row>
    <row r="30" spans="1:4" x14ac:dyDescent="0.25">
      <c r="A30" s="3" t="s">
        <v>291</v>
      </c>
      <c r="B30" s="3" t="s">
        <v>140</v>
      </c>
      <c r="C30" s="4">
        <v>15</v>
      </c>
      <c r="D30" s="5"/>
    </row>
    <row r="31" spans="1:4" x14ac:dyDescent="0.25">
      <c r="A31" s="3" t="s">
        <v>247</v>
      </c>
      <c r="B31" s="3" t="s">
        <v>140</v>
      </c>
      <c r="C31" s="4">
        <v>15</v>
      </c>
      <c r="D31" s="5"/>
    </row>
    <row r="32" spans="1:4" x14ac:dyDescent="0.25">
      <c r="A32" s="15" t="s">
        <v>225</v>
      </c>
      <c r="B32" s="15" t="s">
        <v>141</v>
      </c>
      <c r="C32" s="16">
        <v>14</v>
      </c>
      <c r="D32" s="5"/>
    </row>
    <row r="33" spans="1:8" x14ac:dyDescent="0.25">
      <c r="A33" s="15" t="s">
        <v>502</v>
      </c>
      <c r="B33" s="15" t="s">
        <v>141</v>
      </c>
      <c r="C33" s="16">
        <v>14</v>
      </c>
      <c r="D33" s="5"/>
    </row>
    <row r="34" spans="1:8" x14ac:dyDescent="0.25">
      <c r="A34" s="15" t="s">
        <v>249</v>
      </c>
      <c r="B34" s="15" t="s">
        <v>141</v>
      </c>
      <c r="C34" s="16">
        <v>14</v>
      </c>
      <c r="D34" s="5"/>
    </row>
    <row r="35" spans="1:8" x14ac:dyDescent="0.25">
      <c r="A35" s="15" t="s">
        <v>254</v>
      </c>
      <c r="B35" s="15" t="s">
        <v>141</v>
      </c>
      <c r="C35" s="16">
        <v>14</v>
      </c>
      <c r="D35" s="5"/>
      <c r="E35" s="2" t="s">
        <v>503</v>
      </c>
    </row>
    <row r="36" spans="1:8" x14ac:dyDescent="0.25">
      <c r="A36" s="15" t="s">
        <v>361</v>
      </c>
      <c r="B36" s="19" t="s">
        <v>141</v>
      </c>
      <c r="C36" s="16">
        <v>14</v>
      </c>
      <c r="D36" s="5"/>
    </row>
    <row r="37" spans="1:8" x14ac:dyDescent="0.25">
      <c r="A37" s="15" t="s">
        <v>261</v>
      </c>
      <c r="B37" s="15" t="s">
        <v>141</v>
      </c>
      <c r="C37" s="16">
        <v>14</v>
      </c>
      <c r="D37" s="5"/>
      <c r="F37" s="7"/>
      <c r="G37" s="7"/>
      <c r="H37" s="7"/>
    </row>
    <row r="38" spans="1:8" x14ac:dyDescent="0.25">
      <c r="A38" s="15" t="s">
        <v>263</v>
      </c>
      <c r="B38" s="15" t="s">
        <v>141</v>
      </c>
      <c r="C38" s="16">
        <v>14</v>
      </c>
      <c r="D38" s="5"/>
      <c r="F38" s="5"/>
      <c r="H38" s="8"/>
    </row>
    <row r="39" spans="1:8" x14ac:dyDescent="0.25">
      <c r="A39" s="15" t="s">
        <v>504</v>
      </c>
      <c r="B39" s="15" t="s">
        <v>141</v>
      </c>
      <c r="C39" s="16">
        <v>14</v>
      </c>
      <c r="D39" s="5"/>
      <c r="F39" s="5"/>
      <c r="H39" s="8"/>
    </row>
    <row r="40" spans="1:8" x14ac:dyDescent="0.25">
      <c r="A40" s="15" t="s">
        <v>328</v>
      </c>
      <c r="B40" s="15" t="s">
        <v>141</v>
      </c>
      <c r="C40" s="16">
        <v>14</v>
      </c>
      <c r="D40" s="5"/>
      <c r="F40" s="5"/>
      <c r="H40" s="8"/>
    </row>
    <row r="41" spans="1:8" x14ac:dyDescent="0.25">
      <c r="A41" s="15" t="s">
        <v>267</v>
      </c>
      <c r="B41" s="15" t="s">
        <v>141</v>
      </c>
      <c r="C41" s="16">
        <v>14</v>
      </c>
      <c r="D41" s="5"/>
      <c r="F41" s="5"/>
      <c r="H41" s="8"/>
    </row>
    <row r="42" spans="1:8" x14ac:dyDescent="0.25">
      <c r="A42" s="15" t="s">
        <v>275</v>
      </c>
      <c r="B42" s="15" t="s">
        <v>141</v>
      </c>
      <c r="C42" s="16">
        <v>14</v>
      </c>
      <c r="D42" s="5"/>
      <c r="F42" s="5"/>
      <c r="H42" s="8"/>
    </row>
    <row r="43" spans="1:8" x14ac:dyDescent="0.25">
      <c r="A43" s="15" t="s">
        <v>505</v>
      </c>
      <c r="B43" s="15" t="s">
        <v>141</v>
      </c>
      <c r="C43" s="16">
        <v>14</v>
      </c>
      <c r="D43" s="5"/>
      <c r="F43" s="5"/>
      <c r="H43" s="8"/>
    </row>
    <row r="44" spans="1:8" x14ac:dyDescent="0.25">
      <c r="A44" s="15" t="s">
        <v>446</v>
      </c>
      <c r="B44" s="15" t="s">
        <v>141</v>
      </c>
      <c r="C44" s="16">
        <v>14</v>
      </c>
      <c r="D44" s="5"/>
      <c r="F44" s="5"/>
    </row>
    <row r="45" spans="1:8" x14ac:dyDescent="0.25">
      <c r="A45" s="15" t="s">
        <v>279</v>
      </c>
      <c r="B45" s="15" t="s">
        <v>141</v>
      </c>
      <c r="C45" s="16">
        <v>14</v>
      </c>
      <c r="D45" s="5"/>
    </row>
    <row r="46" spans="1:8" x14ac:dyDescent="0.25">
      <c r="A46" s="15" t="s">
        <v>273</v>
      </c>
      <c r="B46" s="15" t="s">
        <v>141</v>
      </c>
      <c r="C46" s="16">
        <v>14</v>
      </c>
      <c r="D46" s="5"/>
    </row>
    <row r="47" spans="1:8" x14ac:dyDescent="0.25">
      <c r="A47" s="15" t="s">
        <v>394</v>
      </c>
      <c r="B47" s="15" t="s">
        <v>141</v>
      </c>
      <c r="C47" s="16">
        <v>14</v>
      </c>
      <c r="D47" s="5"/>
    </row>
    <row r="48" spans="1:8" x14ac:dyDescent="0.25">
      <c r="A48" s="15" t="s">
        <v>382</v>
      </c>
      <c r="B48" s="15" t="s">
        <v>141</v>
      </c>
      <c r="C48" s="16">
        <v>14</v>
      </c>
      <c r="D48" s="5"/>
    </row>
    <row r="49" spans="1:4" x14ac:dyDescent="0.25">
      <c r="A49" s="15" t="s">
        <v>301</v>
      </c>
      <c r="B49" s="23" t="s">
        <v>141</v>
      </c>
      <c r="C49" s="16">
        <v>14</v>
      </c>
      <c r="D49" s="5"/>
    </row>
    <row r="50" spans="1:4" x14ac:dyDescent="0.25">
      <c r="A50" s="15" t="s">
        <v>303</v>
      </c>
      <c r="B50" s="15" t="s">
        <v>141</v>
      </c>
      <c r="C50" s="16">
        <v>14</v>
      </c>
      <c r="D50" s="5"/>
    </row>
    <row r="51" spans="1:4" x14ac:dyDescent="0.25">
      <c r="A51" s="15" t="s">
        <v>243</v>
      </c>
      <c r="B51" s="15" t="s">
        <v>141</v>
      </c>
      <c r="C51" s="16">
        <v>14</v>
      </c>
      <c r="D51" s="5"/>
    </row>
    <row r="52" spans="1:4" x14ac:dyDescent="0.25">
      <c r="A52" s="15" t="s">
        <v>506</v>
      </c>
      <c r="B52" s="15" t="s">
        <v>141</v>
      </c>
      <c r="C52" s="16">
        <v>14</v>
      </c>
      <c r="D52" s="5"/>
    </row>
    <row r="53" spans="1:4" x14ac:dyDescent="0.25">
      <c r="A53" s="15" t="s">
        <v>289</v>
      </c>
      <c r="B53" s="15" t="s">
        <v>141</v>
      </c>
      <c r="C53" s="16">
        <v>14</v>
      </c>
      <c r="D53" s="5"/>
    </row>
    <row r="54" spans="1:4" x14ac:dyDescent="0.25">
      <c r="A54" s="15" t="s">
        <v>507</v>
      </c>
      <c r="B54" s="15" t="s">
        <v>141</v>
      </c>
      <c r="C54" s="16">
        <v>14</v>
      </c>
      <c r="D54" s="5"/>
    </row>
    <row r="55" spans="1:4" x14ac:dyDescent="0.25">
      <c r="A55" s="3" t="s">
        <v>245</v>
      </c>
      <c r="B55" s="3" t="s">
        <v>142</v>
      </c>
      <c r="C55" s="4">
        <v>13</v>
      </c>
      <c r="D55" s="5"/>
    </row>
    <row r="56" spans="1:4" x14ac:dyDescent="0.25">
      <c r="A56" s="3" t="s">
        <v>265</v>
      </c>
      <c r="B56" s="1" t="s">
        <v>142</v>
      </c>
      <c r="C56" s="4">
        <v>13</v>
      </c>
      <c r="D56" s="5"/>
    </row>
    <row r="57" spans="1:4" x14ac:dyDescent="0.25">
      <c r="A57" s="3" t="s">
        <v>367</v>
      </c>
      <c r="B57" s="3" t="s">
        <v>142</v>
      </c>
      <c r="C57" s="4">
        <v>13</v>
      </c>
      <c r="D57" s="5"/>
    </row>
    <row r="58" spans="1:4" x14ac:dyDescent="0.25">
      <c r="A58" s="3" t="s">
        <v>281</v>
      </c>
      <c r="B58" s="1" t="s">
        <v>142</v>
      </c>
      <c r="C58" s="4">
        <v>13</v>
      </c>
      <c r="D58" s="5"/>
    </row>
    <row r="59" spans="1:4" x14ac:dyDescent="0.25">
      <c r="A59" s="3" t="s">
        <v>305</v>
      </c>
      <c r="B59" s="3" t="s">
        <v>142</v>
      </c>
      <c r="C59" s="4">
        <v>13</v>
      </c>
      <c r="D59" s="5"/>
    </row>
    <row r="60" spans="1:4" x14ac:dyDescent="0.25">
      <c r="A60" s="3" t="s">
        <v>508</v>
      </c>
      <c r="B60" s="3" t="s">
        <v>142</v>
      </c>
      <c r="C60" s="4">
        <v>13</v>
      </c>
      <c r="D60" s="5"/>
    </row>
    <row r="61" spans="1:4" x14ac:dyDescent="0.25">
      <c r="A61" s="15" t="s">
        <v>465</v>
      </c>
      <c r="B61" s="15" t="s">
        <v>173</v>
      </c>
      <c r="C61" s="16">
        <v>12</v>
      </c>
      <c r="D61" s="5"/>
    </row>
    <row r="62" spans="1:4" x14ac:dyDescent="0.25">
      <c r="A62" s="15" t="s">
        <v>238</v>
      </c>
      <c r="B62" s="15" t="s">
        <v>173</v>
      </c>
      <c r="C62" s="16">
        <v>12</v>
      </c>
      <c r="D62" s="5"/>
    </row>
    <row r="63" spans="1:4" x14ac:dyDescent="0.25">
      <c r="A63" s="15" t="s">
        <v>424</v>
      </c>
      <c r="B63" s="15" t="s">
        <v>173</v>
      </c>
      <c r="C63" s="16">
        <v>12</v>
      </c>
      <c r="D63" s="5"/>
    </row>
    <row r="64" spans="1:4" x14ac:dyDescent="0.25">
      <c r="A64" s="15" t="s">
        <v>259</v>
      </c>
      <c r="B64" s="19" t="s">
        <v>173</v>
      </c>
      <c r="C64" s="16">
        <v>12</v>
      </c>
      <c r="D64" s="5"/>
    </row>
    <row r="65" spans="1:4" x14ac:dyDescent="0.25">
      <c r="A65" s="15" t="s">
        <v>287</v>
      </c>
      <c r="B65" s="15" t="s">
        <v>173</v>
      </c>
      <c r="C65" s="16">
        <v>12</v>
      </c>
      <c r="D65" s="5"/>
    </row>
    <row r="66" spans="1:4" x14ac:dyDescent="0.25">
      <c r="A66" s="15" t="s">
        <v>297</v>
      </c>
      <c r="B66" s="15" t="s">
        <v>173</v>
      </c>
      <c r="C66" s="16">
        <v>12</v>
      </c>
      <c r="D66" s="5"/>
    </row>
    <row r="67" spans="1:4" x14ac:dyDescent="0.25">
      <c r="A67" s="15" t="s">
        <v>354</v>
      </c>
      <c r="B67" s="15" t="s">
        <v>173</v>
      </c>
      <c r="C67" s="16">
        <v>12</v>
      </c>
      <c r="D67" s="5"/>
    </row>
    <row r="68" spans="1:4" x14ac:dyDescent="0.25">
      <c r="A68" s="3" t="s">
        <v>256</v>
      </c>
      <c r="B68" s="3" t="s">
        <v>175</v>
      </c>
      <c r="C68" s="4">
        <v>11</v>
      </c>
      <c r="D68" s="5"/>
    </row>
    <row r="69" spans="1:4" x14ac:dyDescent="0.25">
      <c r="A69" s="3" t="s">
        <v>369</v>
      </c>
      <c r="B69" s="3" t="s">
        <v>175</v>
      </c>
      <c r="C69" s="4">
        <v>11</v>
      </c>
      <c r="D69" s="5"/>
    </row>
    <row r="70" spans="1:4" x14ac:dyDescent="0.25">
      <c r="A70" s="3" t="s">
        <v>509</v>
      </c>
      <c r="B70" s="20" t="s">
        <v>175</v>
      </c>
      <c r="C70" s="4">
        <v>11</v>
      </c>
      <c r="D70" s="5"/>
    </row>
    <row r="71" spans="1:4" x14ac:dyDescent="0.25">
      <c r="A71" s="15" t="s">
        <v>486</v>
      </c>
      <c r="B71" s="19" t="s">
        <v>177</v>
      </c>
      <c r="C71" s="16">
        <v>10</v>
      </c>
      <c r="D71" s="5"/>
    </row>
    <row r="72" spans="1:4" x14ac:dyDescent="0.25">
      <c r="A72" s="15" t="s">
        <v>493</v>
      </c>
      <c r="B72" s="19" t="s">
        <v>181</v>
      </c>
      <c r="C72" s="16">
        <v>8</v>
      </c>
      <c r="D72" s="5"/>
    </row>
    <row r="73" spans="1:4" x14ac:dyDescent="0.25">
      <c r="A73" s="3" t="s">
        <v>480</v>
      </c>
      <c r="B73" s="3" t="s">
        <v>310</v>
      </c>
      <c r="C73" s="4" t="s">
        <v>487</v>
      </c>
      <c r="D73" s="5"/>
    </row>
    <row r="74" spans="1:4" x14ac:dyDescent="0.25">
      <c r="A74" s="3" t="s">
        <v>510</v>
      </c>
      <c r="B74" s="3"/>
      <c r="C74" s="4" t="s">
        <v>487</v>
      </c>
      <c r="D74" s="5"/>
    </row>
    <row r="75" spans="1:4" x14ac:dyDescent="0.25">
      <c r="A75" s="3" t="s">
        <v>389</v>
      </c>
      <c r="B75" s="3" t="s">
        <v>310</v>
      </c>
      <c r="C75" s="4" t="s">
        <v>487</v>
      </c>
      <c r="D75" s="5"/>
    </row>
    <row r="76" spans="1:4" x14ac:dyDescent="0.25">
      <c r="A76" s="3" t="s">
        <v>295</v>
      </c>
      <c r="B76" s="3" t="s">
        <v>310</v>
      </c>
      <c r="C76" s="4" t="s">
        <v>487</v>
      </c>
      <c r="D76" s="5"/>
    </row>
    <row r="77" spans="1:4" x14ac:dyDescent="0.25">
      <c r="A77" s="20" t="s">
        <v>311</v>
      </c>
      <c r="B77" s="20" t="s">
        <v>141</v>
      </c>
      <c r="C77" s="21">
        <f>SUM(C7:C72)/66</f>
        <v>14.090909090909092</v>
      </c>
      <c r="D77" s="9"/>
    </row>
    <row r="78" spans="1:4" x14ac:dyDescent="0.25">
      <c r="A78" s="3"/>
      <c r="B78" s="3"/>
      <c r="D78" s="9"/>
    </row>
    <row r="79" spans="1:4" x14ac:dyDescent="0.25">
      <c r="A79" s="2" t="s">
        <v>511</v>
      </c>
      <c r="D79" s="9"/>
    </row>
    <row r="80" spans="1:4" x14ac:dyDescent="0.25">
      <c r="A80" s="1" t="s">
        <v>512</v>
      </c>
      <c r="D80" s="9"/>
    </row>
    <row r="81" spans="1:4" x14ac:dyDescent="0.25">
      <c r="A81" s="2" t="s">
        <v>513</v>
      </c>
      <c r="D81" s="9"/>
    </row>
    <row r="82" spans="1:4" x14ac:dyDescent="0.25">
      <c r="A82" s="2" t="s">
        <v>514</v>
      </c>
      <c r="D82" s="9"/>
    </row>
    <row r="83" spans="1:4" x14ac:dyDescent="0.25">
      <c r="D83" s="9"/>
    </row>
    <row r="84" spans="1:4" x14ac:dyDescent="0.25">
      <c r="A84" s="2" t="s">
        <v>515</v>
      </c>
    </row>
  </sheetData>
  <phoneticPr fontId="3" type="noConversion"/>
  <pageMargins left="0.75" right="0.75" top="1" bottom="1" header="0.5" footer="0.5"/>
  <pageSetup scale="64" fitToWidth="0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002060"/>
  </sheetPr>
  <dimension ref="A1:G96"/>
  <sheetViews>
    <sheetView zoomScale="80" zoomScaleNormal="80" workbookViewId="0"/>
  </sheetViews>
  <sheetFormatPr defaultColWidth="9.109375" defaultRowHeight="13.2" x14ac:dyDescent="0.25"/>
  <cols>
    <col min="1" max="1" width="35.109375" customWidth="1"/>
    <col min="3" max="3" width="9.109375" style="4"/>
    <col min="5" max="5" width="11.33203125" customWidth="1"/>
  </cols>
  <sheetData>
    <row r="1" spans="1:7" ht="17.399999999999999" x14ac:dyDescent="0.3">
      <c r="A1" s="12" t="s">
        <v>516</v>
      </c>
    </row>
    <row r="2" spans="1:7" ht="17.399999999999999" x14ac:dyDescent="0.3">
      <c r="A2" s="12"/>
    </row>
    <row r="3" spans="1:7" ht="17.399999999999999" x14ac:dyDescent="0.3">
      <c r="A3" s="12"/>
    </row>
    <row r="4" spans="1:7" ht="17.399999999999999" x14ac:dyDescent="0.3">
      <c r="A4" s="12"/>
    </row>
    <row r="7" spans="1:7" x14ac:dyDescent="0.25">
      <c r="A7" s="24"/>
      <c r="B7" s="11"/>
    </row>
    <row r="8" spans="1:7" x14ac:dyDescent="0.25">
      <c r="A8" s="22" t="s">
        <v>212</v>
      </c>
      <c r="B8" s="17" t="s">
        <v>517</v>
      </c>
      <c r="C8" s="16"/>
      <c r="E8" s="11"/>
    </row>
    <row r="9" spans="1:7" x14ac:dyDescent="0.25">
      <c r="A9" s="9" t="s">
        <v>518</v>
      </c>
      <c r="B9" s="1" t="s">
        <v>164</v>
      </c>
      <c r="C9" s="4">
        <v>18</v>
      </c>
      <c r="E9" s="7" t="s">
        <v>210</v>
      </c>
      <c r="F9" s="7" t="s">
        <v>134</v>
      </c>
      <c r="G9" s="7" t="s">
        <v>135</v>
      </c>
    </row>
    <row r="10" spans="1:7" x14ac:dyDescent="0.25">
      <c r="A10" s="9" t="s">
        <v>519</v>
      </c>
      <c r="B10" s="1" t="s">
        <v>164</v>
      </c>
      <c r="C10" s="4">
        <v>18</v>
      </c>
      <c r="E10" s="5" t="s">
        <v>137</v>
      </c>
      <c r="F10">
        <v>18</v>
      </c>
      <c r="G10" s="6">
        <f>F10/F16</f>
        <v>0.25</v>
      </c>
    </row>
    <row r="11" spans="1:7" x14ac:dyDescent="0.25">
      <c r="A11" s="9" t="s">
        <v>520</v>
      </c>
      <c r="B11" s="1" t="s">
        <v>164</v>
      </c>
      <c r="C11" s="4">
        <v>18</v>
      </c>
      <c r="E11" s="5" t="s">
        <v>139</v>
      </c>
      <c r="F11">
        <v>12</v>
      </c>
      <c r="G11" s="6">
        <f>F11/$F$16</f>
        <v>0.16666666666666666</v>
      </c>
    </row>
    <row r="12" spans="1:7" x14ac:dyDescent="0.25">
      <c r="A12" s="2" t="s">
        <v>521</v>
      </c>
      <c r="B12" s="3" t="s">
        <v>164</v>
      </c>
      <c r="C12" s="4">
        <v>18</v>
      </c>
      <c r="E12" s="5" t="s">
        <v>140</v>
      </c>
      <c r="F12">
        <v>19</v>
      </c>
      <c r="G12" s="6">
        <f>F12/$F$16</f>
        <v>0.2638888888888889</v>
      </c>
    </row>
    <row r="13" spans="1:7" x14ac:dyDescent="0.25">
      <c r="A13" s="9" t="s">
        <v>522</v>
      </c>
      <c r="B13" s="3" t="s">
        <v>164</v>
      </c>
      <c r="C13" s="4">
        <v>18</v>
      </c>
      <c r="E13" s="5" t="s">
        <v>141</v>
      </c>
      <c r="F13">
        <v>10</v>
      </c>
      <c r="G13" s="6">
        <f>F13/$F$16</f>
        <v>0.1388888888888889</v>
      </c>
    </row>
    <row r="14" spans="1:7" x14ac:dyDescent="0.25">
      <c r="A14" s="9" t="s">
        <v>523</v>
      </c>
      <c r="B14" s="1" t="s">
        <v>166</v>
      </c>
      <c r="C14" s="4">
        <v>17</v>
      </c>
      <c r="E14" s="5" t="s">
        <v>142</v>
      </c>
      <c r="F14">
        <v>7</v>
      </c>
      <c r="G14" s="6">
        <f>F14/$F$16</f>
        <v>9.7222222222222224E-2</v>
      </c>
    </row>
    <row r="15" spans="1:7" x14ac:dyDescent="0.25">
      <c r="A15" s="9" t="s">
        <v>524</v>
      </c>
      <c r="B15" s="3" t="s">
        <v>166</v>
      </c>
      <c r="C15" s="4">
        <v>17</v>
      </c>
      <c r="E15" s="5" t="s">
        <v>143</v>
      </c>
      <c r="F15">
        <v>6</v>
      </c>
      <c r="G15" s="6">
        <f>F15/$F$16</f>
        <v>8.3333333333333329E-2</v>
      </c>
    </row>
    <row r="16" spans="1:7" x14ac:dyDescent="0.25">
      <c r="A16" s="9" t="s">
        <v>525</v>
      </c>
      <c r="B16" s="1" t="s">
        <v>166</v>
      </c>
      <c r="C16" s="4">
        <v>17</v>
      </c>
      <c r="E16" s="5" t="s">
        <v>144</v>
      </c>
      <c r="F16">
        <f>SUM(F10:F15)</f>
        <v>72</v>
      </c>
    </row>
    <row r="17" spans="1:7" x14ac:dyDescent="0.25">
      <c r="A17" s="9" t="s">
        <v>431</v>
      </c>
      <c r="B17" s="1" t="s">
        <v>166</v>
      </c>
      <c r="C17" s="4">
        <v>17</v>
      </c>
      <c r="E17" s="5"/>
      <c r="G17" s="6"/>
    </row>
    <row r="18" spans="1:7" x14ac:dyDescent="0.25">
      <c r="A18" s="9" t="s">
        <v>347</v>
      </c>
      <c r="B18" s="3" t="s">
        <v>166</v>
      </c>
      <c r="C18" s="4">
        <v>17</v>
      </c>
      <c r="E18" s="5"/>
      <c r="G18" s="6"/>
    </row>
    <row r="19" spans="1:7" x14ac:dyDescent="0.25">
      <c r="A19" s="9" t="s">
        <v>526</v>
      </c>
      <c r="B19" s="3" t="s">
        <v>166</v>
      </c>
      <c r="C19" s="4">
        <v>17</v>
      </c>
      <c r="E19" s="5"/>
      <c r="G19" s="6"/>
    </row>
    <row r="20" spans="1:7" x14ac:dyDescent="0.25">
      <c r="A20" s="9" t="s">
        <v>527</v>
      </c>
      <c r="B20" s="1" t="s">
        <v>166</v>
      </c>
      <c r="C20" s="4">
        <v>17</v>
      </c>
      <c r="E20" s="5"/>
      <c r="G20" s="6"/>
    </row>
    <row r="21" spans="1:7" x14ac:dyDescent="0.25">
      <c r="A21" s="9" t="s">
        <v>528</v>
      </c>
      <c r="B21" s="20" t="s">
        <v>166</v>
      </c>
      <c r="C21" s="4">
        <v>17</v>
      </c>
      <c r="E21" s="5"/>
    </row>
    <row r="22" spans="1:7" x14ac:dyDescent="0.25">
      <c r="A22" s="9" t="s">
        <v>529</v>
      </c>
      <c r="B22" s="1" t="s">
        <v>166</v>
      </c>
      <c r="C22" s="4">
        <v>17</v>
      </c>
    </row>
    <row r="23" spans="1:7" x14ac:dyDescent="0.25">
      <c r="A23" s="9" t="s">
        <v>530</v>
      </c>
      <c r="B23" s="1" t="s">
        <v>166</v>
      </c>
      <c r="C23" s="4">
        <v>17</v>
      </c>
    </row>
    <row r="24" spans="1:7" x14ac:dyDescent="0.25">
      <c r="A24" s="9" t="s">
        <v>291</v>
      </c>
      <c r="B24" s="3" t="s">
        <v>166</v>
      </c>
      <c r="C24" s="4">
        <v>17</v>
      </c>
    </row>
    <row r="25" spans="1:7" x14ac:dyDescent="0.25">
      <c r="A25" s="9" t="s">
        <v>531</v>
      </c>
      <c r="B25" s="3" t="s">
        <v>166</v>
      </c>
      <c r="C25" s="4">
        <v>17</v>
      </c>
    </row>
    <row r="26" spans="1:7" x14ac:dyDescent="0.25">
      <c r="A26" s="9" t="s">
        <v>532</v>
      </c>
      <c r="B26" s="1" t="s">
        <v>166</v>
      </c>
      <c r="C26" s="4">
        <v>17</v>
      </c>
    </row>
    <row r="27" spans="1:7" x14ac:dyDescent="0.25">
      <c r="A27" s="25" t="s">
        <v>533</v>
      </c>
      <c r="B27" s="19" t="s">
        <v>139</v>
      </c>
      <c r="C27" s="16">
        <v>16</v>
      </c>
    </row>
    <row r="28" spans="1:7" x14ac:dyDescent="0.25">
      <c r="A28" s="25" t="s">
        <v>534</v>
      </c>
      <c r="B28" s="19" t="s">
        <v>139</v>
      </c>
      <c r="C28" s="16">
        <v>16</v>
      </c>
    </row>
    <row r="29" spans="1:7" x14ac:dyDescent="0.25">
      <c r="A29" s="25" t="s">
        <v>535</v>
      </c>
      <c r="B29" s="19" t="s">
        <v>139</v>
      </c>
      <c r="C29" s="16">
        <v>16</v>
      </c>
    </row>
    <row r="30" spans="1:7" x14ac:dyDescent="0.25">
      <c r="A30" s="26" t="s">
        <v>536</v>
      </c>
      <c r="B30" s="15" t="s">
        <v>139</v>
      </c>
      <c r="C30" s="16">
        <v>16</v>
      </c>
    </row>
    <row r="31" spans="1:7" x14ac:dyDescent="0.25">
      <c r="A31" s="26" t="s">
        <v>537</v>
      </c>
      <c r="B31" s="15" t="s">
        <v>139</v>
      </c>
      <c r="C31" s="16">
        <v>16</v>
      </c>
    </row>
    <row r="32" spans="1:7" x14ac:dyDescent="0.25">
      <c r="A32" s="25" t="s">
        <v>538</v>
      </c>
      <c r="B32" s="19" t="s">
        <v>139</v>
      </c>
      <c r="C32" s="16">
        <v>16</v>
      </c>
    </row>
    <row r="33" spans="1:5" x14ac:dyDescent="0.25">
      <c r="A33" s="25" t="s">
        <v>539</v>
      </c>
      <c r="B33" s="15" t="s">
        <v>139</v>
      </c>
      <c r="C33" s="16">
        <v>16</v>
      </c>
    </row>
    <row r="34" spans="1:5" x14ac:dyDescent="0.25">
      <c r="A34" s="25" t="s">
        <v>540</v>
      </c>
      <c r="B34" s="15" t="s">
        <v>139</v>
      </c>
      <c r="C34" s="16">
        <v>16</v>
      </c>
    </row>
    <row r="35" spans="1:5" x14ac:dyDescent="0.25">
      <c r="A35" s="25" t="s">
        <v>541</v>
      </c>
      <c r="B35" s="19" t="s">
        <v>139</v>
      </c>
      <c r="C35" s="16">
        <v>16</v>
      </c>
    </row>
    <row r="36" spans="1:5" x14ac:dyDescent="0.25">
      <c r="A36" s="25" t="s">
        <v>542</v>
      </c>
      <c r="B36" s="19" t="s">
        <v>139</v>
      </c>
      <c r="C36" s="16">
        <v>16</v>
      </c>
    </row>
    <row r="37" spans="1:5" x14ac:dyDescent="0.25">
      <c r="A37" s="25" t="s">
        <v>543</v>
      </c>
      <c r="B37" s="19" t="s">
        <v>139</v>
      </c>
      <c r="C37" s="16">
        <v>16</v>
      </c>
    </row>
    <row r="38" spans="1:5" x14ac:dyDescent="0.25">
      <c r="A38" s="25" t="s">
        <v>544</v>
      </c>
      <c r="B38" s="23" t="s">
        <v>139</v>
      </c>
      <c r="C38" s="16">
        <v>16</v>
      </c>
    </row>
    <row r="39" spans="1:5" x14ac:dyDescent="0.25">
      <c r="A39" s="9" t="s">
        <v>545</v>
      </c>
      <c r="B39" s="1" t="s">
        <v>140</v>
      </c>
      <c r="C39" s="4">
        <v>15</v>
      </c>
    </row>
    <row r="40" spans="1:5" x14ac:dyDescent="0.25">
      <c r="A40" s="9" t="s">
        <v>249</v>
      </c>
      <c r="B40" s="1" t="s">
        <v>140</v>
      </c>
      <c r="C40" s="4">
        <v>15</v>
      </c>
      <c r="E40" s="2" t="s">
        <v>546</v>
      </c>
    </row>
    <row r="41" spans="1:5" x14ac:dyDescent="0.25">
      <c r="A41" s="9" t="s">
        <v>547</v>
      </c>
      <c r="B41" s="3" t="s">
        <v>140</v>
      </c>
      <c r="C41" s="4">
        <v>15</v>
      </c>
    </row>
    <row r="42" spans="1:5" x14ac:dyDescent="0.25">
      <c r="A42" s="9" t="s">
        <v>254</v>
      </c>
      <c r="B42" s="1" t="s">
        <v>140</v>
      </c>
      <c r="C42" s="4">
        <v>15</v>
      </c>
    </row>
    <row r="43" spans="1:5" x14ac:dyDescent="0.25">
      <c r="A43" s="9" t="s">
        <v>548</v>
      </c>
      <c r="B43" s="1" t="s">
        <v>140</v>
      </c>
      <c r="C43" s="4">
        <v>15</v>
      </c>
    </row>
    <row r="44" spans="1:5" x14ac:dyDescent="0.25">
      <c r="A44" s="9" t="s">
        <v>549</v>
      </c>
      <c r="B44" s="3" t="s">
        <v>140</v>
      </c>
      <c r="C44" s="4">
        <v>15</v>
      </c>
      <c r="E44" s="2"/>
    </row>
    <row r="45" spans="1:5" x14ac:dyDescent="0.25">
      <c r="A45" s="9" t="s">
        <v>259</v>
      </c>
      <c r="B45" s="1" t="s">
        <v>140</v>
      </c>
      <c r="C45" s="4">
        <v>15</v>
      </c>
    </row>
    <row r="46" spans="1:5" x14ac:dyDescent="0.25">
      <c r="A46" s="9" t="s">
        <v>450</v>
      </c>
      <c r="B46" s="1" t="s">
        <v>140</v>
      </c>
      <c r="C46" s="4">
        <v>15</v>
      </c>
    </row>
    <row r="47" spans="1:5" x14ac:dyDescent="0.25">
      <c r="A47" s="9" t="s">
        <v>550</v>
      </c>
      <c r="B47" s="1" t="s">
        <v>140</v>
      </c>
      <c r="C47" s="4">
        <v>15</v>
      </c>
    </row>
    <row r="48" spans="1:5" x14ac:dyDescent="0.25">
      <c r="A48" s="9" t="s">
        <v>551</v>
      </c>
      <c r="B48" s="3" t="s">
        <v>140</v>
      </c>
      <c r="C48" s="4">
        <v>15</v>
      </c>
    </row>
    <row r="49" spans="1:3" x14ac:dyDescent="0.25">
      <c r="A49" s="9" t="s">
        <v>552</v>
      </c>
      <c r="B49" s="1" t="s">
        <v>140</v>
      </c>
      <c r="C49" s="4">
        <v>15</v>
      </c>
    </row>
    <row r="50" spans="1:3" x14ac:dyDescent="0.25">
      <c r="A50" s="9" t="s">
        <v>553</v>
      </c>
      <c r="B50" s="1" t="s">
        <v>140</v>
      </c>
      <c r="C50" s="4">
        <v>15</v>
      </c>
    </row>
    <row r="51" spans="1:3" x14ac:dyDescent="0.25">
      <c r="A51" s="9" t="s">
        <v>394</v>
      </c>
      <c r="B51" s="3" t="s">
        <v>140</v>
      </c>
      <c r="C51" s="4">
        <v>15</v>
      </c>
    </row>
    <row r="52" spans="1:3" x14ac:dyDescent="0.25">
      <c r="A52" s="9" t="s">
        <v>554</v>
      </c>
      <c r="B52" s="1" t="s">
        <v>140</v>
      </c>
      <c r="C52" s="4">
        <v>15</v>
      </c>
    </row>
    <row r="53" spans="1:3" x14ac:dyDescent="0.25">
      <c r="A53" s="9" t="s">
        <v>555</v>
      </c>
      <c r="B53" s="20" t="s">
        <v>140</v>
      </c>
      <c r="C53" s="4">
        <v>15</v>
      </c>
    </row>
    <row r="54" spans="1:3" x14ac:dyDescent="0.25">
      <c r="A54" s="9" t="s">
        <v>556</v>
      </c>
      <c r="B54" s="3" t="s">
        <v>140</v>
      </c>
      <c r="C54" s="4">
        <v>15</v>
      </c>
    </row>
    <row r="55" spans="1:3" x14ac:dyDescent="0.25">
      <c r="A55" s="9" t="s">
        <v>557</v>
      </c>
      <c r="B55" s="3" t="s">
        <v>140</v>
      </c>
      <c r="C55" s="4">
        <v>15</v>
      </c>
    </row>
    <row r="56" spans="1:3" x14ac:dyDescent="0.25">
      <c r="A56" s="9" t="s">
        <v>558</v>
      </c>
      <c r="B56" s="3" t="s">
        <v>140</v>
      </c>
      <c r="C56" s="4">
        <v>15</v>
      </c>
    </row>
    <row r="57" spans="1:3" x14ac:dyDescent="0.25">
      <c r="A57" s="9" t="s">
        <v>559</v>
      </c>
      <c r="B57" s="3" t="s">
        <v>140</v>
      </c>
      <c r="C57" s="4">
        <v>15</v>
      </c>
    </row>
    <row r="58" spans="1:3" x14ac:dyDescent="0.25">
      <c r="A58" s="25" t="s">
        <v>560</v>
      </c>
      <c r="B58" s="19" t="s">
        <v>141</v>
      </c>
      <c r="C58" s="16">
        <v>14</v>
      </c>
    </row>
    <row r="59" spans="1:3" x14ac:dyDescent="0.25">
      <c r="A59" s="25" t="s">
        <v>493</v>
      </c>
      <c r="B59" s="19" t="s">
        <v>141</v>
      </c>
      <c r="C59" s="16">
        <v>14</v>
      </c>
    </row>
    <row r="60" spans="1:3" x14ac:dyDescent="0.25">
      <c r="A60" s="25" t="s">
        <v>561</v>
      </c>
      <c r="B60" s="19" t="s">
        <v>141</v>
      </c>
      <c r="C60" s="16">
        <v>14</v>
      </c>
    </row>
    <row r="61" spans="1:3" x14ac:dyDescent="0.25">
      <c r="A61" s="25" t="s">
        <v>562</v>
      </c>
      <c r="B61" s="15" t="s">
        <v>141</v>
      </c>
      <c r="C61" s="16">
        <v>14</v>
      </c>
    </row>
    <row r="62" spans="1:3" x14ac:dyDescent="0.25">
      <c r="A62" s="25" t="s">
        <v>563</v>
      </c>
      <c r="B62" s="15" t="s">
        <v>141</v>
      </c>
      <c r="C62" s="16">
        <v>14</v>
      </c>
    </row>
    <row r="63" spans="1:3" x14ac:dyDescent="0.25">
      <c r="A63" s="25" t="s">
        <v>486</v>
      </c>
      <c r="B63" s="15" t="s">
        <v>141</v>
      </c>
      <c r="C63" s="16">
        <v>14</v>
      </c>
    </row>
    <row r="64" spans="1:3" x14ac:dyDescent="0.25">
      <c r="A64" s="25" t="s">
        <v>564</v>
      </c>
      <c r="B64" s="15" t="s">
        <v>141</v>
      </c>
      <c r="C64" s="16">
        <v>14</v>
      </c>
    </row>
    <row r="65" spans="1:3" x14ac:dyDescent="0.25">
      <c r="A65" s="25" t="s">
        <v>565</v>
      </c>
      <c r="B65" s="19" t="s">
        <v>141</v>
      </c>
      <c r="C65" s="16">
        <v>14</v>
      </c>
    </row>
    <row r="66" spans="1:3" x14ac:dyDescent="0.25">
      <c r="A66" s="25" t="s">
        <v>566</v>
      </c>
      <c r="B66" s="15" t="s">
        <v>141</v>
      </c>
      <c r="C66" s="16">
        <v>14</v>
      </c>
    </row>
    <row r="67" spans="1:3" x14ac:dyDescent="0.25">
      <c r="A67" s="25" t="s">
        <v>567</v>
      </c>
      <c r="B67" s="15" t="s">
        <v>141</v>
      </c>
      <c r="C67" s="16">
        <v>14</v>
      </c>
    </row>
    <row r="68" spans="1:3" x14ac:dyDescent="0.25">
      <c r="A68" s="9" t="s">
        <v>568</v>
      </c>
      <c r="B68" s="3" t="s">
        <v>142</v>
      </c>
      <c r="C68" s="4">
        <v>13</v>
      </c>
    </row>
    <row r="69" spans="1:3" x14ac:dyDescent="0.25">
      <c r="A69" s="9" t="s">
        <v>569</v>
      </c>
      <c r="B69" s="1" t="s">
        <v>142</v>
      </c>
      <c r="C69" s="4">
        <v>13</v>
      </c>
    </row>
    <row r="70" spans="1:3" x14ac:dyDescent="0.25">
      <c r="A70" s="9" t="s">
        <v>570</v>
      </c>
      <c r="B70" s="1" t="s">
        <v>571</v>
      </c>
      <c r="C70" s="4">
        <v>13</v>
      </c>
    </row>
    <row r="71" spans="1:3" x14ac:dyDescent="0.25">
      <c r="A71" s="9" t="s">
        <v>572</v>
      </c>
      <c r="B71" s="1" t="s">
        <v>142</v>
      </c>
      <c r="C71" s="4">
        <v>13</v>
      </c>
    </row>
    <row r="72" spans="1:3" x14ac:dyDescent="0.25">
      <c r="A72" s="9" t="s">
        <v>573</v>
      </c>
      <c r="B72" s="1" t="s">
        <v>142</v>
      </c>
      <c r="C72" s="4">
        <v>13</v>
      </c>
    </row>
    <row r="73" spans="1:3" x14ac:dyDescent="0.25">
      <c r="A73" s="9" t="s">
        <v>574</v>
      </c>
      <c r="B73" s="1" t="s">
        <v>142</v>
      </c>
      <c r="C73" s="4">
        <v>13</v>
      </c>
    </row>
    <row r="74" spans="1:3" x14ac:dyDescent="0.25">
      <c r="A74" s="9" t="s">
        <v>303</v>
      </c>
      <c r="B74" s="20" t="s">
        <v>142</v>
      </c>
      <c r="C74" s="4">
        <v>13</v>
      </c>
    </row>
    <row r="75" spans="1:3" x14ac:dyDescent="0.25">
      <c r="A75" s="25" t="s">
        <v>575</v>
      </c>
      <c r="B75" s="15" t="s">
        <v>173</v>
      </c>
      <c r="C75" s="16">
        <v>12</v>
      </c>
    </row>
    <row r="76" spans="1:3" x14ac:dyDescent="0.25">
      <c r="A76" s="26" t="s">
        <v>576</v>
      </c>
      <c r="B76" s="15" t="s">
        <v>173</v>
      </c>
      <c r="C76" s="16">
        <v>12</v>
      </c>
    </row>
    <row r="77" spans="1:3" x14ac:dyDescent="0.25">
      <c r="A77" s="25" t="s">
        <v>577</v>
      </c>
      <c r="B77" s="19" t="s">
        <v>175</v>
      </c>
      <c r="C77" s="16">
        <v>11</v>
      </c>
    </row>
    <row r="78" spans="1:3" x14ac:dyDescent="0.25">
      <c r="A78" s="25" t="s">
        <v>578</v>
      </c>
      <c r="B78" s="23" t="s">
        <v>175</v>
      </c>
      <c r="C78" s="16">
        <v>11</v>
      </c>
    </row>
    <row r="79" spans="1:3" x14ac:dyDescent="0.25">
      <c r="A79" s="25" t="s">
        <v>265</v>
      </c>
      <c r="B79" s="19" t="s">
        <v>191</v>
      </c>
      <c r="C79" s="16">
        <v>3</v>
      </c>
    </row>
    <row r="80" spans="1:3" x14ac:dyDescent="0.25">
      <c r="A80" s="25" t="s">
        <v>579</v>
      </c>
      <c r="B80" s="23" t="s">
        <v>194</v>
      </c>
      <c r="C80" s="16">
        <v>1</v>
      </c>
    </row>
    <row r="81" spans="1:3" x14ac:dyDescent="0.25">
      <c r="A81" s="9" t="s">
        <v>580</v>
      </c>
      <c r="B81" s="1"/>
    </row>
    <row r="82" spans="1:3" x14ac:dyDescent="0.25">
      <c r="A82" s="9" t="s">
        <v>295</v>
      </c>
      <c r="B82" s="3"/>
    </row>
    <row r="83" spans="1:3" x14ac:dyDescent="0.25">
      <c r="A83" s="27" t="s">
        <v>308</v>
      </c>
      <c r="B83" s="1"/>
    </row>
    <row r="84" spans="1:3" x14ac:dyDescent="0.25">
      <c r="A84" s="9" t="s">
        <v>581</v>
      </c>
      <c r="B84" s="1"/>
    </row>
    <row r="85" spans="1:3" x14ac:dyDescent="0.25">
      <c r="A85" s="20" t="s">
        <v>582</v>
      </c>
      <c r="B85" s="28" t="s">
        <v>140</v>
      </c>
      <c r="C85" s="21">
        <f>SUM(C9:C80)/72</f>
        <v>14.847222222222221</v>
      </c>
    </row>
    <row r="86" spans="1:3" x14ac:dyDescent="0.25">
      <c r="A86" s="3"/>
    </row>
    <row r="87" spans="1:3" x14ac:dyDescent="0.25">
      <c r="A87" s="1" t="s">
        <v>583</v>
      </c>
    </row>
    <row r="88" spans="1:3" x14ac:dyDescent="0.25">
      <c r="A88" s="1" t="s">
        <v>584</v>
      </c>
    </row>
    <row r="89" spans="1:3" x14ac:dyDescent="0.25">
      <c r="A89" s="1" t="s">
        <v>585</v>
      </c>
    </row>
    <row r="91" spans="1:3" x14ac:dyDescent="0.25">
      <c r="A91" s="1" t="s">
        <v>586</v>
      </c>
    </row>
    <row r="92" spans="1:3" x14ac:dyDescent="0.25">
      <c r="A92" s="2" t="s">
        <v>587</v>
      </c>
    </row>
    <row r="93" spans="1:3" x14ac:dyDescent="0.25">
      <c r="A93" s="2" t="s">
        <v>588</v>
      </c>
    </row>
    <row r="94" spans="1:3" x14ac:dyDescent="0.25">
      <c r="A94" s="2" t="s">
        <v>589</v>
      </c>
    </row>
    <row r="95" spans="1:3" x14ac:dyDescent="0.25">
      <c r="A95" s="2" t="s">
        <v>590</v>
      </c>
    </row>
    <row r="96" spans="1:3" x14ac:dyDescent="0.25">
      <c r="A96" s="2" t="s">
        <v>591</v>
      </c>
    </row>
  </sheetData>
  <phoneticPr fontId="3" type="noConversion"/>
  <pageMargins left="0.75" right="0.75" top="1" bottom="1" header="0.5" footer="0.5"/>
  <pageSetup scale="70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K65"/>
  <sheetViews>
    <sheetView showGridLines="0" zoomScale="80" zoomScaleNormal="80" workbookViewId="0">
      <pane xSplit="4" ySplit="5" topLeftCell="E6" activePane="bottomRight" state="frozen"/>
      <selection activeCell="E6" sqref="E6"/>
      <selection pane="topRight" activeCell="E6" sqref="E6"/>
      <selection pane="bottomLeft" activeCell="E6" sqref="E6"/>
      <selection pane="bottomRight" activeCell="E6" sqref="E6"/>
    </sheetView>
  </sheetViews>
  <sheetFormatPr defaultColWidth="9.109375" defaultRowHeight="13.8" x14ac:dyDescent="0.25"/>
  <cols>
    <col min="1" max="1" width="2.6640625" style="153" customWidth="1"/>
    <col min="2" max="2" width="4.6640625" style="153" customWidth="1"/>
    <col min="3" max="3" width="42.88671875" style="153" customWidth="1"/>
    <col min="4" max="4" width="9.6640625" style="155" customWidth="1"/>
    <col min="5" max="5" width="14" style="155" customWidth="1"/>
    <col min="6" max="16384" width="9.109375" style="153"/>
  </cols>
  <sheetData>
    <row r="1" spans="1:7" ht="18" x14ac:dyDescent="0.25">
      <c r="A1" s="153" t="s">
        <v>592</v>
      </c>
      <c r="C1" s="154"/>
    </row>
    <row r="3" spans="1:7" x14ac:dyDescent="0.25">
      <c r="E3" s="165">
        <v>44561</v>
      </c>
    </row>
    <row r="5" spans="1:7" s="156" customFormat="1" ht="27.6" x14ac:dyDescent="0.25">
      <c r="C5" s="157" t="s">
        <v>212</v>
      </c>
      <c r="D5" s="158" t="s">
        <v>593</v>
      </c>
      <c r="E5" s="159" t="s">
        <v>594</v>
      </c>
    </row>
    <row r="6" spans="1:7" x14ac:dyDescent="0.25">
      <c r="E6" s="160"/>
    </row>
    <row r="7" spans="1:7" s="161" customFormat="1" x14ac:dyDescent="0.25">
      <c r="B7" s="322">
        <v>1</v>
      </c>
      <c r="C7" s="323" t="s">
        <v>217</v>
      </c>
      <c r="D7" s="324" t="s">
        <v>218</v>
      </c>
      <c r="E7" s="325" t="s">
        <v>204</v>
      </c>
      <c r="F7" s="373">
        <v>0.66657342657342666</v>
      </c>
      <c r="G7" s="317"/>
    </row>
    <row r="8" spans="1:7" s="161" customFormat="1" x14ac:dyDescent="0.25">
      <c r="B8" s="322">
        <v>2</v>
      </c>
      <c r="C8" s="323" t="s">
        <v>219</v>
      </c>
      <c r="D8" s="324" t="s">
        <v>220</v>
      </c>
      <c r="E8" s="325" t="s">
        <v>203</v>
      </c>
      <c r="F8" s="373">
        <v>0.88454697353527734</v>
      </c>
      <c r="G8" s="317"/>
    </row>
    <row r="9" spans="1:7" s="161" customFormat="1" x14ac:dyDescent="0.25">
      <c r="B9" s="322">
        <v>3</v>
      </c>
      <c r="C9" s="323" t="s">
        <v>225</v>
      </c>
      <c r="D9" s="324" t="s">
        <v>226</v>
      </c>
      <c r="E9" s="325" t="s">
        <v>203</v>
      </c>
      <c r="F9" s="373">
        <v>1</v>
      </c>
      <c r="G9" s="317"/>
    </row>
    <row r="10" spans="1:7" s="161" customFormat="1" x14ac:dyDescent="0.25">
      <c r="B10" s="322">
        <v>4</v>
      </c>
      <c r="C10" s="323" t="s">
        <v>222</v>
      </c>
      <c r="D10" s="324" t="s">
        <v>223</v>
      </c>
      <c r="E10" s="325" t="s">
        <v>203</v>
      </c>
      <c r="F10" s="373">
        <v>0.93497109002414769</v>
      </c>
      <c r="G10" s="317"/>
    </row>
    <row r="11" spans="1:7" s="161" customFormat="1" x14ac:dyDescent="0.25">
      <c r="B11" s="322">
        <v>5</v>
      </c>
      <c r="C11" s="323" t="s">
        <v>233</v>
      </c>
      <c r="D11" s="324" t="s">
        <v>234</v>
      </c>
      <c r="E11" s="325" t="s">
        <v>204</v>
      </c>
      <c r="F11" s="373">
        <v>0.66135074929121107</v>
      </c>
      <c r="G11" s="317"/>
    </row>
    <row r="12" spans="1:7" s="161" customFormat="1" x14ac:dyDescent="0.25">
      <c r="B12" s="322">
        <v>6</v>
      </c>
      <c r="C12" s="323" t="s">
        <v>238</v>
      </c>
      <c r="D12" s="324" t="s">
        <v>239</v>
      </c>
      <c r="E12" s="325" t="s">
        <v>203</v>
      </c>
      <c r="F12" s="373">
        <v>0.98104392986850819</v>
      </c>
      <c r="G12" s="317"/>
    </row>
    <row r="13" spans="1:7" s="161" customFormat="1" x14ac:dyDescent="0.25">
      <c r="B13" s="322">
        <v>7</v>
      </c>
      <c r="C13" s="323" t="s">
        <v>245</v>
      </c>
      <c r="D13" s="324" t="s">
        <v>246</v>
      </c>
      <c r="E13" s="325" t="s">
        <v>203</v>
      </c>
      <c r="F13" s="373">
        <v>0.99026883354781969</v>
      </c>
      <c r="G13" s="317"/>
    </row>
    <row r="14" spans="1:7" s="161" customFormat="1" x14ac:dyDescent="0.25">
      <c r="B14" s="322">
        <v>8</v>
      </c>
      <c r="C14" s="323" t="s">
        <v>249</v>
      </c>
      <c r="D14" s="324" t="s">
        <v>250</v>
      </c>
      <c r="E14" s="325" t="s">
        <v>203</v>
      </c>
      <c r="F14" s="373">
        <v>0.82565220992206489</v>
      </c>
      <c r="G14" s="317"/>
    </row>
    <row r="15" spans="1:7" s="161" customFormat="1" x14ac:dyDescent="0.25">
      <c r="B15" s="322">
        <v>9</v>
      </c>
      <c r="C15" s="323" t="s">
        <v>256</v>
      </c>
      <c r="D15" s="324" t="s">
        <v>257</v>
      </c>
      <c r="E15" s="325" t="s">
        <v>203</v>
      </c>
      <c r="F15" s="373">
        <v>0.93938023858379993</v>
      </c>
      <c r="G15" s="317"/>
    </row>
    <row r="16" spans="1:7" s="161" customFormat="1" x14ac:dyDescent="0.25">
      <c r="B16" s="322">
        <v>10</v>
      </c>
      <c r="C16" s="323" t="s">
        <v>227</v>
      </c>
      <c r="D16" s="324" t="s">
        <v>228</v>
      </c>
      <c r="E16" s="325" t="s">
        <v>203</v>
      </c>
      <c r="F16" s="373">
        <v>0.84842195322897518</v>
      </c>
      <c r="G16" s="317"/>
    </row>
    <row r="17" spans="2:11" s="161" customFormat="1" x14ac:dyDescent="0.25">
      <c r="B17" s="322">
        <v>11</v>
      </c>
      <c r="C17" s="323" t="s">
        <v>258</v>
      </c>
      <c r="D17" s="324" t="s">
        <v>194</v>
      </c>
      <c r="E17" s="325" t="s">
        <v>203</v>
      </c>
      <c r="F17" s="373">
        <v>0.85550758108243796</v>
      </c>
      <c r="G17" s="317"/>
    </row>
    <row r="18" spans="2:11" s="161" customFormat="1" x14ac:dyDescent="0.25">
      <c r="B18" s="322">
        <v>12</v>
      </c>
      <c r="C18" s="323" t="s">
        <v>261</v>
      </c>
      <c r="D18" s="324" t="s">
        <v>262</v>
      </c>
      <c r="E18" s="325" t="s">
        <v>203</v>
      </c>
      <c r="F18" s="373">
        <v>0.8875601097711423</v>
      </c>
      <c r="G18" s="317"/>
    </row>
    <row r="19" spans="2:11" s="161" customFormat="1" x14ac:dyDescent="0.25">
      <c r="B19" s="322">
        <v>13</v>
      </c>
      <c r="C19" s="323" t="s">
        <v>263</v>
      </c>
      <c r="D19" s="324" t="s">
        <v>264</v>
      </c>
      <c r="E19" s="325" t="s">
        <v>203</v>
      </c>
      <c r="F19" s="373">
        <v>0.93400277552631883</v>
      </c>
      <c r="G19" s="317"/>
    </row>
    <row r="20" spans="2:11" s="161" customFormat="1" x14ac:dyDescent="0.25">
      <c r="B20" s="322">
        <v>14</v>
      </c>
      <c r="C20" s="323" t="s">
        <v>265</v>
      </c>
      <c r="D20" s="324" t="s">
        <v>266</v>
      </c>
      <c r="E20" s="325" t="s">
        <v>203</v>
      </c>
      <c r="F20" s="373">
        <v>1</v>
      </c>
      <c r="G20" s="317"/>
    </row>
    <row r="21" spans="2:11" s="161" customFormat="1" x14ac:dyDescent="0.25">
      <c r="B21" s="322">
        <v>15</v>
      </c>
      <c r="C21" s="323" t="s">
        <v>267</v>
      </c>
      <c r="D21" s="324" t="s">
        <v>268</v>
      </c>
      <c r="E21" s="325" t="s">
        <v>203</v>
      </c>
      <c r="F21" s="373">
        <v>1.0046991264307095</v>
      </c>
      <c r="G21" s="317"/>
    </row>
    <row r="22" spans="2:11" s="161" customFormat="1" x14ac:dyDescent="0.25">
      <c r="B22" s="322">
        <v>16</v>
      </c>
      <c r="C22" s="323" t="s">
        <v>230</v>
      </c>
      <c r="D22" s="324" t="s">
        <v>231</v>
      </c>
      <c r="E22" s="325" t="s">
        <v>203</v>
      </c>
      <c r="F22" s="373">
        <v>1</v>
      </c>
      <c r="G22" s="317"/>
      <c r="J22" s="153"/>
      <c r="K22" s="153"/>
    </row>
    <row r="23" spans="2:11" s="161" customFormat="1" x14ac:dyDescent="0.25">
      <c r="B23" s="322">
        <v>17</v>
      </c>
      <c r="C23" s="323" t="s">
        <v>235</v>
      </c>
      <c r="D23" s="324" t="s">
        <v>236</v>
      </c>
      <c r="E23" s="325" t="s">
        <v>203</v>
      </c>
      <c r="F23" s="373">
        <v>0.92808725544985682</v>
      </c>
      <c r="G23" s="317"/>
    </row>
    <row r="24" spans="2:11" s="161" customFormat="1" x14ac:dyDescent="0.25">
      <c r="B24" s="322">
        <v>18</v>
      </c>
      <c r="C24" s="323" t="s">
        <v>269</v>
      </c>
      <c r="D24" s="324" t="s">
        <v>270</v>
      </c>
      <c r="E24" s="325" t="s">
        <v>204</v>
      </c>
      <c r="F24" s="373">
        <v>0.6567929450504838</v>
      </c>
      <c r="G24" s="317"/>
    </row>
    <row r="25" spans="2:11" s="161" customFormat="1" x14ac:dyDescent="0.25">
      <c r="B25" s="322">
        <v>19</v>
      </c>
      <c r="C25" s="323" t="s">
        <v>275</v>
      </c>
      <c r="D25" s="324" t="s">
        <v>276</v>
      </c>
      <c r="E25" s="325" t="s">
        <v>203</v>
      </c>
      <c r="F25" s="373">
        <v>0.96955890121500266</v>
      </c>
      <c r="G25" s="317"/>
    </row>
    <row r="26" spans="2:11" s="161" customFormat="1" x14ac:dyDescent="0.25">
      <c r="B26" s="322">
        <v>20</v>
      </c>
      <c r="C26" s="323" t="s">
        <v>279</v>
      </c>
      <c r="D26" s="324" t="s">
        <v>280</v>
      </c>
      <c r="E26" s="325" t="s">
        <v>204</v>
      </c>
      <c r="F26" s="373">
        <v>0.41027453262057395</v>
      </c>
      <c r="G26" s="317"/>
    </row>
    <row r="27" spans="2:11" s="161" customFormat="1" x14ac:dyDescent="0.25">
      <c r="B27" s="322">
        <v>21</v>
      </c>
      <c r="C27" s="323" t="s">
        <v>283</v>
      </c>
      <c r="D27" s="324" t="s">
        <v>284</v>
      </c>
      <c r="E27" s="325" t="s">
        <v>203</v>
      </c>
      <c r="F27" s="373">
        <v>0.96953393758975615</v>
      </c>
      <c r="G27" s="317"/>
    </row>
    <row r="28" spans="2:11" s="161" customFormat="1" x14ac:dyDescent="0.25">
      <c r="B28" s="322">
        <v>22</v>
      </c>
      <c r="C28" s="323" t="s">
        <v>271</v>
      </c>
      <c r="D28" s="324" t="s">
        <v>272</v>
      </c>
      <c r="E28" s="325" t="s">
        <v>204</v>
      </c>
      <c r="F28" s="373">
        <v>0.53198457763285412</v>
      </c>
      <c r="G28" s="317"/>
    </row>
    <row r="29" spans="2:11" s="161" customFormat="1" x14ac:dyDescent="0.25">
      <c r="B29" s="322">
        <v>23</v>
      </c>
      <c r="C29" s="323" t="s">
        <v>308</v>
      </c>
      <c r="D29" s="324" t="s">
        <v>461</v>
      </c>
      <c r="E29" s="325" t="s">
        <v>203</v>
      </c>
      <c r="F29" s="373">
        <v>0.87967145409641012</v>
      </c>
      <c r="G29" s="317"/>
    </row>
    <row r="30" spans="2:11" s="161" customFormat="1" x14ac:dyDescent="0.25">
      <c r="B30" s="322">
        <v>24</v>
      </c>
      <c r="C30" s="323" t="s">
        <v>240</v>
      </c>
      <c r="D30" s="324" t="s">
        <v>241</v>
      </c>
      <c r="E30" s="325" t="s">
        <v>204</v>
      </c>
      <c r="F30" s="373">
        <v>0.53512830702850001</v>
      </c>
      <c r="G30" s="317"/>
    </row>
    <row r="31" spans="2:11" s="161" customFormat="1" x14ac:dyDescent="0.25">
      <c r="B31" s="322">
        <v>25</v>
      </c>
      <c r="C31" s="323" t="s">
        <v>273</v>
      </c>
      <c r="D31" s="324" t="s">
        <v>274</v>
      </c>
      <c r="E31" s="325" t="s">
        <v>203</v>
      </c>
      <c r="F31" s="373">
        <v>0.92448120412801316</v>
      </c>
      <c r="G31" s="317"/>
    </row>
    <row r="32" spans="2:11" s="161" customFormat="1" x14ac:dyDescent="0.25">
      <c r="B32" s="322">
        <v>26</v>
      </c>
      <c r="C32" s="323" t="s">
        <v>297</v>
      </c>
      <c r="D32" s="324" t="s">
        <v>298</v>
      </c>
      <c r="E32" s="325" t="s">
        <v>203</v>
      </c>
      <c r="F32" s="373">
        <v>0.99913958424250449</v>
      </c>
      <c r="G32" s="317"/>
    </row>
    <row r="33" spans="2:7" s="161" customFormat="1" x14ac:dyDescent="0.25">
      <c r="B33" s="322">
        <v>27</v>
      </c>
      <c r="C33" s="323" t="s">
        <v>277</v>
      </c>
      <c r="D33" s="324" t="s">
        <v>278</v>
      </c>
      <c r="E33" s="325" t="s">
        <v>203</v>
      </c>
      <c r="F33" s="373">
        <v>0.92714811524305119</v>
      </c>
      <c r="G33" s="317"/>
    </row>
    <row r="34" spans="2:7" s="161" customFormat="1" x14ac:dyDescent="0.25">
      <c r="B34" s="322">
        <v>28</v>
      </c>
      <c r="C34" s="323" t="s">
        <v>299</v>
      </c>
      <c r="D34" s="324" t="s">
        <v>300</v>
      </c>
      <c r="E34" s="325" t="s">
        <v>203</v>
      </c>
      <c r="F34" s="373">
        <v>0.82900796056380965</v>
      </c>
      <c r="G34" s="317"/>
    </row>
    <row r="35" spans="2:7" s="161" customFormat="1" x14ac:dyDescent="0.25">
      <c r="B35" s="322">
        <v>29</v>
      </c>
      <c r="C35" s="323" t="s">
        <v>301</v>
      </c>
      <c r="D35" s="324" t="s">
        <v>302</v>
      </c>
      <c r="E35" s="325" t="s">
        <v>203</v>
      </c>
      <c r="F35" s="373">
        <v>1</v>
      </c>
      <c r="G35" s="317"/>
    </row>
    <row r="36" spans="2:7" s="161" customFormat="1" x14ac:dyDescent="0.25">
      <c r="B36" s="322">
        <v>30</v>
      </c>
      <c r="C36" s="323" t="s">
        <v>281</v>
      </c>
      <c r="D36" s="324" t="s">
        <v>282</v>
      </c>
      <c r="E36" s="325" t="s">
        <v>203</v>
      </c>
      <c r="F36" s="373">
        <v>0.99574762277997275</v>
      </c>
      <c r="G36" s="317"/>
    </row>
    <row r="37" spans="2:7" s="161" customFormat="1" x14ac:dyDescent="0.25">
      <c r="B37" s="322">
        <v>31</v>
      </c>
      <c r="C37" s="323" t="s">
        <v>303</v>
      </c>
      <c r="D37" s="324" t="s">
        <v>304</v>
      </c>
      <c r="E37" s="325" t="s">
        <v>203</v>
      </c>
      <c r="F37" s="373">
        <v>1</v>
      </c>
      <c r="G37" s="317"/>
    </row>
    <row r="38" spans="2:7" s="161" customFormat="1" x14ac:dyDescent="0.25">
      <c r="B38" s="322">
        <v>32</v>
      </c>
      <c r="C38" s="323" t="s">
        <v>285</v>
      </c>
      <c r="D38" s="324" t="s">
        <v>286</v>
      </c>
      <c r="E38" s="325" t="s">
        <v>203</v>
      </c>
      <c r="F38" s="373">
        <v>1</v>
      </c>
      <c r="G38" s="317"/>
    </row>
    <row r="39" spans="2:7" s="161" customFormat="1" x14ac:dyDescent="0.25">
      <c r="B39" s="322">
        <v>33</v>
      </c>
      <c r="C39" s="323" t="s">
        <v>243</v>
      </c>
      <c r="D39" s="324" t="s">
        <v>244</v>
      </c>
      <c r="E39" s="325" t="s">
        <v>203</v>
      </c>
      <c r="F39" s="373">
        <v>0.89383860578514884</v>
      </c>
      <c r="G39" s="317"/>
    </row>
    <row r="40" spans="2:7" s="161" customFormat="1" x14ac:dyDescent="0.25">
      <c r="B40" s="322">
        <v>34</v>
      </c>
      <c r="C40" s="323" t="s">
        <v>289</v>
      </c>
      <c r="D40" s="324" t="s">
        <v>290</v>
      </c>
      <c r="E40" s="325" t="s">
        <v>204</v>
      </c>
      <c r="F40" s="373">
        <v>0.75915835017041167</v>
      </c>
      <c r="G40" s="317"/>
    </row>
    <row r="41" spans="2:7" s="161" customFormat="1" x14ac:dyDescent="0.25">
      <c r="B41" s="322">
        <v>35</v>
      </c>
      <c r="C41" s="323" t="s">
        <v>291</v>
      </c>
      <c r="D41" s="324" t="s">
        <v>292</v>
      </c>
      <c r="E41" s="325" t="s">
        <v>203</v>
      </c>
      <c r="F41" s="373">
        <v>0.81012749856379884</v>
      </c>
      <c r="G41" s="317"/>
    </row>
    <row r="42" spans="2:7" s="161" customFormat="1" x14ac:dyDescent="0.25">
      <c r="B42" s="322">
        <v>36</v>
      </c>
      <c r="C42" s="323" t="s">
        <v>293</v>
      </c>
      <c r="D42" s="324" t="s">
        <v>294</v>
      </c>
      <c r="E42" s="325" t="s">
        <v>203</v>
      </c>
      <c r="F42" s="373">
        <v>0.86226418053225018</v>
      </c>
      <c r="G42" s="317"/>
    </row>
    <row r="43" spans="2:7" s="161" customFormat="1" x14ac:dyDescent="0.25">
      <c r="B43" s="322">
        <v>37</v>
      </c>
      <c r="C43" s="323" t="s">
        <v>295</v>
      </c>
      <c r="D43" s="324" t="s">
        <v>296</v>
      </c>
      <c r="E43" s="325" t="s">
        <v>203</v>
      </c>
      <c r="F43" s="373">
        <v>0.98675582678698948</v>
      </c>
      <c r="G43" s="317"/>
    </row>
    <row r="44" spans="2:7" s="161" customFormat="1" x14ac:dyDescent="0.25">
      <c r="B44" s="322">
        <v>38</v>
      </c>
      <c r="C44" s="323" t="s">
        <v>595</v>
      </c>
      <c r="D44" s="324" t="s">
        <v>248</v>
      </c>
      <c r="E44" s="325" t="s">
        <v>203</v>
      </c>
      <c r="F44" s="373">
        <v>0.94489657206612199</v>
      </c>
      <c r="G44" s="317"/>
    </row>
    <row r="45" spans="2:7" s="161" customFormat="1" x14ac:dyDescent="0.25">
      <c r="B45" s="322">
        <v>39</v>
      </c>
      <c r="C45" s="323" t="s">
        <v>251</v>
      </c>
      <c r="D45" s="324" t="s">
        <v>252</v>
      </c>
      <c r="E45" s="325" t="s">
        <v>203</v>
      </c>
      <c r="F45" s="373">
        <v>0.99300334946036461</v>
      </c>
      <c r="G45" s="317"/>
    </row>
    <row r="46" spans="2:7" s="161" customFormat="1" x14ac:dyDescent="0.25">
      <c r="B46" s="322"/>
      <c r="C46" s="323"/>
      <c r="D46" s="324"/>
      <c r="E46" s="325"/>
      <c r="F46" s="317"/>
    </row>
    <row r="47" spans="2:7" s="161" customFormat="1" x14ac:dyDescent="0.25">
      <c r="B47" s="322"/>
      <c r="C47" s="323"/>
      <c r="D47" s="324"/>
      <c r="E47" s="325"/>
      <c r="F47" s="317"/>
    </row>
    <row r="48" spans="2:7" s="161" customFormat="1" x14ac:dyDescent="0.25">
      <c r="B48" s="322"/>
      <c r="C48" s="323"/>
      <c r="D48" s="324"/>
      <c r="E48" s="325"/>
      <c r="F48" s="317"/>
    </row>
    <row r="49" spans="2:6" s="161" customFormat="1" x14ac:dyDescent="0.25">
      <c r="B49" s="322"/>
      <c r="C49" s="323"/>
      <c r="D49" s="324"/>
      <c r="E49" s="325"/>
      <c r="F49" s="317"/>
    </row>
    <row r="50" spans="2:6" s="161" customFormat="1" x14ac:dyDescent="0.25">
      <c r="B50" s="322"/>
      <c r="C50" s="323"/>
      <c r="D50" s="324"/>
      <c r="E50" s="325"/>
      <c r="F50" s="317"/>
    </row>
    <row r="51" spans="2:6" s="161" customFormat="1" x14ac:dyDescent="0.25">
      <c r="B51" s="322"/>
      <c r="C51" s="323"/>
      <c r="D51" s="324"/>
      <c r="E51" s="325"/>
      <c r="F51" s="317"/>
    </row>
    <row r="52" spans="2:6" s="161" customFormat="1" x14ac:dyDescent="0.25">
      <c r="B52" s="322"/>
      <c r="C52" s="323"/>
      <c r="D52" s="324"/>
      <c r="E52" s="325"/>
      <c r="F52" s="317"/>
    </row>
    <row r="53" spans="2:6" s="161" customFormat="1" x14ac:dyDescent="0.25">
      <c r="B53" s="322">
        <v>1</v>
      </c>
      <c r="C53" s="323" t="s">
        <v>596</v>
      </c>
      <c r="D53" s="324" t="s">
        <v>255</v>
      </c>
      <c r="E53" s="325" t="s">
        <v>203</v>
      </c>
      <c r="F53" s="373">
        <v>0.8148041025878342</v>
      </c>
    </row>
    <row r="54" spans="2:6" s="161" customFormat="1" x14ac:dyDescent="0.25">
      <c r="B54" s="322">
        <v>2</v>
      </c>
      <c r="C54" s="323" t="s">
        <v>597</v>
      </c>
      <c r="D54" s="324" t="s">
        <v>260</v>
      </c>
      <c r="E54" s="325" t="s">
        <v>203</v>
      </c>
      <c r="F54" s="373">
        <v>0.995763882493784</v>
      </c>
    </row>
    <row r="55" spans="2:6" s="161" customFormat="1" x14ac:dyDescent="0.25">
      <c r="B55" s="322">
        <v>3</v>
      </c>
      <c r="C55" s="323" t="s">
        <v>598</v>
      </c>
      <c r="D55" s="324" t="s">
        <v>288</v>
      </c>
      <c r="E55" s="325" t="s">
        <v>203</v>
      </c>
      <c r="F55" s="373">
        <v>1</v>
      </c>
    </row>
    <row r="56" spans="2:6" s="161" customFormat="1" x14ac:dyDescent="0.25">
      <c r="B56" s="322">
        <v>4</v>
      </c>
      <c r="C56" s="323" t="s">
        <v>599</v>
      </c>
      <c r="D56" s="324" t="s">
        <v>216</v>
      </c>
      <c r="E56" s="325" t="s">
        <v>204</v>
      </c>
      <c r="F56" s="373">
        <v>0.65882709271949413</v>
      </c>
    </row>
    <row r="57" spans="2:6" s="161" customFormat="1" x14ac:dyDescent="0.25">
      <c r="B57" s="322">
        <v>5</v>
      </c>
      <c r="C57" s="323" t="s">
        <v>600</v>
      </c>
      <c r="D57" s="324" t="s">
        <v>306</v>
      </c>
      <c r="E57" s="325" t="s">
        <v>203</v>
      </c>
      <c r="F57" s="373">
        <v>0.92488224975896105</v>
      </c>
    </row>
    <row r="58" spans="2:6" s="161" customFormat="1" x14ac:dyDescent="0.25">
      <c r="B58" s="322"/>
      <c r="C58" s="323"/>
      <c r="D58" s="324"/>
      <c r="E58" s="325"/>
      <c r="F58" s="317"/>
    </row>
    <row r="59" spans="2:6" s="161" customFormat="1" x14ac:dyDescent="0.25">
      <c r="B59" s="322"/>
      <c r="C59" s="323"/>
      <c r="D59" s="324"/>
      <c r="E59" s="325"/>
      <c r="F59" s="317"/>
    </row>
    <row r="60" spans="2:6" s="161" customFormat="1" x14ac:dyDescent="0.25">
      <c r="B60" s="322"/>
      <c r="C60" s="323"/>
      <c r="D60" s="324"/>
      <c r="E60" s="325"/>
      <c r="F60" s="317"/>
    </row>
    <row r="61" spans="2:6" s="161" customFormat="1" x14ac:dyDescent="0.25">
      <c r="B61" s="322"/>
      <c r="C61" s="323"/>
      <c r="D61" s="324"/>
      <c r="E61" s="325"/>
      <c r="F61" s="317"/>
    </row>
    <row r="62" spans="2:6" s="161" customFormat="1" x14ac:dyDescent="0.25">
      <c r="B62" s="162"/>
      <c r="D62" s="163"/>
      <c r="E62" s="164"/>
      <c r="F62" s="317"/>
    </row>
    <row r="63" spans="2:6" s="161" customFormat="1" x14ac:dyDescent="0.25">
      <c r="B63" s="162"/>
      <c r="D63" s="163"/>
      <c r="E63" s="164"/>
      <c r="F63" s="317"/>
    </row>
    <row r="64" spans="2:6" s="161" customFormat="1" x14ac:dyDescent="0.25">
      <c r="B64" s="162"/>
      <c r="D64" s="163"/>
      <c r="E64" s="164"/>
      <c r="F64" s="317"/>
    </row>
    <row r="65" spans="2:6" s="161" customFormat="1" x14ac:dyDescent="0.25">
      <c r="B65" s="162"/>
      <c r="D65" s="163"/>
      <c r="E65" s="164"/>
      <c r="F65" s="317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F65"/>
  <sheetViews>
    <sheetView showGridLines="0" zoomScale="80" zoomScaleNormal="80" workbookViewId="0">
      <pane xSplit="4" ySplit="5" topLeftCell="E6" activePane="bottomRight" state="frozen"/>
      <selection activeCell="E6" sqref="E6"/>
      <selection pane="topRight" activeCell="E6" sqref="E6"/>
      <selection pane="bottomLeft" activeCell="E6" sqref="E6"/>
      <selection pane="bottomRight" activeCell="E6" sqref="E6"/>
    </sheetView>
  </sheetViews>
  <sheetFormatPr defaultColWidth="9.109375" defaultRowHeight="13.8" x14ac:dyDescent="0.25"/>
  <cols>
    <col min="1" max="1" width="2.6640625" style="153" customWidth="1"/>
    <col min="2" max="2" width="4.6640625" style="153" customWidth="1"/>
    <col min="3" max="3" width="42.88671875" style="153" customWidth="1"/>
    <col min="4" max="4" width="9.6640625" style="155" customWidth="1"/>
    <col min="5" max="5" width="14" style="155" customWidth="1"/>
    <col min="6" max="16384" width="9.109375" style="153"/>
  </cols>
  <sheetData>
    <row r="1" spans="1:6" ht="18" x14ac:dyDescent="0.25">
      <c r="A1" s="153" t="s">
        <v>592</v>
      </c>
      <c r="C1" s="154"/>
    </row>
    <row r="3" spans="1:6" x14ac:dyDescent="0.25">
      <c r="E3" s="165">
        <v>44196</v>
      </c>
    </row>
    <row r="5" spans="1:6" s="156" customFormat="1" ht="27.6" x14ac:dyDescent="0.25">
      <c r="C5" s="157" t="s">
        <v>212</v>
      </c>
      <c r="D5" s="158" t="s">
        <v>593</v>
      </c>
      <c r="E5" s="159" t="s">
        <v>594</v>
      </c>
    </row>
    <row r="6" spans="1:6" x14ac:dyDescent="0.25">
      <c r="E6" s="160"/>
    </row>
    <row r="7" spans="1:6" s="161" customFormat="1" x14ac:dyDescent="0.25">
      <c r="B7" s="322">
        <v>1</v>
      </c>
      <c r="C7" s="323" t="s">
        <v>217</v>
      </c>
      <c r="D7" s="324" t="s">
        <v>218</v>
      </c>
      <c r="E7" s="325" t="s">
        <v>204</v>
      </c>
      <c r="F7" s="317">
        <v>0.68974131413733031</v>
      </c>
    </row>
    <row r="8" spans="1:6" s="161" customFormat="1" x14ac:dyDescent="0.25">
      <c r="B8" s="322">
        <v>2</v>
      </c>
      <c r="C8" s="323" t="s">
        <v>219</v>
      </c>
      <c r="D8" s="324" t="s">
        <v>220</v>
      </c>
      <c r="E8" s="325" t="s">
        <v>203</v>
      </c>
      <c r="F8" s="317">
        <v>0.89051383399209483</v>
      </c>
    </row>
    <row r="9" spans="1:6" s="161" customFormat="1" x14ac:dyDescent="0.25">
      <c r="B9" s="322">
        <v>3</v>
      </c>
      <c r="C9" s="323" t="s">
        <v>225</v>
      </c>
      <c r="D9" s="324" t="s">
        <v>226</v>
      </c>
      <c r="E9" s="325" t="s">
        <v>203</v>
      </c>
      <c r="F9" s="317">
        <v>1</v>
      </c>
    </row>
    <row r="10" spans="1:6" s="161" customFormat="1" x14ac:dyDescent="0.25">
      <c r="B10" s="322">
        <v>4</v>
      </c>
      <c r="C10" s="323" t="s">
        <v>222</v>
      </c>
      <c r="D10" s="324" t="s">
        <v>223</v>
      </c>
      <c r="E10" s="325" t="s">
        <v>203</v>
      </c>
      <c r="F10" s="317">
        <v>0.93051641215891578</v>
      </c>
    </row>
    <row r="11" spans="1:6" s="161" customFormat="1" x14ac:dyDescent="0.25">
      <c r="B11" s="322">
        <v>5</v>
      </c>
      <c r="C11" s="323" t="s">
        <v>233</v>
      </c>
      <c r="D11" s="324" t="s">
        <v>234</v>
      </c>
      <c r="E11" s="325" t="s">
        <v>204</v>
      </c>
      <c r="F11" s="317">
        <v>0.65018639452185178</v>
      </c>
    </row>
    <row r="12" spans="1:6" s="161" customFormat="1" x14ac:dyDescent="0.25">
      <c r="B12" s="322">
        <v>6</v>
      </c>
      <c r="C12" s="323" t="s">
        <v>238</v>
      </c>
      <c r="D12" s="324" t="s">
        <v>239</v>
      </c>
      <c r="E12" s="325" t="s">
        <v>203</v>
      </c>
      <c r="F12" s="317">
        <v>0.98472594214052056</v>
      </c>
    </row>
    <row r="13" spans="1:6" s="161" customFormat="1" x14ac:dyDescent="0.25">
      <c r="B13" s="322">
        <v>7</v>
      </c>
      <c r="C13" s="323" t="s">
        <v>245</v>
      </c>
      <c r="D13" s="324" t="s">
        <v>246</v>
      </c>
      <c r="E13" s="325" t="s">
        <v>203</v>
      </c>
      <c r="F13" s="317">
        <v>0.92685503115053358</v>
      </c>
    </row>
    <row r="14" spans="1:6" s="161" customFormat="1" x14ac:dyDescent="0.25">
      <c r="B14" s="322">
        <v>8</v>
      </c>
      <c r="C14" s="323" t="s">
        <v>249</v>
      </c>
      <c r="D14" s="324" t="s">
        <v>250</v>
      </c>
      <c r="E14" s="325" t="s">
        <v>203</v>
      </c>
      <c r="F14" s="317">
        <v>0.82685116874630427</v>
      </c>
    </row>
    <row r="15" spans="1:6" s="161" customFormat="1" x14ac:dyDescent="0.25">
      <c r="B15" s="322">
        <v>9</v>
      </c>
      <c r="C15" s="323" t="s">
        <v>256</v>
      </c>
      <c r="D15" s="324" t="s">
        <v>257</v>
      </c>
      <c r="E15" s="325" t="s">
        <v>203</v>
      </c>
      <c r="F15" s="317">
        <v>0.85141239128969193</v>
      </c>
    </row>
    <row r="16" spans="1:6" s="161" customFormat="1" x14ac:dyDescent="0.25">
      <c r="B16" s="322">
        <v>10</v>
      </c>
      <c r="C16" s="323" t="s">
        <v>227</v>
      </c>
      <c r="D16" s="324" t="s">
        <v>228</v>
      </c>
      <c r="E16" s="325" t="s">
        <v>203</v>
      </c>
      <c r="F16" s="317">
        <v>0.84181572462039911</v>
      </c>
    </row>
    <row r="17" spans="2:6" s="161" customFormat="1" x14ac:dyDescent="0.25">
      <c r="B17" s="322">
        <v>11</v>
      </c>
      <c r="C17" s="323" t="s">
        <v>258</v>
      </c>
      <c r="D17" s="324" t="s">
        <v>194</v>
      </c>
      <c r="E17" s="325" t="s">
        <v>203</v>
      </c>
      <c r="F17" s="317">
        <v>0.82477451644856892</v>
      </c>
    </row>
    <row r="18" spans="2:6" s="161" customFormat="1" x14ac:dyDescent="0.25">
      <c r="B18" s="322">
        <v>12</v>
      </c>
      <c r="C18" s="323" t="s">
        <v>261</v>
      </c>
      <c r="D18" s="324" t="s">
        <v>262</v>
      </c>
      <c r="E18" s="325" t="s">
        <v>204</v>
      </c>
      <c r="F18" s="317">
        <v>0.72373395463337431</v>
      </c>
    </row>
    <row r="19" spans="2:6" s="161" customFormat="1" x14ac:dyDescent="0.25">
      <c r="B19" s="322">
        <v>13</v>
      </c>
      <c r="C19" s="323" t="s">
        <v>263</v>
      </c>
      <c r="D19" s="324" t="s">
        <v>264</v>
      </c>
      <c r="E19" s="325" t="s">
        <v>203</v>
      </c>
      <c r="F19" s="317">
        <v>0.93370447430791104</v>
      </c>
    </row>
    <row r="20" spans="2:6" s="161" customFormat="1" x14ac:dyDescent="0.25">
      <c r="B20" s="322">
        <v>14</v>
      </c>
      <c r="C20" s="323" t="s">
        <v>265</v>
      </c>
      <c r="D20" s="324" t="s">
        <v>266</v>
      </c>
      <c r="E20" s="325" t="s">
        <v>203</v>
      </c>
      <c r="F20" s="317">
        <v>1</v>
      </c>
    </row>
    <row r="21" spans="2:6" s="161" customFormat="1" x14ac:dyDescent="0.25">
      <c r="B21" s="322">
        <v>15</v>
      </c>
      <c r="C21" s="323" t="s">
        <v>267</v>
      </c>
      <c r="D21" s="324" t="s">
        <v>268</v>
      </c>
      <c r="E21" s="325" t="s">
        <v>203</v>
      </c>
      <c r="F21" s="317">
        <v>0.97001286693233424</v>
      </c>
    </row>
    <row r="22" spans="2:6" s="161" customFormat="1" x14ac:dyDescent="0.25">
      <c r="B22" s="322">
        <v>16</v>
      </c>
      <c r="C22" s="323" t="s">
        <v>230</v>
      </c>
      <c r="D22" s="324" t="s">
        <v>231</v>
      </c>
      <c r="E22" s="325" t="s">
        <v>203</v>
      </c>
      <c r="F22" s="317">
        <v>1</v>
      </c>
    </row>
    <row r="23" spans="2:6" s="161" customFormat="1" x14ac:dyDescent="0.25">
      <c r="B23" s="322">
        <v>17</v>
      </c>
      <c r="C23" s="323" t="s">
        <v>235</v>
      </c>
      <c r="D23" s="324" t="s">
        <v>236</v>
      </c>
      <c r="E23" s="325" t="s">
        <v>203</v>
      </c>
      <c r="F23" s="317">
        <v>0.93552659613213984</v>
      </c>
    </row>
    <row r="24" spans="2:6" s="161" customFormat="1" x14ac:dyDescent="0.25">
      <c r="B24" s="322">
        <v>18</v>
      </c>
      <c r="C24" s="323" t="s">
        <v>269</v>
      </c>
      <c r="D24" s="324" t="s">
        <v>270</v>
      </c>
      <c r="E24" s="325" t="s">
        <v>204</v>
      </c>
      <c r="F24" s="317">
        <v>0.63706241252116891</v>
      </c>
    </row>
    <row r="25" spans="2:6" s="161" customFormat="1" x14ac:dyDescent="0.25">
      <c r="B25" s="322">
        <v>19</v>
      </c>
      <c r="C25" s="323" t="s">
        <v>275</v>
      </c>
      <c r="D25" s="324" t="s">
        <v>276</v>
      </c>
      <c r="E25" s="325" t="s">
        <v>203</v>
      </c>
      <c r="F25" s="317">
        <v>0.97712756387189637</v>
      </c>
    </row>
    <row r="26" spans="2:6" s="161" customFormat="1" x14ac:dyDescent="0.25">
      <c r="B26" s="322">
        <v>20</v>
      </c>
      <c r="C26" s="323" t="s">
        <v>279</v>
      </c>
      <c r="D26" s="324" t="s">
        <v>280</v>
      </c>
      <c r="E26" s="325" t="s">
        <v>204</v>
      </c>
      <c r="F26" s="317">
        <v>0.43037656540682762</v>
      </c>
    </row>
    <row r="27" spans="2:6" s="161" customFormat="1" x14ac:dyDescent="0.25">
      <c r="B27" s="322">
        <v>21</v>
      </c>
      <c r="C27" s="323" t="s">
        <v>283</v>
      </c>
      <c r="D27" s="324" t="s">
        <v>284</v>
      </c>
      <c r="E27" s="325" t="s">
        <v>203</v>
      </c>
      <c r="F27" s="317">
        <v>0.97334355238523151</v>
      </c>
    </row>
    <row r="28" spans="2:6" s="161" customFormat="1" x14ac:dyDescent="0.25">
      <c r="B28" s="322">
        <v>22</v>
      </c>
      <c r="C28" s="323" t="s">
        <v>271</v>
      </c>
      <c r="D28" s="324" t="s">
        <v>272</v>
      </c>
      <c r="E28" s="325" t="s">
        <v>204</v>
      </c>
      <c r="F28" s="317">
        <v>0.54964094543254671</v>
      </c>
    </row>
    <row r="29" spans="2:6" s="161" customFormat="1" x14ac:dyDescent="0.25">
      <c r="B29" s="322">
        <v>23</v>
      </c>
      <c r="C29" s="323" t="s">
        <v>308</v>
      </c>
      <c r="D29" s="324" t="s">
        <v>461</v>
      </c>
      <c r="E29" s="325" t="s">
        <v>203</v>
      </c>
      <c r="F29" s="317">
        <v>0.86104015217972951</v>
      </c>
    </row>
    <row r="30" spans="2:6" s="161" customFormat="1" x14ac:dyDescent="0.25">
      <c r="B30" s="322">
        <v>24</v>
      </c>
      <c r="C30" s="323" t="s">
        <v>240</v>
      </c>
      <c r="D30" s="324" t="s">
        <v>241</v>
      </c>
      <c r="E30" s="325" t="s">
        <v>204</v>
      </c>
      <c r="F30" s="317">
        <v>0.53518843394630489</v>
      </c>
    </row>
    <row r="31" spans="2:6" s="161" customFormat="1" x14ac:dyDescent="0.25">
      <c r="B31" s="322">
        <v>25</v>
      </c>
      <c r="C31" s="323" t="s">
        <v>273</v>
      </c>
      <c r="D31" s="324" t="s">
        <v>274</v>
      </c>
      <c r="E31" s="325" t="s">
        <v>203</v>
      </c>
      <c r="F31" s="317">
        <v>0.9017989610036069</v>
      </c>
    </row>
    <row r="32" spans="2:6" s="161" customFormat="1" x14ac:dyDescent="0.25">
      <c r="B32" s="322">
        <v>26</v>
      </c>
      <c r="C32" s="323" t="s">
        <v>297</v>
      </c>
      <c r="D32" s="324" t="s">
        <v>298</v>
      </c>
      <c r="E32" s="325" t="s">
        <v>203</v>
      </c>
      <c r="F32" s="317">
        <v>0.99818137682920705</v>
      </c>
    </row>
    <row r="33" spans="2:6" s="161" customFormat="1" x14ac:dyDescent="0.25">
      <c r="B33" s="322">
        <v>27</v>
      </c>
      <c r="C33" s="323" t="s">
        <v>277</v>
      </c>
      <c r="D33" s="324" t="s">
        <v>278</v>
      </c>
      <c r="E33" s="325" t="s">
        <v>203</v>
      </c>
      <c r="F33" s="317">
        <v>0.97856103295144981</v>
      </c>
    </row>
    <row r="34" spans="2:6" s="161" customFormat="1" x14ac:dyDescent="0.25">
      <c r="B34" s="322">
        <v>28</v>
      </c>
      <c r="C34" s="323" t="s">
        <v>299</v>
      </c>
      <c r="D34" s="324" t="s">
        <v>300</v>
      </c>
      <c r="E34" s="325" t="s">
        <v>203</v>
      </c>
      <c r="F34" s="317">
        <v>0.86621115641994861</v>
      </c>
    </row>
    <row r="35" spans="2:6" s="161" customFormat="1" x14ac:dyDescent="0.25">
      <c r="B35" s="322">
        <v>29</v>
      </c>
      <c r="C35" s="323" t="s">
        <v>301</v>
      </c>
      <c r="D35" s="324" t="s">
        <v>302</v>
      </c>
      <c r="E35" s="325" t="s">
        <v>203</v>
      </c>
      <c r="F35" s="317">
        <v>1</v>
      </c>
    </row>
    <row r="36" spans="2:6" s="161" customFormat="1" x14ac:dyDescent="0.25">
      <c r="B36" s="322">
        <v>30</v>
      </c>
      <c r="C36" s="323" t="s">
        <v>281</v>
      </c>
      <c r="D36" s="324" t="s">
        <v>282</v>
      </c>
      <c r="E36" s="325" t="s">
        <v>203</v>
      </c>
      <c r="F36" s="317">
        <v>0.99519640471096993</v>
      </c>
    </row>
    <row r="37" spans="2:6" s="161" customFormat="1" x14ac:dyDescent="0.25">
      <c r="B37" s="322">
        <v>31</v>
      </c>
      <c r="C37" s="323" t="s">
        <v>303</v>
      </c>
      <c r="D37" s="324" t="s">
        <v>304</v>
      </c>
      <c r="E37" s="325" t="s">
        <v>203</v>
      </c>
      <c r="F37" s="317">
        <v>1</v>
      </c>
    </row>
    <row r="38" spans="2:6" s="161" customFormat="1" x14ac:dyDescent="0.25">
      <c r="B38" s="322">
        <v>32</v>
      </c>
      <c r="C38" s="323" t="s">
        <v>285</v>
      </c>
      <c r="D38" s="324" t="s">
        <v>286</v>
      </c>
      <c r="E38" s="325" t="s">
        <v>203</v>
      </c>
      <c r="F38" s="317">
        <v>1</v>
      </c>
    </row>
    <row r="39" spans="2:6" s="161" customFormat="1" x14ac:dyDescent="0.25">
      <c r="B39" s="322">
        <v>33</v>
      </c>
      <c r="C39" s="323" t="s">
        <v>243</v>
      </c>
      <c r="D39" s="324" t="s">
        <v>244</v>
      </c>
      <c r="E39" s="325" t="s">
        <v>203</v>
      </c>
      <c r="F39" s="317">
        <v>0.98478676531715026</v>
      </c>
    </row>
    <row r="40" spans="2:6" s="161" customFormat="1" x14ac:dyDescent="0.25">
      <c r="B40" s="322">
        <v>34</v>
      </c>
      <c r="C40" s="323" t="s">
        <v>289</v>
      </c>
      <c r="D40" s="324" t="s">
        <v>290</v>
      </c>
      <c r="E40" s="325" t="s">
        <v>204</v>
      </c>
      <c r="F40" s="317">
        <v>0.71090909090909093</v>
      </c>
    </row>
    <row r="41" spans="2:6" s="161" customFormat="1" x14ac:dyDescent="0.25">
      <c r="B41" s="322">
        <v>35</v>
      </c>
      <c r="C41" s="323" t="s">
        <v>291</v>
      </c>
      <c r="D41" s="324" t="s">
        <v>292</v>
      </c>
      <c r="E41" s="325" t="s">
        <v>203</v>
      </c>
      <c r="F41" s="317">
        <v>0.80767166825480874</v>
      </c>
    </row>
    <row r="42" spans="2:6" s="161" customFormat="1" x14ac:dyDescent="0.25">
      <c r="B42" s="322">
        <v>36</v>
      </c>
      <c r="C42" s="323" t="s">
        <v>293</v>
      </c>
      <c r="D42" s="324" t="s">
        <v>294</v>
      </c>
      <c r="E42" s="325" t="s">
        <v>203</v>
      </c>
      <c r="F42" s="317">
        <v>0.85066091837149715</v>
      </c>
    </row>
    <row r="43" spans="2:6" s="161" customFormat="1" x14ac:dyDescent="0.25">
      <c r="B43" s="322">
        <v>37</v>
      </c>
      <c r="C43" s="323" t="s">
        <v>295</v>
      </c>
      <c r="D43" s="324" t="s">
        <v>296</v>
      </c>
      <c r="E43" s="325" t="s">
        <v>203</v>
      </c>
      <c r="F43" s="317">
        <v>0.9866026118140605</v>
      </c>
    </row>
    <row r="44" spans="2:6" s="161" customFormat="1" x14ac:dyDescent="0.25">
      <c r="B44" s="322">
        <v>38</v>
      </c>
      <c r="C44" s="323" t="s">
        <v>595</v>
      </c>
      <c r="D44" s="324" t="s">
        <v>248</v>
      </c>
      <c r="E44" s="325" t="s">
        <v>203</v>
      </c>
      <c r="F44" s="317">
        <v>0.94987050375255555</v>
      </c>
    </row>
    <row r="45" spans="2:6" s="161" customFormat="1" x14ac:dyDescent="0.25">
      <c r="B45" s="322">
        <v>39</v>
      </c>
      <c r="C45" s="323" t="s">
        <v>251</v>
      </c>
      <c r="D45" s="324" t="s">
        <v>252</v>
      </c>
      <c r="E45" s="325" t="s">
        <v>203</v>
      </c>
      <c r="F45" s="317">
        <v>0.9923670743342875</v>
      </c>
    </row>
    <row r="46" spans="2:6" s="161" customFormat="1" x14ac:dyDescent="0.25">
      <c r="B46" s="322"/>
      <c r="C46" s="323"/>
      <c r="D46" s="324"/>
      <c r="E46" s="325"/>
      <c r="F46" s="317"/>
    </row>
    <row r="47" spans="2:6" s="161" customFormat="1" x14ac:dyDescent="0.25">
      <c r="B47" s="322"/>
      <c r="C47" s="323"/>
      <c r="D47" s="324"/>
      <c r="E47" s="325"/>
      <c r="F47" s="317"/>
    </row>
    <row r="48" spans="2:6" s="161" customFormat="1" x14ac:dyDescent="0.25">
      <c r="B48" s="322"/>
      <c r="C48" s="323"/>
      <c r="D48" s="324"/>
      <c r="E48" s="325"/>
      <c r="F48" s="317"/>
    </row>
    <row r="49" spans="2:6" s="161" customFormat="1" x14ac:dyDescent="0.25">
      <c r="B49" s="322"/>
      <c r="C49" s="323"/>
      <c r="D49" s="324"/>
      <c r="E49" s="325"/>
      <c r="F49" s="317"/>
    </row>
    <row r="50" spans="2:6" s="161" customFormat="1" x14ac:dyDescent="0.25">
      <c r="B50" s="322"/>
      <c r="C50" s="323"/>
      <c r="D50" s="324"/>
      <c r="E50" s="325"/>
      <c r="F50" s="317"/>
    </row>
    <row r="51" spans="2:6" s="161" customFormat="1" x14ac:dyDescent="0.25">
      <c r="B51" s="322"/>
      <c r="C51" s="323"/>
      <c r="D51" s="324"/>
      <c r="E51" s="325"/>
      <c r="F51" s="317"/>
    </row>
    <row r="52" spans="2:6" s="161" customFormat="1" x14ac:dyDescent="0.25">
      <c r="B52" s="322"/>
      <c r="C52" s="323"/>
      <c r="D52" s="324"/>
      <c r="E52" s="325"/>
      <c r="F52" s="317"/>
    </row>
    <row r="53" spans="2:6" s="161" customFormat="1" x14ac:dyDescent="0.25">
      <c r="B53" s="322">
        <v>1</v>
      </c>
      <c r="C53" s="323" t="s">
        <v>596</v>
      </c>
      <c r="D53" s="324" t="s">
        <v>255</v>
      </c>
      <c r="E53" s="325" t="s">
        <v>203</v>
      </c>
      <c r="F53" s="317">
        <v>0.79816601745944316</v>
      </c>
    </row>
    <row r="54" spans="2:6" s="161" customFormat="1" x14ac:dyDescent="0.25">
      <c r="B54" s="322">
        <v>2</v>
      </c>
      <c r="C54" s="323" t="s">
        <v>597</v>
      </c>
      <c r="D54" s="324" t="s">
        <v>260</v>
      </c>
      <c r="E54" s="325" t="s">
        <v>203</v>
      </c>
      <c r="F54" s="317">
        <v>0.97282777146399424</v>
      </c>
    </row>
    <row r="55" spans="2:6" s="161" customFormat="1" x14ac:dyDescent="0.25">
      <c r="B55" s="322">
        <v>3</v>
      </c>
      <c r="C55" s="323" t="s">
        <v>598</v>
      </c>
      <c r="D55" s="324" t="s">
        <v>288</v>
      </c>
      <c r="E55" s="325" t="s">
        <v>203</v>
      </c>
      <c r="F55" s="317">
        <v>1</v>
      </c>
    </row>
    <row r="56" spans="2:6" s="161" customFormat="1" x14ac:dyDescent="0.25">
      <c r="B56" s="322">
        <v>4</v>
      </c>
      <c r="C56" s="323" t="s">
        <v>599</v>
      </c>
      <c r="D56" s="324" t="s">
        <v>216</v>
      </c>
      <c r="E56" s="325" t="s">
        <v>204</v>
      </c>
      <c r="F56" s="317">
        <v>0.77897272391080552</v>
      </c>
    </row>
    <row r="57" spans="2:6" s="161" customFormat="1" x14ac:dyDescent="0.25">
      <c r="B57" s="322">
        <v>5</v>
      </c>
      <c r="C57" s="323" t="s">
        <v>600</v>
      </c>
      <c r="D57" s="324" t="s">
        <v>306</v>
      </c>
      <c r="E57" s="325" t="s">
        <v>203</v>
      </c>
      <c r="F57" s="317">
        <v>0.92067396198278173</v>
      </c>
    </row>
    <row r="58" spans="2:6" s="161" customFormat="1" x14ac:dyDescent="0.25">
      <c r="B58" s="322"/>
      <c r="C58" s="323"/>
      <c r="D58" s="324"/>
      <c r="E58" s="325"/>
      <c r="F58" s="317"/>
    </row>
    <row r="59" spans="2:6" s="161" customFormat="1" x14ac:dyDescent="0.25">
      <c r="B59" s="322"/>
      <c r="C59" s="323"/>
      <c r="D59" s="324"/>
      <c r="E59" s="325"/>
      <c r="F59" s="317"/>
    </row>
    <row r="60" spans="2:6" s="161" customFormat="1" x14ac:dyDescent="0.25">
      <c r="B60" s="322"/>
      <c r="C60" s="323"/>
      <c r="D60" s="324"/>
      <c r="E60" s="325"/>
      <c r="F60" s="317"/>
    </row>
    <row r="61" spans="2:6" s="161" customFormat="1" x14ac:dyDescent="0.25">
      <c r="B61" s="322"/>
      <c r="C61" s="323"/>
      <c r="D61" s="324"/>
      <c r="E61" s="325"/>
      <c r="F61" s="317"/>
    </row>
    <row r="62" spans="2:6" s="161" customFormat="1" x14ac:dyDescent="0.25">
      <c r="B62" s="162"/>
      <c r="D62" s="163"/>
      <c r="E62" s="164"/>
      <c r="F62" s="317"/>
    </row>
    <row r="63" spans="2:6" s="161" customFormat="1" x14ac:dyDescent="0.25">
      <c r="B63" s="162"/>
      <c r="D63" s="163"/>
      <c r="E63" s="164"/>
      <c r="F63" s="317"/>
    </row>
    <row r="64" spans="2:6" s="161" customFormat="1" x14ac:dyDescent="0.25">
      <c r="B64" s="162"/>
      <c r="D64" s="163"/>
      <c r="E64" s="164"/>
      <c r="F64" s="317"/>
    </row>
    <row r="65" spans="2:6" s="161" customFormat="1" x14ac:dyDescent="0.25">
      <c r="B65" s="162"/>
      <c r="D65" s="163"/>
      <c r="E65" s="164"/>
      <c r="F65" s="317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F65"/>
  <sheetViews>
    <sheetView showGridLines="0" zoomScale="80" zoomScaleNormal="80" workbookViewId="0">
      <pane xSplit="4" ySplit="5" topLeftCell="E6" activePane="bottomRight" state="frozen"/>
      <selection activeCell="E6" sqref="E6"/>
      <selection pane="topRight" activeCell="E6" sqref="E6"/>
      <selection pane="bottomLeft" activeCell="E6" sqref="E6"/>
      <selection pane="bottomRight" activeCell="E6" sqref="E6"/>
    </sheetView>
  </sheetViews>
  <sheetFormatPr defaultColWidth="9.109375" defaultRowHeight="13.8" x14ac:dyDescent="0.25"/>
  <cols>
    <col min="1" max="1" width="2.6640625" style="153" customWidth="1"/>
    <col min="2" max="2" width="4.6640625" style="153" customWidth="1"/>
    <col min="3" max="3" width="42.88671875" style="153" customWidth="1"/>
    <col min="4" max="4" width="9.6640625" style="155" customWidth="1"/>
    <col min="5" max="5" width="14" style="155" customWidth="1"/>
    <col min="6" max="16384" width="9.109375" style="153"/>
  </cols>
  <sheetData>
    <row r="1" spans="1:6" ht="18" x14ac:dyDescent="0.25">
      <c r="A1" s="153" t="s">
        <v>592</v>
      </c>
      <c r="C1" s="154"/>
    </row>
    <row r="3" spans="1:6" x14ac:dyDescent="0.25">
      <c r="E3" s="165">
        <v>43830</v>
      </c>
    </row>
    <row r="5" spans="1:6" s="156" customFormat="1" ht="27.6" x14ac:dyDescent="0.25">
      <c r="C5" s="157" t="s">
        <v>212</v>
      </c>
      <c r="D5" s="158" t="s">
        <v>593</v>
      </c>
      <c r="E5" s="159" t="s">
        <v>594</v>
      </c>
    </row>
    <row r="6" spans="1:6" x14ac:dyDescent="0.25">
      <c r="E6" s="160"/>
    </row>
    <row r="7" spans="1:6" s="161" customFormat="1" x14ac:dyDescent="0.25">
      <c r="B7" s="322">
        <v>1</v>
      </c>
      <c r="C7" s="323" t="s">
        <v>217</v>
      </c>
      <c r="D7" s="324" t="s">
        <v>218</v>
      </c>
      <c r="E7" s="325" t="s">
        <v>204</v>
      </c>
      <c r="F7" s="317">
        <v>0.75341066608302332</v>
      </c>
    </row>
    <row r="8" spans="1:6" s="161" customFormat="1" x14ac:dyDescent="0.25">
      <c r="B8" s="322">
        <v>2</v>
      </c>
      <c r="C8" s="323" t="s">
        <v>219</v>
      </c>
      <c r="D8" s="324" t="s">
        <v>220</v>
      </c>
      <c r="E8" s="325" t="s">
        <v>203</v>
      </c>
      <c r="F8" s="317">
        <v>0.89382480973851397</v>
      </c>
    </row>
    <row r="9" spans="1:6" s="161" customFormat="1" x14ac:dyDescent="0.25">
      <c r="B9" s="322">
        <v>3</v>
      </c>
      <c r="C9" s="323" t="s">
        <v>225</v>
      </c>
      <c r="D9" s="324" t="s">
        <v>226</v>
      </c>
      <c r="E9" s="325" t="s">
        <v>203</v>
      </c>
      <c r="F9" s="317">
        <v>1</v>
      </c>
    </row>
    <row r="10" spans="1:6" s="161" customFormat="1" x14ac:dyDescent="0.25">
      <c r="B10" s="322">
        <v>4</v>
      </c>
      <c r="C10" s="323" t="s">
        <v>222</v>
      </c>
      <c r="D10" s="324" t="s">
        <v>223</v>
      </c>
      <c r="E10" s="325" t="s">
        <v>203</v>
      </c>
      <c r="F10" s="317">
        <v>0.93724659813973221</v>
      </c>
    </row>
    <row r="11" spans="1:6" s="161" customFormat="1" x14ac:dyDescent="0.25">
      <c r="B11" s="322">
        <v>5</v>
      </c>
      <c r="C11" s="323" t="s">
        <v>233</v>
      </c>
      <c r="D11" s="324" t="s">
        <v>234</v>
      </c>
      <c r="E11" s="325" t="s">
        <v>204</v>
      </c>
      <c r="F11" s="317">
        <v>0.67555788005578798</v>
      </c>
    </row>
    <row r="12" spans="1:6" s="161" customFormat="1" x14ac:dyDescent="0.25">
      <c r="B12" s="322">
        <v>6</v>
      </c>
      <c r="C12" s="323" t="s">
        <v>238</v>
      </c>
      <c r="D12" s="324" t="s">
        <v>239</v>
      </c>
      <c r="E12" s="325" t="s">
        <v>203</v>
      </c>
      <c r="F12" s="317">
        <v>0.98392179080292563</v>
      </c>
    </row>
    <row r="13" spans="1:6" s="161" customFormat="1" x14ac:dyDescent="0.25">
      <c r="B13" s="322">
        <v>7</v>
      </c>
      <c r="C13" s="323" t="s">
        <v>245</v>
      </c>
      <c r="D13" s="324" t="s">
        <v>246</v>
      </c>
      <c r="E13" s="325" t="s">
        <v>203</v>
      </c>
      <c r="F13" s="317">
        <v>0.91729330470491532</v>
      </c>
    </row>
    <row r="14" spans="1:6" s="161" customFormat="1" x14ac:dyDescent="0.25">
      <c r="B14" s="322">
        <v>8</v>
      </c>
      <c r="C14" s="323" t="s">
        <v>249</v>
      </c>
      <c r="D14" s="324" t="s">
        <v>250</v>
      </c>
      <c r="E14" s="325" t="s">
        <v>203</v>
      </c>
      <c r="F14" s="317">
        <v>0.79954287649200029</v>
      </c>
    </row>
    <row r="15" spans="1:6" s="161" customFormat="1" x14ac:dyDescent="0.25">
      <c r="B15" s="322">
        <v>9</v>
      </c>
      <c r="C15" s="323" t="s">
        <v>256</v>
      </c>
      <c r="D15" s="324" t="s">
        <v>257</v>
      </c>
      <c r="E15" s="325" t="s">
        <v>203</v>
      </c>
      <c r="F15" s="317">
        <v>0.8782650817900659</v>
      </c>
    </row>
    <row r="16" spans="1:6" s="161" customFormat="1" x14ac:dyDescent="0.25">
      <c r="B16" s="322">
        <v>10</v>
      </c>
      <c r="C16" s="323" t="s">
        <v>227</v>
      </c>
      <c r="D16" s="324" t="s">
        <v>228</v>
      </c>
      <c r="E16" s="325" t="s">
        <v>203</v>
      </c>
      <c r="F16" s="317">
        <v>0.83854749565247333</v>
      </c>
    </row>
    <row r="17" spans="2:6" s="161" customFormat="1" x14ac:dyDescent="0.25">
      <c r="B17" s="322">
        <v>11</v>
      </c>
      <c r="C17" s="323" t="s">
        <v>258</v>
      </c>
      <c r="D17" s="324" t="s">
        <v>194</v>
      </c>
      <c r="E17" s="325" t="s">
        <v>203</v>
      </c>
      <c r="F17" s="317">
        <v>0.81665445234489309</v>
      </c>
    </row>
    <row r="18" spans="2:6" s="161" customFormat="1" x14ac:dyDescent="0.25">
      <c r="B18" s="322">
        <v>12</v>
      </c>
      <c r="C18" s="323" t="s">
        <v>261</v>
      </c>
      <c r="D18" s="324" t="s">
        <v>262</v>
      </c>
      <c r="E18" s="325" t="s">
        <v>204</v>
      </c>
      <c r="F18" s="317">
        <v>0.76827050264550267</v>
      </c>
    </row>
    <row r="19" spans="2:6" s="161" customFormat="1" x14ac:dyDescent="0.25">
      <c r="B19" s="322">
        <v>13</v>
      </c>
      <c r="C19" s="323" t="s">
        <v>263</v>
      </c>
      <c r="D19" s="324" t="s">
        <v>264</v>
      </c>
      <c r="E19" s="325" t="s">
        <v>203</v>
      </c>
      <c r="F19" s="317">
        <v>0.93715188550416539</v>
      </c>
    </row>
    <row r="20" spans="2:6" s="161" customFormat="1" x14ac:dyDescent="0.25">
      <c r="B20" s="322">
        <v>14</v>
      </c>
      <c r="C20" s="323" t="s">
        <v>265</v>
      </c>
      <c r="D20" s="324" t="s">
        <v>266</v>
      </c>
      <c r="E20" s="325" t="s">
        <v>203</v>
      </c>
      <c r="F20" s="317">
        <v>1</v>
      </c>
    </row>
    <row r="21" spans="2:6" s="161" customFormat="1" x14ac:dyDescent="0.25">
      <c r="B21" s="322">
        <v>15</v>
      </c>
      <c r="C21" s="323" t="s">
        <v>328</v>
      </c>
      <c r="D21" s="324" t="s">
        <v>331</v>
      </c>
      <c r="E21" s="325" t="s">
        <v>203</v>
      </c>
      <c r="F21" s="317">
        <v>1</v>
      </c>
    </row>
    <row r="22" spans="2:6" s="161" customFormat="1" x14ac:dyDescent="0.25">
      <c r="B22" s="322">
        <v>16</v>
      </c>
      <c r="C22" s="323" t="s">
        <v>267</v>
      </c>
      <c r="D22" s="324" t="s">
        <v>268</v>
      </c>
      <c r="E22" s="325" t="s">
        <v>203</v>
      </c>
      <c r="F22" s="317">
        <v>0.95811902239722313</v>
      </c>
    </row>
    <row r="23" spans="2:6" s="161" customFormat="1" x14ac:dyDescent="0.25">
      <c r="B23" s="322">
        <v>17</v>
      </c>
      <c r="C23" s="323" t="s">
        <v>230</v>
      </c>
      <c r="D23" s="324" t="s">
        <v>231</v>
      </c>
      <c r="E23" s="325" t="s">
        <v>203</v>
      </c>
      <c r="F23" s="317">
        <v>1</v>
      </c>
    </row>
    <row r="24" spans="2:6" s="161" customFormat="1" x14ac:dyDescent="0.25">
      <c r="B24" s="322">
        <v>18</v>
      </c>
      <c r="C24" s="323" t="s">
        <v>235</v>
      </c>
      <c r="D24" s="324" t="s">
        <v>236</v>
      </c>
      <c r="E24" s="325" t="s">
        <v>203</v>
      </c>
      <c r="F24" s="317">
        <v>0.91896430580600108</v>
      </c>
    </row>
    <row r="25" spans="2:6" s="161" customFormat="1" x14ac:dyDescent="0.25">
      <c r="B25" s="322">
        <v>19</v>
      </c>
      <c r="C25" s="323" t="s">
        <v>269</v>
      </c>
      <c r="D25" s="324" t="s">
        <v>270</v>
      </c>
      <c r="E25" s="325" t="s">
        <v>204</v>
      </c>
      <c r="F25" s="317">
        <v>0.62081022908215111</v>
      </c>
    </row>
    <row r="26" spans="2:6" s="161" customFormat="1" x14ac:dyDescent="0.25">
      <c r="B26" s="322">
        <v>20</v>
      </c>
      <c r="C26" s="323" t="s">
        <v>275</v>
      </c>
      <c r="D26" s="324" t="s">
        <v>276</v>
      </c>
      <c r="E26" s="325" t="s">
        <v>203</v>
      </c>
      <c r="F26" s="317">
        <v>0.97522517198174985</v>
      </c>
    </row>
    <row r="27" spans="2:6" s="161" customFormat="1" x14ac:dyDescent="0.25">
      <c r="B27" s="322">
        <v>21</v>
      </c>
      <c r="C27" s="323" t="s">
        <v>279</v>
      </c>
      <c r="D27" s="324" t="s">
        <v>280</v>
      </c>
      <c r="E27" s="325" t="s">
        <v>204</v>
      </c>
      <c r="F27" s="317">
        <v>0.4647919488701952</v>
      </c>
    </row>
    <row r="28" spans="2:6" s="161" customFormat="1" x14ac:dyDescent="0.25">
      <c r="B28" s="322">
        <v>22</v>
      </c>
      <c r="C28" s="323" t="s">
        <v>283</v>
      </c>
      <c r="D28" s="324" t="s">
        <v>284</v>
      </c>
      <c r="E28" s="325" t="s">
        <v>203</v>
      </c>
      <c r="F28" s="317">
        <v>0.97785912517931628</v>
      </c>
    </row>
    <row r="29" spans="2:6" s="161" customFormat="1" x14ac:dyDescent="0.25">
      <c r="B29" s="322">
        <v>23</v>
      </c>
      <c r="C29" s="323" t="s">
        <v>271</v>
      </c>
      <c r="D29" s="324" t="s">
        <v>272</v>
      </c>
      <c r="E29" s="325" t="s">
        <v>204</v>
      </c>
      <c r="F29" s="317">
        <v>0.55383656431637451</v>
      </c>
    </row>
    <row r="30" spans="2:6" s="161" customFormat="1" x14ac:dyDescent="0.25">
      <c r="B30" s="322">
        <v>24</v>
      </c>
      <c r="C30" s="323" t="s">
        <v>308</v>
      </c>
      <c r="D30" s="324" t="s">
        <v>461</v>
      </c>
      <c r="E30" s="325" t="s">
        <v>203</v>
      </c>
      <c r="F30" s="317">
        <v>0.85890230123593436</v>
      </c>
    </row>
    <row r="31" spans="2:6" s="161" customFormat="1" x14ac:dyDescent="0.25">
      <c r="B31" s="322">
        <v>25</v>
      </c>
      <c r="C31" s="323" t="s">
        <v>240</v>
      </c>
      <c r="D31" s="324" t="s">
        <v>241</v>
      </c>
      <c r="E31" s="325" t="s">
        <v>204</v>
      </c>
      <c r="F31" s="317">
        <v>0.53566542896228264</v>
      </c>
    </row>
    <row r="32" spans="2:6" s="161" customFormat="1" x14ac:dyDescent="0.25">
      <c r="B32" s="322">
        <v>26</v>
      </c>
      <c r="C32" s="323" t="s">
        <v>273</v>
      </c>
      <c r="D32" s="324" t="s">
        <v>274</v>
      </c>
      <c r="E32" s="325" t="s">
        <v>203</v>
      </c>
      <c r="F32" s="317">
        <v>0.89374575238969445</v>
      </c>
    </row>
    <row r="33" spans="2:6" s="161" customFormat="1" x14ac:dyDescent="0.25">
      <c r="B33" s="322">
        <v>27</v>
      </c>
      <c r="C33" s="323" t="s">
        <v>297</v>
      </c>
      <c r="D33" s="324" t="s">
        <v>298</v>
      </c>
      <c r="E33" s="325" t="s">
        <v>203</v>
      </c>
      <c r="F33" s="317">
        <v>0.99916164337740787</v>
      </c>
    </row>
    <row r="34" spans="2:6" s="161" customFormat="1" x14ac:dyDescent="0.25">
      <c r="B34" s="322">
        <v>28</v>
      </c>
      <c r="C34" s="323" t="s">
        <v>277</v>
      </c>
      <c r="D34" s="324" t="s">
        <v>278</v>
      </c>
      <c r="E34" s="325" t="s">
        <v>203</v>
      </c>
      <c r="F34" s="317">
        <v>0.91403535825403892</v>
      </c>
    </row>
    <row r="35" spans="2:6" s="161" customFormat="1" x14ac:dyDescent="0.25">
      <c r="B35" s="322">
        <v>29</v>
      </c>
      <c r="C35" s="323" t="s">
        <v>299</v>
      </c>
      <c r="D35" s="324" t="s">
        <v>300</v>
      </c>
      <c r="E35" s="325" t="s">
        <v>203</v>
      </c>
      <c r="F35" s="317">
        <v>0.8495466430916675</v>
      </c>
    </row>
    <row r="36" spans="2:6" s="161" customFormat="1" x14ac:dyDescent="0.25">
      <c r="B36" s="322">
        <v>30</v>
      </c>
      <c r="C36" s="323" t="s">
        <v>301</v>
      </c>
      <c r="D36" s="324" t="s">
        <v>302</v>
      </c>
      <c r="E36" s="325" t="s">
        <v>203</v>
      </c>
      <c r="F36" s="317">
        <v>1</v>
      </c>
    </row>
    <row r="37" spans="2:6" s="161" customFormat="1" x14ac:dyDescent="0.25">
      <c r="B37" s="322">
        <v>31</v>
      </c>
      <c r="C37" s="323" t="s">
        <v>281</v>
      </c>
      <c r="D37" s="324" t="s">
        <v>282</v>
      </c>
      <c r="E37" s="325" t="s">
        <v>203</v>
      </c>
      <c r="F37" s="317">
        <v>0.99412724988198942</v>
      </c>
    </row>
    <row r="38" spans="2:6" s="161" customFormat="1" x14ac:dyDescent="0.25">
      <c r="B38" s="322">
        <v>32</v>
      </c>
      <c r="C38" s="323" t="s">
        <v>303</v>
      </c>
      <c r="D38" s="324" t="s">
        <v>304</v>
      </c>
      <c r="E38" s="325" t="s">
        <v>203</v>
      </c>
      <c r="F38" s="317">
        <v>1</v>
      </c>
    </row>
    <row r="39" spans="2:6" s="161" customFormat="1" x14ac:dyDescent="0.25">
      <c r="B39" s="322">
        <v>33</v>
      </c>
      <c r="C39" s="323" t="s">
        <v>285</v>
      </c>
      <c r="D39" s="324" t="s">
        <v>286</v>
      </c>
      <c r="E39" s="325" t="s">
        <v>203</v>
      </c>
      <c r="F39" s="317">
        <v>1</v>
      </c>
    </row>
    <row r="40" spans="2:6" s="161" customFormat="1" x14ac:dyDescent="0.25">
      <c r="B40" s="322">
        <v>34</v>
      </c>
      <c r="C40" s="323" t="s">
        <v>243</v>
      </c>
      <c r="D40" s="324" t="s">
        <v>244</v>
      </c>
      <c r="E40" s="325" t="s">
        <v>203</v>
      </c>
      <c r="F40" s="317">
        <v>0.98811295971978985</v>
      </c>
    </row>
    <row r="41" spans="2:6" s="161" customFormat="1" x14ac:dyDescent="0.25">
      <c r="B41" s="322">
        <v>35</v>
      </c>
      <c r="C41" s="323" t="s">
        <v>289</v>
      </c>
      <c r="D41" s="324" t="s">
        <v>290</v>
      </c>
      <c r="E41" s="325" t="s">
        <v>204</v>
      </c>
      <c r="F41" s="317">
        <v>0.69696207835742718</v>
      </c>
    </row>
    <row r="42" spans="2:6" s="161" customFormat="1" x14ac:dyDescent="0.25">
      <c r="B42" s="322">
        <v>36</v>
      </c>
      <c r="C42" s="323" t="s">
        <v>291</v>
      </c>
      <c r="D42" s="324" t="s">
        <v>292</v>
      </c>
      <c r="E42" s="325" t="s">
        <v>204</v>
      </c>
      <c r="F42" s="317">
        <v>0.75814539639907796</v>
      </c>
    </row>
    <row r="43" spans="2:6" s="161" customFormat="1" x14ac:dyDescent="0.25">
      <c r="B43" s="322">
        <v>37</v>
      </c>
      <c r="C43" s="323" t="s">
        <v>293</v>
      </c>
      <c r="D43" s="324" t="s">
        <v>294</v>
      </c>
      <c r="E43" s="325" t="s">
        <v>203</v>
      </c>
      <c r="F43" s="317">
        <v>0.86562763268744736</v>
      </c>
    </row>
    <row r="44" spans="2:6" s="161" customFormat="1" x14ac:dyDescent="0.25">
      <c r="B44" s="322">
        <v>38</v>
      </c>
      <c r="C44" s="323" t="s">
        <v>295</v>
      </c>
      <c r="D44" s="324" t="s">
        <v>296</v>
      </c>
      <c r="E44" s="325" t="s">
        <v>203</v>
      </c>
      <c r="F44" s="317">
        <v>0.98672308141231391</v>
      </c>
    </row>
    <row r="45" spans="2:6" s="161" customFormat="1" x14ac:dyDescent="0.25">
      <c r="B45" s="322">
        <v>39</v>
      </c>
      <c r="C45" s="323" t="s">
        <v>595</v>
      </c>
      <c r="D45" s="324" t="s">
        <v>248</v>
      </c>
      <c r="E45" s="325" t="s">
        <v>203</v>
      </c>
      <c r="F45" s="317">
        <v>0.96785287166898415</v>
      </c>
    </row>
    <row r="46" spans="2:6" s="161" customFormat="1" x14ac:dyDescent="0.25">
      <c r="B46" s="322">
        <v>40</v>
      </c>
      <c r="C46" s="323" t="s">
        <v>251</v>
      </c>
      <c r="D46" s="324" t="s">
        <v>252</v>
      </c>
      <c r="E46" s="325" t="s">
        <v>203</v>
      </c>
      <c r="F46" s="317">
        <v>0.99254249046132492</v>
      </c>
    </row>
    <row r="47" spans="2:6" s="161" customFormat="1" x14ac:dyDescent="0.25">
      <c r="B47" s="322"/>
      <c r="C47" s="323"/>
      <c r="D47" s="324"/>
      <c r="E47" s="325"/>
      <c r="F47" s="317"/>
    </row>
    <row r="48" spans="2:6" s="161" customFormat="1" x14ac:dyDescent="0.25">
      <c r="B48" s="322"/>
      <c r="C48" s="323"/>
      <c r="D48" s="324"/>
      <c r="E48" s="325"/>
      <c r="F48" s="317"/>
    </row>
    <row r="49" spans="2:6" s="161" customFormat="1" x14ac:dyDescent="0.25">
      <c r="B49" s="322"/>
      <c r="C49" s="323"/>
      <c r="D49" s="324"/>
      <c r="E49" s="325"/>
      <c r="F49" s="317"/>
    </row>
    <row r="50" spans="2:6" s="161" customFormat="1" x14ac:dyDescent="0.25">
      <c r="B50" s="322"/>
      <c r="C50" s="323"/>
      <c r="D50" s="324"/>
      <c r="E50" s="325"/>
      <c r="F50" s="317"/>
    </row>
    <row r="51" spans="2:6" s="161" customFormat="1" x14ac:dyDescent="0.25">
      <c r="B51" s="322"/>
      <c r="C51" s="323"/>
      <c r="D51" s="324"/>
      <c r="E51" s="325"/>
      <c r="F51" s="317"/>
    </row>
    <row r="52" spans="2:6" s="161" customFormat="1" x14ac:dyDescent="0.25">
      <c r="B52" s="322"/>
      <c r="C52" s="323"/>
      <c r="D52" s="324"/>
      <c r="E52" s="325"/>
      <c r="F52" s="317"/>
    </row>
    <row r="53" spans="2:6" s="161" customFormat="1" x14ac:dyDescent="0.25">
      <c r="B53" s="322">
        <v>1</v>
      </c>
      <c r="C53" s="323" t="s">
        <v>596</v>
      </c>
      <c r="D53" s="324" t="s">
        <v>255</v>
      </c>
      <c r="E53" s="325" t="s">
        <v>203</v>
      </c>
      <c r="F53" s="317">
        <v>0.79816601745944316</v>
      </c>
    </row>
    <row r="54" spans="2:6" s="161" customFormat="1" x14ac:dyDescent="0.25">
      <c r="B54" s="322">
        <v>2</v>
      </c>
      <c r="C54" s="323" t="s">
        <v>597</v>
      </c>
      <c r="D54" s="324" t="s">
        <v>260</v>
      </c>
      <c r="E54" s="325" t="s">
        <v>203</v>
      </c>
      <c r="F54" s="317">
        <v>0.97282777146399424</v>
      </c>
    </row>
    <row r="55" spans="2:6" s="161" customFormat="1" x14ac:dyDescent="0.25">
      <c r="B55" s="322">
        <v>3</v>
      </c>
      <c r="C55" s="323" t="s">
        <v>598</v>
      </c>
      <c r="D55" s="324" t="s">
        <v>288</v>
      </c>
      <c r="E55" s="325" t="s">
        <v>203</v>
      </c>
      <c r="F55" s="317">
        <v>1</v>
      </c>
    </row>
    <row r="56" spans="2:6" s="161" customFormat="1" x14ac:dyDescent="0.25">
      <c r="B56" s="322">
        <v>4</v>
      </c>
      <c r="C56" s="323" t="s">
        <v>599</v>
      </c>
      <c r="D56" s="324" t="s">
        <v>216</v>
      </c>
      <c r="E56" s="325" t="s">
        <v>204</v>
      </c>
      <c r="F56" s="317">
        <v>0.77897272391080552</v>
      </c>
    </row>
    <row r="57" spans="2:6" s="161" customFormat="1" x14ac:dyDescent="0.25">
      <c r="B57" s="322">
        <v>5</v>
      </c>
      <c r="C57" s="323" t="s">
        <v>600</v>
      </c>
      <c r="D57" s="324" t="s">
        <v>306</v>
      </c>
      <c r="E57" s="325" t="s">
        <v>203</v>
      </c>
      <c r="F57" s="317">
        <v>0.92067396198278173</v>
      </c>
    </row>
    <row r="58" spans="2:6" s="161" customFormat="1" x14ac:dyDescent="0.25">
      <c r="B58" s="322"/>
      <c r="C58" s="323"/>
      <c r="D58" s="324"/>
      <c r="E58" s="325"/>
      <c r="F58" s="317"/>
    </row>
    <row r="59" spans="2:6" s="161" customFormat="1" x14ac:dyDescent="0.25">
      <c r="B59" s="322"/>
      <c r="C59" s="323"/>
      <c r="D59" s="324"/>
      <c r="E59" s="325"/>
      <c r="F59" s="317"/>
    </row>
    <row r="60" spans="2:6" s="161" customFormat="1" x14ac:dyDescent="0.25">
      <c r="B60" s="322"/>
      <c r="C60" s="323"/>
      <c r="D60" s="324"/>
      <c r="E60" s="325"/>
      <c r="F60" s="317"/>
    </row>
    <row r="61" spans="2:6" s="161" customFormat="1" x14ac:dyDescent="0.25">
      <c r="B61" s="322"/>
      <c r="C61" s="323"/>
      <c r="D61" s="324"/>
      <c r="E61" s="325"/>
      <c r="F61" s="317"/>
    </row>
    <row r="62" spans="2:6" s="161" customFormat="1" x14ac:dyDescent="0.25">
      <c r="B62" s="162"/>
      <c r="D62" s="163"/>
      <c r="E62" s="164"/>
      <c r="F62" s="317"/>
    </row>
    <row r="63" spans="2:6" s="161" customFormat="1" x14ac:dyDescent="0.25">
      <c r="B63" s="162"/>
      <c r="D63" s="163"/>
      <c r="E63" s="164"/>
      <c r="F63" s="317"/>
    </row>
    <row r="64" spans="2:6" s="161" customFormat="1" x14ac:dyDescent="0.25">
      <c r="B64" s="162"/>
      <c r="D64" s="163"/>
      <c r="E64" s="164"/>
      <c r="F64" s="317"/>
    </row>
    <row r="65" spans="2:6" s="161" customFormat="1" x14ac:dyDescent="0.25">
      <c r="B65" s="162"/>
      <c r="D65" s="163"/>
      <c r="E65" s="164"/>
      <c r="F65" s="317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hidden="1" customWidth="1" outlineLevel="1"/>
    <col min="23" max="23" width="2" style="168" hidden="1" customWidth="1" outlineLevel="1"/>
    <col min="24" max="24" width="4.109375" style="168" customWidth="1" collapsed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15.88671875" style="169" hidden="1" customWidth="1" outlineLevel="1" collapsed="1"/>
    <col min="37" max="38" width="15.88671875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collapsed="1"/>
    <col min="63" max="16384" width="9.109375" style="168"/>
  </cols>
  <sheetData>
    <row r="1" spans="1:61" ht="18" x14ac:dyDescent="0.25">
      <c r="A1" s="238" t="str">
        <f ca="1">"I.  S&amp;P Utility Credit Ratings Distribution -- " &amp; B6</f>
        <v>I.  S&amp;P Utility Credit Ratings Distribution -- 2022 Q1</v>
      </c>
      <c r="G1" s="175" t="s">
        <v>195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 x14ac:dyDescent="0.25">
      <c r="A2" s="167"/>
      <c r="E2" s="171" t="str">
        <f ca="1">G2</f>
        <v>Reg_Percent_2021</v>
      </c>
      <c r="G2" s="172" t="s">
        <v>625</v>
      </c>
      <c r="AJ2" s="173" t="str">
        <f ca="1">AJ4 &amp; AJ3</f>
        <v>'Credit_2021Q4'!d:d</v>
      </c>
      <c r="AK2" s="173" t="str">
        <f ca="1">AK4 &amp; AK3</f>
        <v>'Credit_2021Q4'!b1</v>
      </c>
      <c r="AL2" s="173" t="str">
        <f ca="1">AL4 &amp; AL3</f>
        <v>'Credit_2021Q4'!c1</v>
      </c>
      <c r="AQ2" s="169"/>
    </row>
    <row r="3" spans="1:61" ht="18" hidden="1" outlineLevel="1" x14ac:dyDescent="0.25">
      <c r="A3" s="167"/>
      <c r="E3" s="174" t="str">
        <f ca="1">"'" &amp; E2 &amp; "'!"</f>
        <v>'Reg_Percent_2021'!</v>
      </c>
      <c r="G3" s="168" t="str">
        <f ca="1">"'" &amp; G2 &amp; "'!"</f>
        <v>'Reg_Percent_2021'!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205</v>
      </c>
      <c r="AK3" s="149" t="s">
        <v>206</v>
      </c>
      <c r="AL3" s="149" t="s">
        <v>207</v>
      </c>
      <c r="AQ3" s="169"/>
    </row>
    <row r="4" spans="1:61" ht="18" hidden="1" outlineLevel="1" x14ac:dyDescent="0.25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 ca="1">$AQ$5</f>
        <v>'Credit_2021Q4'!</v>
      </c>
      <c r="AK4" s="169" t="str">
        <f t="shared" ref="AK4:AL4" ca="1" si="0">$AQ$5</f>
        <v>'Credit_2021Q4'!</v>
      </c>
      <c r="AL4" s="169" t="str">
        <f t="shared" ca="1" si="0"/>
        <v>'Credit_2021Q4'!</v>
      </c>
      <c r="AQ4" s="169"/>
    </row>
    <row r="5" spans="1:61" ht="13.8" collapsed="1" x14ac:dyDescent="0.25">
      <c r="E5" s="176" t="s">
        <v>209</v>
      </c>
      <c r="G5" s="170" t="s">
        <v>199</v>
      </c>
      <c r="I5" s="230"/>
      <c r="J5" s="389" t="s">
        <v>210</v>
      </c>
      <c r="K5" s="230"/>
      <c r="L5" s="391" t="str">
        <f ca="1">"All Companies" &amp; CHAR( 10 ) &amp; "("&amp; L14 &amp; ")"</f>
        <v>All Companies
(44)</v>
      </c>
      <c r="M5" s="391"/>
      <c r="N5" s="230"/>
      <c r="O5" s="389" t="str">
        <f ca="1">"Regulated" &amp; CHAR( 10 ) &amp; "(" &amp; O14 &amp; ")"</f>
        <v>Regulated
(36)</v>
      </c>
      <c r="P5" s="393"/>
      <c r="Q5" s="230"/>
      <c r="R5" s="389" t="str">
        <f ca="1">"Mostly Regulated" &amp; CHAR( 10 ) &amp; "(" &amp; R14 &amp; ")"</f>
        <v>Mostly Regulated
(8)</v>
      </c>
      <c r="S5" s="393"/>
      <c r="T5" s="230"/>
      <c r="U5" s="389" t="str">
        <f ca="1">"Diversified" &amp; CHAR( 10 ) &amp; "(" &amp; U14 &amp; ")"</f>
        <v>Diversified
(0)</v>
      </c>
      <c r="V5" s="393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618</v>
      </c>
    </row>
    <row r="6" spans="1:61" ht="28.5" customHeight="1" x14ac:dyDescent="0.25">
      <c r="A6" s="219" t="s">
        <v>212</v>
      </c>
      <c r="B6" s="220" t="s">
        <v>619</v>
      </c>
      <c r="C6" s="249" t="s">
        <v>214</v>
      </c>
      <c r="D6" s="221"/>
      <c r="E6" s="222">
        <f ca="1">INDIRECT( E3 &amp; G1 )</f>
        <v>44561</v>
      </c>
      <c r="I6" s="231"/>
      <c r="J6" s="390"/>
      <c r="K6" s="231"/>
      <c r="L6" s="392"/>
      <c r="M6" s="392"/>
      <c r="N6" s="231"/>
      <c r="O6" s="390"/>
      <c r="P6" s="390"/>
      <c r="Q6" s="231"/>
      <c r="R6" s="390" t="s">
        <v>136</v>
      </c>
      <c r="S6" s="390"/>
      <c r="T6" s="231"/>
      <c r="U6" s="390"/>
      <c r="V6" s="390"/>
      <c r="W6" s="231"/>
      <c r="AE6" s="178"/>
      <c r="AJ6" s="179"/>
    </row>
    <row r="7" spans="1:61" ht="13.8" x14ac:dyDescent="0.25">
      <c r="A7" s="223" t="s">
        <v>215</v>
      </c>
      <c r="B7" s="224" t="s">
        <v>166</v>
      </c>
      <c r="C7" s="224">
        <v>21</v>
      </c>
      <c r="D7" s="224" t="s">
        <v>216</v>
      </c>
      <c r="E7" s="225" t="str">
        <f ca="1">IF( LEN( $G7 ) = 0, "", OFFSET( INDIRECT( E$3 &amp; E$4 ), $G7 - 1, 0 ) )</f>
        <v>MR</v>
      </c>
      <c r="F7" s="348"/>
      <c r="G7" s="349">
        <f t="shared" ref="G7:G62" ca="1" si="1">IF( LEN( $D7 ) = 0, "", MATCH( $D7, INDIRECT( G$3 &amp; G$4 ), 0 ) )</f>
        <v>56</v>
      </c>
      <c r="H7" s="350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ca="1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217</v>
      </c>
      <c r="AR7" s="207" t="s">
        <v>141</v>
      </c>
      <c r="AS7" s="207">
        <v>18</v>
      </c>
      <c r="AT7" s="207" t="s">
        <v>218</v>
      </c>
      <c r="AV7" s="168">
        <f t="shared" ref="AV7:AV63" ca="1" si="5">IF( LEN( AS7 ) = 0, 99, RANK( AS7, $AS$7:$AS$62 ) )</f>
        <v>30</v>
      </c>
      <c r="AW7" s="168">
        <f ca="1">COUNTIF( AV7:AV$7, AV7 )</f>
        <v>1</v>
      </c>
      <c r="AX7" s="208">
        <f ca="1">AV7 + AW7 / 10</f>
        <v>30.1</v>
      </c>
      <c r="AY7" s="168">
        <f t="shared" ref="AY7:AY63" ca="1" si="6">RANK( AX7, $AX$7:$AX$63, 1 )</f>
        <v>30</v>
      </c>
      <c r="AZ7" s="169"/>
      <c r="BA7" s="169"/>
      <c r="BC7" s="168">
        <f t="shared" ref="BC7" ca="1" si="7">OFFSET( BC7, -1, 0 ) + 1</f>
        <v>1</v>
      </c>
      <c r="BD7" s="209">
        <f t="shared" ref="BD7:BD63" ca="1" si="8">MATCH( BC7, $AY$7:$AY$63, 0 )</f>
        <v>7</v>
      </c>
      <c r="BF7" s="173" t="str">
        <f ca="1">OFFSET( AQ$6, $BD7, 0 )</f>
        <v>Berkshire Energy Holdings Company</v>
      </c>
      <c r="BG7" s="173" t="str">
        <f ca="1">OFFSET( AR$6, $BD7, 0 )</f>
        <v>A</v>
      </c>
      <c r="BH7" s="173">
        <f ca="1">OFFSET( AS$6, $BD7, 0 )</f>
        <v>21</v>
      </c>
      <c r="BI7" s="173" t="str">
        <f ca="1">OFFSET( AT$6, $BD7, 0 )</f>
        <v>**BRK</v>
      </c>
    </row>
    <row r="8" spans="1:61" ht="13.8" x14ac:dyDescent="0.25">
      <c r="A8" s="223" t="s">
        <v>219</v>
      </c>
      <c r="B8" s="224" t="s">
        <v>139</v>
      </c>
      <c r="C8" s="224">
        <v>20</v>
      </c>
      <c r="D8" s="224" t="s">
        <v>220</v>
      </c>
      <c r="E8" s="225" t="str">
        <f t="shared" ref="E8:E61" ca="1" si="9">IF( LEN( $G8 ) = 0, "", OFFSET( INDIRECT( E$3 &amp; E$4 ), $G8 - 1, 0 ) )</f>
        <v>R</v>
      </c>
      <c r="F8" s="348"/>
      <c r="G8" s="349">
        <f t="shared" ca="1" si="1"/>
        <v>8</v>
      </c>
      <c r="H8" s="350"/>
      <c r="I8" s="233"/>
      <c r="J8" s="213" t="s">
        <v>137</v>
      </c>
      <c r="K8" s="233"/>
      <c r="L8" s="213">
        <f t="shared" ref="L8:L13" ca="1" si="10">COUNTIF($C$7:$C$67,$X8)</f>
        <v>2</v>
      </c>
      <c r="M8" s="214">
        <f t="shared" ref="M8:M13" ca="1" si="11">IF( L8 = 0, "", L8/L$14 )</f>
        <v>4.5454545454545456E-2</v>
      </c>
      <c r="N8" s="233"/>
      <c r="O8" s="213">
        <f t="shared" ref="O8:O13" ca="1" si="12">COUNTIFS( $E$7:$E$66, O$3, $C$7:$C$66, $X8 )</f>
        <v>1</v>
      </c>
      <c r="P8" s="214">
        <f t="shared" ref="P8:P13" ca="1" si="13">IF( O8 = 0, "", O8/O$14 )</f>
        <v>2.7777777777777776E-2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0.125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8">SUM(O8, R8, U8)</f>
        <v>2</v>
      </c>
      <c r="AC8" s="351"/>
      <c r="AE8" s="184"/>
      <c r="AF8" s="169">
        <f t="shared" ca="1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ref="AJ8:AJ67" ca="1" si="20">MATCH( $D8, INDIRECT( AJ$2 ), 0 )</f>
        <v>8</v>
      </c>
      <c r="AK8" s="169" t="str">
        <f t="shared" ref="AK8:AL67" ca="1" si="21">IF( ISNA( $AJ8 ), "", OFFSET( INDIRECT( AK$2 ), $AJ8-1, 0 ) )</f>
        <v>A-</v>
      </c>
      <c r="AL8" s="169">
        <f t="shared" ca="1" si="21"/>
        <v>20</v>
      </c>
      <c r="AM8" s="169" t="str">
        <f t="shared" ca="1" si="4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ca="1" si="5"/>
        <v>2</v>
      </c>
      <c r="AW8" s="168">
        <f ca="1">COUNTIF( AV$7:AV8, AV8 )</f>
        <v>1</v>
      </c>
      <c r="AX8" s="208">
        <f t="shared" ref="AX8:AX63" ca="1" si="22">AV8 + AW8 / 10</f>
        <v>2.1</v>
      </c>
      <c r="AY8" s="168">
        <f t="shared" ca="1" si="6"/>
        <v>2</v>
      </c>
      <c r="AZ8" s="169"/>
      <c r="BA8" s="169"/>
      <c r="BC8" s="168">
        <f ca="1">OFFSET( BC8, -1, 0 ) + 1</f>
        <v>2</v>
      </c>
      <c r="BD8" s="209">
        <f t="shared" ca="1" si="8"/>
        <v>2</v>
      </c>
      <c r="BF8" s="173" t="str">
        <f t="shared" ref="BF8:BI50" ca="1" si="23">OFFSET( AQ$6, $BD8, 0 )</f>
        <v>Alliant Energy Corporation</v>
      </c>
      <c r="BG8" s="173" t="str">
        <f t="shared" ca="1" si="23"/>
        <v>A-</v>
      </c>
      <c r="BH8" s="173">
        <f t="shared" ca="1" si="23"/>
        <v>20</v>
      </c>
      <c r="BI8" s="173" t="str">
        <f t="shared" ca="1" si="23"/>
        <v>LNT</v>
      </c>
    </row>
    <row r="9" spans="1:61" ht="13.8" x14ac:dyDescent="0.25">
      <c r="A9" s="223" t="s">
        <v>222</v>
      </c>
      <c r="B9" s="224" t="s">
        <v>139</v>
      </c>
      <c r="C9" s="224">
        <v>20</v>
      </c>
      <c r="D9" s="224" t="s">
        <v>223</v>
      </c>
      <c r="E9" s="225" t="str">
        <f t="shared" ca="1" si="9"/>
        <v>R</v>
      </c>
      <c r="F9" s="348"/>
      <c r="G9" s="349">
        <f t="shared" ca="1" si="1"/>
        <v>10</v>
      </c>
      <c r="H9" s="350"/>
      <c r="I9" s="234"/>
      <c r="J9" s="215" t="s">
        <v>139</v>
      </c>
      <c r="K9" s="234"/>
      <c r="L9" s="215">
        <f t="shared" ca="1" si="10"/>
        <v>9</v>
      </c>
      <c r="M9" s="216">
        <f t="shared" ca="1" si="11"/>
        <v>0.20454545454545456</v>
      </c>
      <c r="N9" s="234"/>
      <c r="O9" s="215">
        <f t="shared" ca="1" si="12"/>
        <v>8</v>
      </c>
      <c r="P9" s="216">
        <f t="shared" ca="1" si="13"/>
        <v>0.22222222222222221</v>
      </c>
      <c r="Q9" s="234"/>
      <c r="R9" s="215">
        <f t="shared" ca="1" si="14"/>
        <v>1</v>
      </c>
      <c r="S9" s="216">
        <f t="shared" ca="1" si="15"/>
        <v>0.125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8"/>
        <v>9</v>
      </c>
      <c r="AC9" s="351"/>
      <c r="AE9" s="184"/>
      <c r="AF9" s="169">
        <f t="shared" ca="1" si="2"/>
        <v>0</v>
      </c>
      <c r="AG9" s="169" t="str">
        <f t="shared" ca="1" si="3"/>
        <v/>
      </c>
      <c r="AH9" s="169" t="str">
        <f t="shared" ca="1" si="19"/>
        <v/>
      </c>
      <c r="AJ9" s="169">
        <f t="shared" ca="1" si="20"/>
        <v>9</v>
      </c>
      <c r="AK9" s="169" t="str">
        <f t="shared" ca="1" si="21"/>
        <v>A-</v>
      </c>
      <c r="AL9" s="169">
        <f t="shared" ca="1" si="21"/>
        <v>20</v>
      </c>
      <c r="AM9" s="169" t="str">
        <f t="shared" ca="1" si="4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ca="1" si="5"/>
        <v>11</v>
      </c>
      <c r="AW9" s="168">
        <f ca="1">COUNTIF( AV$7:AV9, AV9 )</f>
        <v>1</v>
      </c>
      <c r="AX9" s="208">
        <f t="shared" ca="1" si="22"/>
        <v>11.1</v>
      </c>
      <c r="AY9" s="168">
        <f t="shared" ca="1" si="6"/>
        <v>11</v>
      </c>
      <c r="AZ9" s="169"/>
      <c r="BA9" s="169"/>
      <c r="BC9" s="168">
        <f t="shared" ref="BC9:BC63" ca="1" si="24">OFFSET( BC9, -1, 0 ) + 1</f>
        <v>3</v>
      </c>
      <c r="BD9" s="209">
        <f t="shared" ca="1" si="8"/>
        <v>4</v>
      </c>
      <c r="BF9" s="173" t="str">
        <f t="shared" ca="1" si="23"/>
        <v>American Electric Power Company, Inc.</v>
      </c>
      <c r="BG9" s="173" t="str">
        <f t="shared" ca="1" si="23"/>
        <v>A-</v>
      </c>
      <c r="BH9" s="173">
        <f t="shared" ca="1" si="23"/>
        <v>20</v>
      </c>
      <c r="BI9" s="173" t="str">
        <f t="shared" ca="1" si="23"/>
        <v>AEP</v>
      </c>
    </row>
    <row r="10" spans="1:61" ht="13.8" x14ac:dyDescent="0.25">
      <c r="A10" s="223" t="s">
        <v>227</v>
      </c>
      <c r="B10" s="224" t="s">
        <v>139</v>
      </c>
      <c r="C10" s="224">
        <v>20</v>
      </c>
      <c r="D10" s="224" t="s">
        <v>228</v>
      </c>
      <c r="E10" s="225" t="str">
        <f t="shared" ca="1" si="9"/>
        <v>R</v>
      </c>
      <c r="F10" s="348"/>
      <c r="G10" s="349">
        <f t="shared" ca="1" si="1"/>
        <v>16</v>
      </c>
      <c r="H10" s="350"/>
      <c r="I10" s="234"/>
      <c r="J10" s="215" t="s">
        <v>140</v>
      </c>
      <c r="K10" s="234"/>
      <c r="L10" s="215">
        <f t="shared" ca="1" si="10"/>
        <v>19</v>
      </c>
      <c r="M10" s="216">
        <f t="shared" ca="1" si="11"/>
        <v>0.43181818181818182</v>
      </c>
      <c r="N10" s="234"/>
      <c r="O10" s="215">
        <f t="shared" ca="1" si="12"/>
        <v>15</v>
      </c>
      <c r="P10" s="216">
        <f t="shared" ca="1" si="13"/>
        <v>0.41666666666666669</v>
      </c>
      <c r="Q10" s="234"/>
      <c r="R10" s="215">
        <f t="shared" ca="1" si="14"/>
        <v>4</v>
      </c>
      <c r="S10" s="216">
        <f t="shared" ca="1" si="15"/>
        <v>0.5</v>
      </c>
      <c r="T10" s="234"/>
      <c r="U10" s="215">
        <f t="shared" ca="1" si="16"/>
        <v>0</v>
      </c>
      <c r="V10" s="216" t="str">
        <f t="shared" ca="1" si="17"/>
        <v/>
      </c>
      <c r="W10" s="234"/>
      <c r="X10" s="186" t="s">
        <v>229</v>
      </c>
      <c r="Y10" s="186">
        <v>19</v>
      </c>
      <c r="Z10" s="186">
        <v>1</v>
      </c>
      <c r="AA10" s="185">
        <f t="shared" ca="1" si="18"/>
        <v>19</v>
      </c>
      <c r="AE10" s="184"/>
      <c r="AF10" s="169">
        <f t="shared" ca="1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20"/>
        <v>10</v>
      </c>
      <c r="AK10" s="169" t="str">
        <f t="shared" ca="1" si="21"/>
        <v>A-</v>
      </c>
      <c r="AL10" s="169">
        <f t="shared" ca="1" si="21"/>
        <v>20</v>
      </c>
      <c r="AM10" s="169" t="str">
        <f t="shared" ca="1" si="4"/>
        <v/>
      </c>
      <c r="AQ10" s="207" t="s">
        <v>222</v>
      </c>
      <c r="AR10" s="207" t="s">
        <v>139</v>
      </c>
      <c r="AS10" s="207">
        <v>20</v>
      </c>
      <c r="AT10" s="207" t="s">
        <v>223</v>
      </c>
      <c r="AV10" s="168">
        <f t="shared" ca="1" si="5"/>
        <v>2</v>
      </c>
      <c r="AW10" s="168">
        <f ca="1">COUNTIF( AV$7:AV10, AV10 )</f>
        <v>2</v>
      </c>
      <c r="AX10" s="208">
        <f t="shared" ca="1" si="22"/>
        <v>2.2000000000000002</v>
      </c>
      <c r="AY10" s="168">
        <f t="shared" ca="1" si="6"/>
        <v>3</v>
      </c>
      <c r="AZ10" s="169"/>
      <c r="BA10" s="169"/>
      <c r="BC10" s="168">
        <f t="shared" ca="1" si="24"/>
        <v>4</v>
      </c>
      <c r="BD10" s="209">
        <f t="shared" ca="1" si="8"/>
        <v>12</v>
      </c>
      <c r="BF10" s="173" t="str">
        <f t="shared" ca="1" si="23"/>
        <v>Consolidated Edison, Inc.</v>
      </c>
      <c r="BG10" s="173" t="str">
        <f t="shared" ca="1" si="23"/>
        <v>A-</v>
      </c>
      <c r="BH10" s="173">
        <f t="shared" ca="1" si="23"/>
        <v>20</v>
      </c>
      <c r="BI10" s="173" t="str">
        <f t="shared" ca="1" si="23"/>
        <v>ED</v>
      </c>
    </row>
    <row r="11" spans="1:61" ht="13.8" x14ac:dyDescent="0.25">
      <c r="A11" s="223" t="s">
        <v>230</v>
      </c>
      <c r="B11" s="224" t="s">
        <v>139</v>
      </c>
      <c r="C11" s="224">
        <v>20</v>
      </c>
      <c r="D11" s="224" t="s">
        <v>231</v>
      </c>
      <c r="E11" s="225" t="str">
        <f t="shared" ca="1" si="9"/>
        <v>R</v>
      </c>
      <c r="F11" s="348"/>
      <c r="G11" s="349">
        <f t="shared" ca="1" si="1"/>
        <v>22</v>
      </c>
      <c r="H11" s="350"/>
      <c r="I11" s="234"/>
      <c r="J11" s="215" t="s">
        <v>141</v>
      </c>
      <c r="K11" s="234"/>
      <c r="L11" s="215">
        <f t="shared" ca="1" si="10"/>
        <v>8</v>
      </c>
      <c r="M11" s="216">
        <f t="shared" ca="1" si="11"/>
        <v>0.18181818181818182</v>
      </c>
      <c r="N11" s="234"/>
      <c r="O11" s="215">
        <f t="shared" ca="1" si="12"/>
        <v>7</v>
      </c>
      <c r="P11" s="216">
        <f t="shared" ca="1" si="13"/>
        <v>0.19444444444444445</v>
      </c>
      <c r="Q11" s="234"/>
      <c r="R11" s="215">
        <f t="shared" ca="1" si="14"/>
        <v>1</v>
      </c>
      <c r="S11" s="216">
        <f t="shared" ca="1" si="15"/>
        <v>0.125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8"/>
        <v>8</v>
      </c>
      <c r="AE11" s="184"/>
      <c r="AF11" s="169">
        <f t="shared" ca="1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20"/>
        <v>11</v>
      </c>
      <c r="AK11" s="169" t="str">
        <f t="shared" ca="1" si="21"/>
        <v>A-</v>
      </c>
      <c r="AL11" s="169">
        <f t="shared" ca="1" si="21"/>
        <v>20</v>
      </c>
      <c r="AM11" s="169" t="str">
        <f t="shared" ca="1" si="4"/>
        <v/>
      </c>
      <c r="AQ11" s="207" t="s">
        <v>233</v>
      </c>
      <c r="AR11" s="207" t="s">
        <v>140</v>
      </c>
      <c r="AS11" s="207">
        <v>19</v>
      </c>
      <c r="AT11" s="207" t="s">
        <v>234</v>
      </c>
      <c r="AV11" s="168">
        <f t="shared" ca="1" si="5"/>
        <v>11</v>
      </c>
      <c r="AW11" s="168">
        <f ca="1">COUNTIF( AV$7:AV11, AV11 )</f>
        <v>2</v>
      </c>
      <c r="AX11" s="208">
        <f t="shared" ca="1" si="22"/>
        <v>11.2</v>
      </c>
      <c r="AY11" s="168">
        <f t="shared" ca="1" si="6"/>
        <v>12</v>
      </c>
      <c r="AZ11" s="169"/>
      <c r="BA11" s="169"/>
      <c r="BC11" s="168">
        <f t="shared" ca="1" si="24"/>
        <v>5</v>
      </c>
      <c r="BD11" s="209">
        <f t="shared" ca="1" si="8"/>
        <v>19</v>
      </c>
      <c r="BF11" s="173" t="str">
        <f t="shared" ca="1" si="23"/>
        <v>Evergy, Inc.</v>
      </c>
      <c r="BG11" s="173" t="str">
        <f t="shared" ca="1" si="23"/>
        <v>A-</v>
      </c>
      <c r="BH11" s="173">
        <f t="shared" ca="1" si="23"/>
        <v>20</v>
      </c>
      <c r="BI11" s="173" t="str">
        <f t="shared" ca="1" si="23"/>
        <v>EVRG</v>
      </c>
    </row>
    <row r="12" spans="1:61" ht="13.8" x14ac:dyDescent="0.25">
      <c r="A12" s="223" t="s">
        <v>235</v>
      </c>
      <c r="B12" s="224" t="s">
        <v>139</v>
      </c>
      <c r="C12" s="224">
        <v>20</v>
      </c>
      <c r="D12" s="224" t="s">
        <v>236</v>
      </c>
      <c r="E12" s="225" t="str">
        <f t="shared" ca="1" si="9"/>
        <v>R</v>
      </c>
      <c r="F12" s="348"/>
      <c r="G12" s="349">
        <f t="shared" ca="1" si="1"/>
        <v>23</v>
      </c>
      <c r="H12" s="350"/>
      <c r="I12" s="234"/>
      <c r="J12" s="215" t="s">
        <v>142</v>
      </c>
      <c r="K12" s="234"/>
      <c r="L12" s="215">
        <f t="shared" ca="1" si="10"/>
        <v>4</v>
      </c>
      <c r="M12" s="216">
        <f t="shared" ca="1" si="11"/>
        <v>9.0909090909090912E-2</v>
      </c>
      <c r="N12" s="234"/>
      <c r="O12" s="215">
        <f t="shared" ca="1" si="12"/>
        <v>3</v>
      </c>
      <c r="P12" s="216">
        <f t="shared" ca="1" si="13"/>
        <v>8.3333333333333329E-2</v>
      </c>
      <c r="Q12" s="234"/>
      <c r="R12" s="215">
        <f t="shared" ca="1" si="14"/>
        <v>1</v>
      </c>
      <c r="S12" s="216">
        <f t="shared" ca="1" si="15"/>
        <v>0.125</v>
      </c>
      <c r="T12" s="234"/>
      <c r="U12" s="215">
        <f t="shared" ca="1" si="16"/>
        <v>0</v>
      </c>
      <c r="V12" s="216" t="str">
        <f t="shared" ca="1" si="17"/>
        <v/>
      </c>
      <c r="W12" s="234"/>
      <c r="X12" s="186" t="s">
        <v>237</v>
      </c>
      <c r="Y12" s="186">
        <v>17</v>
      </c>
      <c r="Z12" s="186">
        <v>1</v>
      </c>
      <c r="AA12" s="185">
        <f t="shared" ca="1" si="18"/>
        <v>4</v>
      </c>
      <c r="AE12" s="184"/>
      <c r="AF12" s="169">
        <f t="shared" ca="1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20"/>
        <v>12</v>
      </c>
      <c r="AK12" s="169" t="str">
        <f t="shared" ca="1" si="21"/>
        <v>A-</v>
      </c>
      <c r="AL12" s="169">
        <f t="shared" ca="1" si="21"/>
        <v>20</v>
      </c>
      <c r="AM12" s="169" t="str">
        <f t="shared" ca="1" si="4"/>
        <v/>
      </c>
      <c r="AQ12" s="207" t="s">
        <v>238</v>
      </c>
      <c r="AR12" s="207" t="s">
        <v>141</v>
      </c>
      <c r="AS12" s="207">
        <v>18</v>
      </c>
      <c r="AT12" s="207" t="s">
        <v>239</v>
      </c>
      <c r="AV12" s="168">
        <f t="shared" ca="1" si="5"/>
        <v>30</v>
      </c>
      <c r="AW12" s="168">
        <f ca="1">COUNTIF( AV$7:AV12, AV12 )</f>
        <v>2</v>
      </c>
      <c r="AX12" s="208">
        <f t="shared" ca="1" si="22"/>
        <v>30.2</v>
      </c>
      <c r="AY12" s="168">
        <f t="shared" ca="1" si="6"/>
        <v>31</v>
      </c>
      <c r="AZ12" s="169"/>
      <c r="BA12" s="169"/>
      <c r="BC12" s="168">
        <f t="shared" ca="1" si="24"/>
        <v>6</v>
      </c>
      <c r="BD12" s="209">
        <f t="shared" ca="1" si="8"/>
        <v>20</v>
      </c>
      <c r="BF12" s="173" t="str">
        <f t="shared" ca="1" si="23"/>
        <v>Eversource Energy</v>
      </c>
      <c r="BG12" s="173" t="str">
        <f t="shared" ca="1" si="23"/>
        <v>A-</v>
      </c>
      <c r="BH12" s="173">
        <f t="shared" ca="1" si="23"/>
        <v>20</v>
      </c>
      <c r="BI12" s="173" t="str">
        <f t="shared" ca="1" si="23"/>
        <v>ES</v>
      </c>
    </row>
    <row r="13" spans="1:61" ht="13.8" x14ac:dyDescent="0.25">
      <c r="A13" s="223" t="s">
        <v>240</v>
      </c>
      <c r="B13" s="224" t="s">
        <v>139</v>
      </c>
      <c r="C13" s="224">
        <v>20</v>
      </c>
      <c r="D13" s="224" t="s">
        <v>241</v>
      </c>
      <c r="E13" s="225" t="str">
        <f t="shared" ca="1" si="9"/>
        <v>MR</v>
      </c>
      <c r="F13" s="348"/>
      <c r="G13" s="349">
        <f t="shared" ca="1" si="1"/>
        <v>30</v>
      </c>
      <c r="H13" s="350"/>
      <c r="I13" s="235"/>
      <c r="J13" s="217" t="s">
        <v>143</v>
      </c>
      <c r="K13" s="235"/>
      <c r="L13" s="217">
        <f t="shared" ca="1" si="10"/>
        <v>2</v>
      </c>
      <c r="M13" s="218">
        <f t="shared" ca="1" si="11"/>
        <v>4.5454545454545456E-2</v>
      </c>
      <c r="N13" s="235"/>
      <c r="O13" s="217">
        <f t="shared" ca="1" si="12"/>
        <v>2</v>
      </c>
      <c r="P13" s="218">
        <f t="shared" ca="1" si="13"/>
        <v>5.5555555555555552E-2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0</v>
      </c>
      <c r="V13" s="218" t="str">
        <f t="shared" ca="1" si="17"/>
        <v/>
      </c>
      <c r="W13" s="235"/>
      <c r="X13" s="186" t="s">
        <v>242</v>
      </c>
      <c r="Y13" s="186">
        <v>16</v>
      </c>
      <c r="Z13" s="186">
        <v>1</v>
      </c>
      <c r="AA13" s="188">
        <f t="shared" ca="1" si="18"/>
        <v>2</v>
      </c>
      <c r="AE13" s="184"/>
      <c r="AF13" s="169">
        <f t="shared" ca="1" si="2"/>
        <v>0</v>
      </c>
      <c r="AG13" s="169" t="str">
        <f t="shared" ca="1" si="3"/>
        <v/>
      </c>
      <c r="AH13" s="169" t="str">
        <f t="shared" ca="1" si="19"/>
        <v/>
      </c>
      <c r="AJ13" s="169">
        <f t="shared" ca="1" si="20"/>
        <v>13</v>
      </c>
      <c r="AK13" s="169" t="str">
        <f t="shared" ca="1" si="21"/>
        <v>A-</v>
      </c>
      <c r="AL13" s="169">
        <f t="shared" ca="1" si="21"/>
        <v>20</v>
      </c>
      <c r="AM13" s="169" t="str">
        <f t="shared" ca="1" si="4"/>
        <v/>
      </c>
      <c r="AQ13" s="207" t="s">
        <v>215</v>
      </c>
      <c r="AR13" s="207" t="s">
        <v>166</v>
      </c>
      <c r="AS13" s="207">
        <v>21</v>
      </c>
      <c r="AT13" s="207" t="s">
        <v>216</v>
      </c>
      <c r="AV13" s="168">
        <f t="shared" ca="1" si="5"/>
        <v>1</v>
      </c>
      <c r="AW13" s="168">
        <f ca="1">COUNTIF( AV$7:AV13, AV13 )</f>
        <v>1</v>
      </c>
      <c r="AX13" s="208">
        <f t="shared" ca="1" si="22"/>
        <v>1.1000000000000001</v>
      </c>
      <c r="AY13" s="168">
        <f t="shared" ca="1" si="6"/>
        <v>1</v>
      </c>
      <c r="AZ13" s="169"/>
      <c r="BA13" s="169"/>
      <c r="BC13" s="168">
        <f t="shared" ca="1" si="24"/>
        <v>7</v>
      </c>
      <c r="BD13" s="209">
        <f t="shared" ca="1" si="8"/>
        <v>27</v>
      </c>
      <c r="BF13" s="173" t="str">
        <f t="shared" ca="1" si="23"/>
        <v>NextEra Energy, Inc.</v>
      </c>
      <c r="BG13" s="173" t="str">
        <f t="shared" ca="1" si="23"/>
        <v>A-</v>
      </c>
      <c r="BH13" s="173">
        <f t="shared" ca="1" si="23"/>
        <v>20</v>
      </c>
      <c r="BI13" s="173" t="str">
        <f t="shared" ca="1" si="23"/>
        <v>NEE</v>
      </c>
    </row>
    <row r="14" spans="1:61" ht="13.8" x14ac:dyDescent="0.25">
      <c r="A14" s="223" t="s">
        <v>243</v>
      </c>
      <c r="B14" s="224" t="s">
        <v>139</v>
      </c>
      <c r="C14" s="224">
        <v>20</v>
      </c>
      <c r="D14" s="224" t="s">
        <v>244</v>
      </c>
      <c r="E14" s="225" t="str">
        <f t="shared" ca="1" si="9"/>
        <v>R</v>
      </c>
      <c r="F14" s="348"/>
      <c r="G14" s="349">
        <f t="shared" ca="1" si="1"/>
        <v>39</v>
      </c>
      <c r="H14" s="350"/>
      <c r="I14" s="236"/>
      <c r="J14" s="211" t="s">
        <v>144</v>
      </c>
      <c r="K14" s="236"/>
      <c r="L14" s="211">
        <f ca="1">SUM(L8:L13)</f>
        <v>44</v>
      </c>
      <c r="M14" s="212">
        <f ca="1">L14/L$14</f>
        <v>1</v>
      </c>
      <c r="N14" s="236"/>
      <c r="O14" s="211">
        <f ca="1">SUM(O8:O13)</f>
        <v>36</v>
      </c>
      <c r="P14" s="212">
        <f ca="1">O14/O$14</f>
        <v>1</v>
      </c>
      <c r="Q14" s="236"/>
      <c r="R14" s="211">
        <f ca="1">SUM(R8:R13)</f>
        <v>8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 ca="1">SUMPRODUCT( L8:L13, Y8:Y13 ) / L14</f>
        <v>18.795454545454547</v>
      </c>
      <c r="Z14" s="190"/>
      <c r="AA14" s="347">
        <f ca="1">SUM(AA8:AA13)</f>
        <v>44</v>
      </c>
      <c r="AE14" s="184"/>
      <c r="AF14" s="169">
        <f t="shared" ca="1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20"/>
        <v>14</v>
      </c>
      <c r="AK14" s="169" t="str">
        <f t="shared" ca="1" si="21"/>
        <v>A-</v>
      </c>
      <c r="AL14" s="169">
        <f t="shared" ca="1" si="21"/>
        <v>20</v>
      </c>
      <c r="AM14" s="169" t="str">
        <f t="shared" ca="1" si="4"/>
        <v/>
      </c>
      <c r="AQ14" s="207" t="s">
        <v>245</v>
      </c>
      <c r="AR14" s="207" t="s">
        <v>140</v>
      </c>
      <c r="AS14" s="207">
        <v>19</v>
      </c>
      <c r="AT14" s="207" t="s">
        <v>246</v>
      </c>
      <c r="AV14" s="168">
        <f t="shared" ca="1" si="5"/>
        <v>11</v>
      </c>
      <c r="AW14" s="168">
        <f ca="1">COUNTIF( AV$7:AV14, AV14 )</f>
        <v>3</v>
      </c>
      <c r="AX14" s="208">
        <f t="shared" ca="1" si="22"/>
        <v>11.3</v>
      </c>
      <c r="AY14" s="168">
        <f t="shared" ca="1" si="6"/>
        <v>13</v>
      </c>
      <c r="AZ14" s="169"/>
      <c r="BA14" s="169"/>
      <c r="BC14" s="168">
        <f t="shared" ca="1" si="24"/>
        <v>8</v>
      </c>
      <c r="BD14" s="209">
        <f t="shared" ca="1" si="8"/>
        <v>36</v>
      </c>
      <c r="BF14" s="173" t="str">
        <f t="shared" ca="1" si="23"/>
        <v>PPL Corporation</v>
      </c>
      <c r="BG14" s="173" t="str">
        <f t="shared" ca="1" si="23"/>
        <v>A-</v>
      </c>
      <c r="BH14" s="173">
        <f t="shared" ca="1" si="23"/>
        <v>20</v>
      </c>
      <c r="BI14" s="173" t="str">
        <f t="shared" ca="1" si="23"/>
        <v>PPL</v>
      </c>
    </row>
    <row r="15" spans="1:61" ht="13.8" x14ac:dyDescent="0.25">
      <c r="A15" s="223" t="s">
        <v>247</v>
      </c>
      <c r="B15" s="224" t="s">
        <v>139</v>
      </c>
      <c r="C15" s="224">
        <v>20</v>
      </c>
      <c r="D15" s="224" t="s">
        <v>248</v>
      </c>
      <c r="E15" s="225" t="str">
        <f t="shared" ca="1" si="9"/>
        <v>R</v>
      </c>
      <c r="F15" s="348"/>
      <c r="G15" s="349">
        <f t="shared" ca="1" si="1"/>
        <v>44</v>
      </c>
      <c r="H15" s="350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ca="1" si="2"/>
        <v>0</v>
      </c>
      <c r="AG15" s="169" t="str">
        <f t="shared" ca="1" si="3"/>
        <v/>
      </c>
      <c r="AH15" s="169" t="str">
        <f t="shared" ca="1" si="19"/>
        <v/>
      </c>
      <c r="AJ15" s="169">
        <f t="shared" ca="1" si="20"/>
        <v>15</v>
      </c>
      <c r="AK15" s="169" t="str">
        <f t="shared" ca="1" si="21"/>
        <v>A-</v>
      </c>
      <c r="AL15" s="169">
        <f t="shared" ca="1" si="21"/>
        <v>20</v>
      </c>
      <c r="AM15" s="169" t="str">
        <f t="shared" ca="1" si="4"/>
        <v/>
      </c>
      <c r="AQ15" s="207" t="s">
        <v>249</v>
      </c>
      <c r="AR15" s="207" t="s">
        <v>140</v>
      </c>
      <c r="AS15" s="207">
        <v>19</v>
      </c>
      <c r="AT15" s="207" t="s">
        <v>250</v>
      </c>
      <c r="AV15" s="168">
        <f t="shared" ca="1" si="5"/>
        <v>11</v>
      </c>
      <c r="AW15" s="168">
        <f ca="1">COUNTIF( AV$7:AV15, AV15 )</f>
        <v>4</v>
      </c>
      <c r="AX15" s="208">
        <f t="shared" ca="1" si="22"/>
        <v>11.4</v>
      </c>
      <c r="AY15" s="168">
        <f t="shared" ca="1" si="6"/>
        <v>14</v>
      </c>
      <c r="AZ15" s="169"/>
      <c r="BA15" s="169"/>
      <c r="BC15" s="168">
        <f t="shared" ca="1" si="24"/>
        <v>9</v>
      </c>
      <c r="BD15" s="209">
        <f t="shared" ca="1" si="8"/>
        <v>42</v>
      </c>
      <c r="BF15" s="173" t="str">
        <f t="shared" ca="1" si="23"/>
        <v>Wisconsin Energy Corporation</v>
      </c>
      <c r="BG15" s="173" t="str">
        <f t="shared" ca="1" si="23"/>
        <v>A-</v>
      </c>
      <c r="BH15" s="173">
        <f t="shared" ca="1" si="23"/>
        <v>20</v>
      </c>
      <c r="BI15" s="173" t="str">
        <f t="shared" ca="1" si="23"/>
        <v>WEC</v>
      </c>
    </row>
    <row r="16" spans="1:61" ht="13.8" x14ac:dyDescent="0.25">
      <c r="A16" s="223" t="s">
        <v>251</v>
      </c>
      <c r="B16" s="224" t="s">
        <v>139</v>
      </c>
      <c r="C16" s="224">
        <v>20</v>
      </c>
      <c r="D16" s="224" t="s">
        <v>252</v>
      </c>
      <c r="E16" s="225" t="str">
        <f t="shared" ca="1" si="9"/>
        <v>R</v>
      </c>
      <c r="F16" s="348"/>
      <c r="G16" s="349">
        <f t="shared" ca="1" si="1"/>
        <v>45</v>
      </c>
      <c r="H16" s="350"/>
      <c r="I16" s="232"/>
      <c r="J16" s="210" t="s">
        <v>253</v>
      </c>
      <c r="K16" s="232"/>
      <c r="L16" s="386">
        <f t="array" aca="1" ref="L16" ca="1">SUM( IF( LEN( $C$7:$C$65 ) = 0, 0, $C$7:$C$65 ) ) / SUM( IF( LEN( $C$7:$C$65 ) = 0, 0, 1  ) )</f>
        <v>18.795454545454547</v>
      </c>
      <c r="M16" s="387"/>
      <c r="N16" s="232"/>
      <c r="O16" s="386">
        <f t="array" aca="1" ref="O16" ca="1">SUM( IF( LEN( $C$7:$C$65 ) = 0, 0, IF( $E$7:$E$65 = O3, $C$7:$C$65, 0 ) ) ) / SUM( IF( LEN( $C$7:$C$65 ) = 0, 0, IF( $E$7:$E$65 = O3, 1, 0 ) ) )</f>
        <v>18.75</v>
      </c>
      <c r="P16" s="387"/>
      <c r="Q16" s="232"/>
      <c r="R16" s="386">
        <f t="array" aca="1" ref="R16" ca="1">SUM( IF( LEN( $C$7:$C$65 ) = 0, 0, IF( $E$7:$E$65 = R3, $C$7:$C$65, 0 ) ) ) / SUM( IF( LEN( $C$7:$C$65 ) = 0, 0, IF( $E$7:$E$65 = R3, 1, 0 ) ) )</f>
        <v>19</v>
      </c>
      <c r="S16" s="387"/>
      <c r="T16" s="232"/>
      <c r="U16" s="386" t="e">
        <f t="array" aca="1" ref="U16" ca="1">SUM( IF( LEN( $C$7:$C$65 ) = 0, 0, IF( $E$7:$E$65 = U3, $C$7:$C$65, 0 ) ) ) / SUM( IF( LEN( $C$7:$C$65 ) = 0, 0, IF( $E$7:$E$65 = U3, 1, 0 ) ) )</f>
        <v>#DIV/0!</v>
      </c>
      <c r="V16" s="388"/>
      <c r="W16" s="232"/>
      <c r="AE16" s="184"/>
      <c r="AF16" s="169">
        <f t="shared" ca="1" si="2"/>
        <v>0</v>
      </c>
      <c r="AG16" s="169" t="str">
        <f t="shared" ca="1" si="3"/>
        <v/>
      </c>
      <c r="AH16" s="169" t="str">
        <f t="shared" ca="1" si="19"/>
        <v/>
      </c>
      <c r="AJ16" s="169">
        <f t="shared" ca="1" si="20"/>
        <v>16</v>
      </c>
      <c r="AK16" s="169" t="str">
        <f t="shared" ca="1" si="21"/>
        <v>A-</v>
      </c>
      <c r="AL16" s="169">
        <f t="shared" ca="1" si="21"/>
        <v>20</v>
      </c>
      <c r="AM16" s="169" t="str">
        <f t="shared" ca="1" si="4"/>
        <v/>
      </c>
      <c r="AQ16" s="207" t="s">
        <v>254</v>
      </c>
      <c r="AR16" s="207" t="s">
        <v>142</v>
      </c>
      <c r="AS16" s="207">
        <v>17</v>
      </c>
      <c r="AT16" s="207" t="s">
        <v>255</v>
      </c>
      <c r="AV16" s="168">
        <f t="shared" ca="1" si="5"/>
        <v>38</v>
      </c>
      <c r="AW16" s="168">
        <f ca="1">COUNTIF( AV$7:AV16, AV16 )</f>
        <v>1</v>
      </c>
      <c r="AX16" s="208">
        <f t="shared" ca="1" si="22"/>
        <v>38.1</v>
      </c>
      <c r="AY16" s="168">
        <f t="shared" ca="1" si="6"/>
        <v>38</v>
      </c>
      <c r="AZ16" s="169"/>
      <c r="BA16" s="169"/>
      <c r="BC16" s="168">
        <f t="shared" ca="1" si="24"/>
        <v>10</v>
      </c>
      <c r="BD16" s="209">
        <f t="shared" ca="1" si="8"/>
        <v>43</v>
      </c>
      <c r="BF16" s="173" t="str">
        <f t="shared" ca="1" si="23"/>
        <v>Xcel Energy Inc.</v>
      </c>
      <c r="BG16" s="173" t="str">
        <f t="shared" ca="1" si="23"/>
        <v>A-</v>
      </c>
      <c r="BH16" s="173">
        <f t="shared" ca="1" si="23"/>
        <v>20</v>
      </c>
      <c r="BI16" s="173" t="str">
        <f t="shared" ca="1" si="23"/>
        <v>XEL</v>
      </c>
    </row>
    <row r="17" spans="1:61" ht="13.8" x14ac:dyDescent="0.25">
      <c r="A17" s="223" t="s">
        <v>225</v>
      </c>
      <c r="B17" s="224" t="s">
        <v>140</v>
      </c>
      <c r="C17" s="224">
        <v>19</v>
      </c>
      <c r="D17" s="224" t="s">
        <v>226</v>
      </c>
      <c r="E17" s="225" t="str">
        <f t="shared" ca="1" si="9"/>
        <v>R</v>
      </c>
      <c r="F17" s="348"/>
      <c r="G17" s="349">
        <f t="shared" ca="1" si="1"/>
        <v>9</v>
      </c>
      <c r="H17" s="350"/>
      <c r="I17" s="237"/>
      <c r="K17" s="237"/>
      <c r="N17" s="237"/>
      <c r="O17" s="173"/>
      <c r="Q17" s="237"/>
      <c r="T17" s="237"/>
      <c r="W17" s="237"/>
      <c r="AE17" s="178"/>
      <c r="AF17" s="169">
        <f t="shared" ca="1" si="2"/>
        <v>1</v>
      </c>
      <c r="AG17" s="169" t="str">
        <f t="shared" ca="1" si="3"/>
        <v/>
      </c>
      <c r="AH17" s="169" t="str">
        <f t="shared" ca="1" si="19"/>
        <v/>
      </c>
      <c r="AJ17" s="169">
        <f t="shared" ca="1" si="20"/>
        <v>17</v>
      </c>
      <c r="AK17" s="169" t="str">
        <f t="shared" ca="1" si="21"/>
        <v>BBB+</v>
      </c>
      <c r="AL17" s="169">
        <f t="shared" ca="1" si="21"/>
        <v>19</v>
      </c>
      <c r="AM17" s="169" t="str">
        <f t="shared" ca="1" si="4"/>
        <v/>
      </c>
      <c r="AQ17" s="207" t="s">
        <v>256</v>
      </c>
      <c r="AR17" s="207" t="s">
        <v>140</v>
      </c>
      <c r="AS17" s="207">
        <v>19</v>
      </c>
      <c r="AT17" s="207" t="s">
        <v>257</v>
      </c>
      <c r="AV17" s="168">
        <f t="shared" ca="1" si="5"/>
        <v>11</v>
      </c>
      <c r="AW17" s="168">
        <f ca="1">COUNTIF( AV$7:AV17, AV17 )</f>
        <v>5</v>
      </c>
      <c r="AX17" s="208">
        <f t="shared" ca="1" si="22"/>
        <v>11.5</v>
      </c>
      <c r="AY17" s="168">
        <f t="shared" ca="1" si="6"/>
        <v>15</v>
      </c>
      <c r="AZ17" s="169"/>
      <c r="BA17" s="169"/>
      <c r="BC17" s="168">
        <f t="shared" ca="1" si="24"/>
        <v>11</v>
      </c>
      <c r="BD17" s="209">
        <f t="shared" ca="1" si="8"/>
        <v>3</v>
      </c>
      <c r="BF17" s="173" t="str">
        <f t="shared" ca="1" si="23"/>
        <v>Ameren Corporation</v>
      </c>
      <c r="BG17" s="173" t="str">
        <f t="shared" ca="1" si="23"/>
        <v>BBB+</v>
      </c>
      <c r="BH17" s="173">
        <f t="shared" ca="1" si="23"/>
        <v>19</v>
      </c>
      <c r="BI17" s="173" t="str">
        <f t="shared" ca="1" si="23"/>
        <v>AEE</v>
      </c>
    </row>
    <row r="18" spans="1:61" ht="13.8" x14ac:dyDescent="0.25">
      <c r="A18" s="223" t="s">
        <v>233</v>
      </c>
      <c r="B18" s="224" t="s">
        <v>140</v>
      </c>
      <c r="C18" s="224">
        <v>19</v>
      </c>
      <c r="D18" s="224" t="s">
        <v>234</v>
      </c>
      <c r="E18" s="225" t="str">
        <f t="shared" ca="1" si="9"/>
        <v>MR</v>
      </c>
      <c r="F18" s="348"/>
      <c r="G18" s="349">
        <f t="shared" ca="1" si="1"/>
        <v>11</v>
      </c>
      <c r="H18" s="350"/>
      <c r="I18" s="237"/>
      <c r="K18" s="237"/>
      <c r="N18" s="237"/>
      <c r="O18" s="173"/>
      <c r="Q18" s="237"/>
      <c r="T18" s="237"/>
      <c r="W18" s="237"/>
      <c r="AE18" s="184"/>
      <c r="AF18" s="169">
        <f t="shared" ca="1" si="2"/>
        <v>1</v>
      </c>
      <c r="AG18" s="169" t="str">
        <f t="shared" ca="1" si="3"/>
        <v/>
      </c>
      <c r="AH18" s="169" t="str">
        <f t="shared" ca="1" si="19"/>
        <v/>
      </c>
      <c r="AJ18" s="169">
        <f t="shared" ca="1" si="20"/>
        <v>18</v>
      </c>
      <c r="AK18" s="169" t="str">
        <f t="shared" ca="1" si="21"/>
        <v>BBB+</v>
      </c>
      <c r="AL18" s="169">
        <f t="shared" ca="1" si="21"/>
        <v>19</v>
      </c>
      <c r="AM18" s="169" t="str">
        <f t="shared" ca="1" si="4"/>
        <v/>
      </c>
      <c r="AQ18" s="207" t="s">
        <v>227</v>
      </c>
      <c r="AR18" s="207" t="s">
        <v>139</v>
      </c>
      <c r="AS18" s="207">
        <v>20</v>
      </c>
      <c r="AT18" s="207" t="s">
        <v>228</v>
      </c>
      <c r="AV18" s="168">
        <f t="shared" ca="1" si="5"/>
        <v>2</v>
      </c>
      <c r="AW18" s="168">
        <f ca="1">COUNTIF( AV$7:AV18, AV18 )</f>
        <v>3</v>
      </c>
      <c r="AX18" s="208">
        <f t="shared" ca="1" si="22"/>
        <v>2.2999999999999998</v>
      </c>
      <c r="AY18" s="168">
        <f t="shared" ca="1" si="6"/>
        <v>4</v>
      </c>
      <c r="AZ18" s="169"/>
      <c r="BA18" s="169"/>
      <c r="BC18" s="168">
        <f t="shared" ca="1" si="24"/>
        <v>12</v>
      </c>
      <c r="BD18" s="209">
        <f t="shared" ca="1" si="8"/>
        <v>5</v>
      </c>
      <c r="BF18" s="173" t="str">
        <f t="shared" ca="1" si="23"/>
        <v>AVANGRID, Inc.</v>
      </c>
      <c r="BG18" s="173" t="str">
        <f t="shared" ca="1" si="23"/>
        <v>BBB+</v>
      </c>
      <c r="BH18" s="173">
        <f t="shared" ca="1" si="23"/>
        <v>19</v>
      </c>
      <c r="BI18" s="173" t="str">
        <f t="shared" ca="1" si="23"/>
        <v>AGR</v>
      </c>
    </row>
    <row r="19" spans="1:61" ht="13.8" x14ac:dyDescent="0.25">
      <c r="A19" s="223" t="s">
        <v>245</v>
      </c>
      <c r="B19" s="224" t="s">
        <v>140</v>
      </c>
      <c r="C19" s="224">
        <v>19</v>
      </c>
      <c r="D19" s="224" t="s">
        <v>246</v>
      </c>
      <c r="E19" s="225" t="str">
        <f t="shared" ca="1" si="9"/>
        <v>R</v>
      </c>
      <c r="F19" s="348"/>
      <c r="G19" s="349">
        <f t="shared" ca="1" si="1"/>
        <v>13</v>
      </c>
      <c r="H19" s="350"/>
      <c r="I19" s="237"/>
      <c r="K19" s="237"/>
      <c r="N19" s="237"/>
      <c r="O19" s="173"/>
      <c r="Q19" s="237"/>
      <c r="T19" s="237"/>
      <c r="W19" s="237"/>
      <c r="AE19" s="184"/>
      <c r="AF19" s="169">
        <f t="shared" ca="1" si="2"/>
        <v>1</v>
      </c>
      <c r="AG19" s="169" t="str">
        <f t="shared" ca="1" si="3"/>
        <v/>
      </c>
      <c r="AH19" s="169" t="str">
        <f t="shared" ca="1" si="19"/>
        <v/>
      </c>
      <c r="AJ19" s="169">
        <f t="shared" ca="1" si="20"/>
        <v>19</v>
      </c>
      <c r="AK19" s="169" t="str">
        <f t="shared" ca="1" si="21"/>
        <v>BBB+</v>
      </c>
      <c r="AL19" s="169">
        <f t="shared" ca="1" si="21"/>
        <v>19</v>
      </c>
      <c r="AM19" s="169" t="str">
        <f t="shared" ca="1" si="4"/>
        <v/>
      </c>
      <c r="AQ19" s="207" t="s">
        <v>258</v>
      </c>
      <c r="AR19" s="207" t="s">
        <v>140</v>
      </c>
      <c r="AS19" s="207">
        <v>19</v>
      </c>
      <c r="AT19" s="207" t="s">
        <v>194</v>
      </c>
      <c r="AV19" s="168">
        <f t="shared" ca="1" si="5"/>
        <v>11</v>
      </c>
      <c r="AW19" s="168">
        <f ca="1">COUNTIF( AV$7:AV19, AV19 )</f>
        <v>6</v>
      </c>
      <c r="AX19" s="208">
        <f t="shared" ca="1" si="22"/>
        <v>11.6</v>
      </c>
      <c r="AY19" s="168">
        <f t="shared" ca="1" si="6"/>
        <v>16</v>
      </c>
      <c r="AZ19" s="169"/>
      <c r="BA19" s="169"/>
      <c r="BC19" s="168">
        <f t="shared" ca="1" si="24"/>
        <v>13</v>
      </c>
      <c r="BD19" s="209">
        <f t="shared" ca="1" si="8"/>
        <v>8</v>
      </c>
      <c r="BF19" s="173" t="str">
        <f t="shared" ca="1" si="23"/>
        <v>Black Hills Corporation</v>
      </c>
      <c r="BG19" s="173" t="str">
        <f t="shared" ca="1" si="23"/>
        <v>BBB+</v>
      </c>
      <c r="BH19" s="173">
        <f t="shared" ca="1" si="23"/>
        <v>19</v>
      </c>
      <c r="BI19" s="173" t="str">
        <f t="shared" ca="1" si="23"/>
        <v>BKH</v>
      </c>
    </row>
    <row r="20" spans="1:61" ht="13.8" x14ac:dyDescent="0.25">
      <c r="A20" s="223" t="s">
        <v>249</v>
      </c>
      <c r="B20" s="224" t="s">
        <v>140</v>
      </c>
      <c r="C20" s="224">
        <v>19</v>
      </c>
      <c r="D20" s="224" t="s">
        <v>250</v>
      </c>
      <c r="E20" s="225" t="str">
        <f t="shared" ca="1" si="9"/>
        <v>R</v>
      </c>
      <c r="F20" s="348"/>
      <c r="G20" s="349">
        <f t="shared" ca="1" si="1"/>
        <v>14</v>
      </c>
      <c r="H20" s="350"/>
      <c r="I20" s="352"/>
      <c r="K20" s="352"/>
      <c r="N20" s="352"/>
      <c r="O20" s="173"/>
      <c r="Q20" s="352"/>
      <c r="T20" s="352"/>
      <c r="W20" s="352"/>
      <c r="AE20" s="184"/>
      <c r="AF20" s="169">
        <f t="shared" ca="1" si="2"/>
        <v>1</v>
      </c>
      <c r="AG20" s="169" t="str">
        <f t="shared" ca="1" si="3"/>
        <v/>
      </c>
      <c r="AH20" s="169" t="str">
        <f t="shared" ca="1" si="19"/>
        <v/>
      </c>
      <c r="AJ20" s="169">
        <f t="shared" ca="1" si="20"/>
        <v>20</v>
      </c>
      <c r="AK20" s="169" t="str">
        <f t="shared" ca="1" si="21"/>
        <v>BBB+</v>
      </c>
      <c r="AL20" s="169">
        <f t="shared" ca="1" si="21"/>
        <v>19</v>
      </c>
      <c r="AM20" s="169" t="str">
        <f t="shared" ca="1" si="4"/>
        <v/>
      </c>
      <c r="AQ20" s="207" t="s">
        <v>259</v>
      </c>
      <c r="AR20" s="207" t="s">
        <v>173</v>
      </c>
      <c r="AS20" s="207">
        <v>16</v>
      </c>
      <c r="AT20" s="207" t="s">
        <v>260</v>
      </c>
      <c r="AV20" s="168">
        <f t="shared" ca="1" si="5"/>
        <v>42</v>
      </c>
      <c r="AW20" s="168">
        <f ca="1">COUNTIF( AV$7:AV20, AV20 )</f>
        <v>1</v>
      </c>
      <c r="AX20" s="208">
        <f t="shared" ca="1" si="22"/>
        <v>42.1</v>
      </c>
      <c r="AY20" s="168">
        <f t="shared" ca="1" si="6"/>
        <v>42</v>
      </c>
      <c r="AZ20" s="169"/>
      <c r="BA20" s="169"/>
      <c r="BC20" s="168">
        <f t="shared" ca="1" si="24"/>
        <v>14</v>
      </c>
      <c r="BD20" s="209">
        <f t="shared" ca="1" si="8"/>
        <v>9</v>
      </c>
      <c r="BF20" s="173" t="str">
        <f t="shared" ca="1" si="23"/>
        <v>CenterPoint Energy, Inc.</v>
      </c>
      <c r="BG20" s="173" t="str">
        <f t="shared" ca="1" si="23"/>
        <v>BBB+</v>
      </c>
      <c r="BH20" s="173">
        <f t="shared" ca="1" si="23"/>
        <v>19</v>
      </c>
      <c r="BI20" s="173" t="str">
        <f t="shared" ca="1" si="23"/>
        <v>CNP</v>
      </c>
    </row>
    <row r="21" spans="1:61" ht="13.8" x14ac:dyDescent="0.25">
      <c r="A21" s="223" t="s">
        <v>256</v>
      </c>
      <c r="B21" s="224" t="s">
        <v>140</v>
      </c>
      <c r="C21" s="224">
        <v>19</v>
      </c>
      <c r="D21" s="224" t="s">
        <v>257</v>
      </c>
      <c r="E21" s="225" t="str">
        <f t="shared" ca="1" si="9"/>
        <v>R</v>
      </c>
      <c r="F21" s="348"/>
      <c r="G21" s="349">
        <f t="shared" ca="1" si="1"/>
        <v>15</v>
      </c>
      <c r="H21" s="350"/>
      <c r="I21" s="237"/>
      <c r="K21" s="237"/>
      <c r="N21" s="237"/>
      <c r="Q21" s="237"/>
      <c r="T21" s="237"/>
      <c r="W21" s="237"/>
      <c r="AE21" s="184"/>
      <c r="AF21" s="169">
        <f t="shared" ca="1" si="2"/>
        <v>1</v>
      </c>
      <c r="AG21" s="169" t="str">
        <f t="shared" ca="1" si="3"/>
        <v/>
      </c>
      <c r="AH21" s="169" t="str">
        <f t="shared" ca="1" si="19"/>
        <v/>
      </c>
      <c r="AJ21" s="169">
        <f t="shared" ca="1" si="20"/>
        <v>21</v>
      </c>
      <c r="AK21" s="169" t="str">
        <f t="shared" ca="1" si="21"/>
        <v>BBB+</v>
      </c>
      <c r="AL21" s="169">
        <f t="shared" ca="1" si="21"/>
        <v>19</v>
      </c>
      <c r="AM21" s="169" t="str">
        <f t="shared" ca="1" si="4"/>
        <v/>
      </c>
      <c r="AQ21" s="207" t="s">
        <v>261</v>
      </c>
      <c r="AR21" s="207" t="s">
        <v>140</v>
      </c>
      <c r="AS21" s="207">
        <v>19</v>
      </c>
      <c r="AT21" s="207" t="s">
        <v>262</v>
      </c>
      <c r="AV21" s="168">
        <f t="shared" ca="1" si="5"/>
        <v>11</v>
      </c>
      <c r="AW21" s="168">
        <f ca="1">COUNTIF( AV$7:AV21, AV21 )</f>
        <v>7</v>
      </c>
      <c r="AX21" s="208">
        <f t="shared" ca="1" si="22"/>
        <v>11.7</v>
      </c>
      <c r="AY21" s="168">
        <f t="shared" ca="1" si="6"/>
        <v>17</v>
      </c>
      <c r="AZ21" s="169"/>
      <c r="BA21" s="169"/>
      <c r="BC21" s="168">
        <f t="shared" ca="1" si="24"/>
        <v>15</v>
      </c>
      <c r="BD21" s="209">
        <f t="shared" ca="1" si="8"/>
        <v>11</v>
      </c>
      <c r="BF21" s="173" t="str">
        <f t="shared" ca="1" si="23"/>
        <v>CMS Energy Corporation</v>
      </c>
      <c r="BG21" s="173" t="str">
        <f t="shared" ca="1" si="23"/>
        <v>BBB+</v>
      </c>
      <c r="BH21" s="173">
        <f t="shared" ca="1" si="23"/>
        <v>19</v>
      </c>
      <c r="BI21" s="173" t="str">
        <f t="shared" ca="1" si="23"/>
        <v>CMS</v>
      </c>
    </row>
    <row r="22" spans="1:61" ht="13.8" x14ac:dyDescent="0.25">
      <c r="A22" s="223" t="s">
        <v>258</v>
      </c>
      <c r="B22" s="224" t="s">
        <v>140</v>
      </c>
      <c r="C22" s="224">
        <v>19</v>
      </c>
      <c r="D22" s="224" t="s">
        <v>194</v>
      </c>
      <c r="E22" s="225" t="str">
        <f t="shared" ca="1" si="9"/>
        <v>R</v>
      </c>
      <c r="F22" s="348"/>
      <c r="G22" s="349">
        <f t="shared" ca="1" si="1"/>
        <v>17</v>
      </c>
      <c r="H22" s="350"/>
      <c r="I22" s="237"/>
      <c r="K22" s="237"/>
      <c r="N22" s="237"/>
      <c r="Q22" s="237"/>
      <c r="T22" s="237"/>
      <c r="W22" s="237"/>
      <c r="AE22" s="184"/>
      <c r="AF22" s="169">
        <f t="shared" ca="1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20"/>
        <v>22</v>
      </c>
      <c r="AK22" s="169" t="str">
        <f t="shared" ca="1" si="21"/>
        <v>BBB+</v>
      </c>
      <c r="AL22" s="169">
        <f t="shared" ca="1" si="21"/>
        <v>19</v>
      </c>
      <c r="AM22" s="169" t="str">
        <f t="shared" ca="1" si="4"/>
        <v/>
      </c>
      <c r="AQ22" s="207" t="s">
        <v>263</v>
      </c>
      <c r="AR22" s="207" t="s">
        <v>140</v>
      </c>
      <c r="AS22" s="207">
        <v>19</v>
      </c>
      <c r="AT22" s="207" t="s">
        <v>264</v>
      </c>
      <c r="AV22" s="168">
        <f t="shared" ca="1" si="5"/>
        <v>11</v>
      </c>
      <c r="AW22" s="168">
        <f ca="1">COUNTIF( AV$7:AV22, AV22 )</f>
        <v>8</v>
      </c>
      <c r="AX22" s="208">
        <f t="shared" ca="1" si="22"/>
        <v>11.8</v>
      </c>
      <c r="AY22" s="168">
        <f t="shared" ca="1" si="6"/>
        <v>18</v>
      </c>
      <c r="AZ22" s="169"/>
      <c r="BA22" s="169"/>
      <c r="BC22" s="168">
        <f t="shared" ca="1" si="24"/>
        <v>16</v>
      </c>
      <c r="BD22" s="209">
        <f t="shared" ca="1" si="8"/>
        <v>13</v>
      </c>
      <c r="BF22" s="173" t="str">
        <f t="shared" ca="1" si="23"/>
        <v>Dominion Energy, Inc.</v>
      </c>
      <c r="BG22" s="173" t="str">
        <f t="shared" ca="1" si="23"/>
        <v>BBB+</v>
      </c>
      <c r="BH22" s="173">
        <f t="shared" ca="1" si="23"/>
        <v>19</v>
      </c>
      <c r="BI22" s="173" t="str">
        <f t="shared" ca="1" si="23"/>
        <v>D</v>
      </c>
    </row>
    <row r="23" spans="1:61" ht="13.8" x14ac:dyDescent="0.25">
      <c r="A23" s="223" t="s">
        <v>261</v>
      </c>
      <c r="B23" s="224" t="s">
        <v>140</v>
      </c>
      <c r="C23" s="224">
        <v>19</v>
      </c>
      <c r="D23" s="224" t="s">
        <v>262</v>
      </c>
      <c r="E23" s="225" t="str">
        <f t="shared" ca="1" si="9"/>
        <v>R</v>
      </c>
      <c r="F23" s="348"/>
      <c r="G23" s="349">
        <f t="shared" ca="1" si="1"/>
        <v>18</v>
      </c>
      <c r="H23" s="350"/>
      <c r="I23" s="237"/>
      <c r="K23" s="237"/>
      <c r="N23" s="237"/>
      <c r="Q23" s="237"/>
      <c r="T23" s="237"/>
      <c r="W23" s="237"/>
      <c r="AE23" s="184"/>
      <c r="AF23" s="169">
        <f t="shared" ca="1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20"/>
        <v>23</v>
      </c>
      <c r="AK23" s="169" t="str">
        <f t="shared" ca="1" si="21"/>
        <v>BBB+</v>
      </c>
      <c r="AL23" s="169">
        <f t="shared" ca="1" si="21"/>
        <v>19</v>
      </c>
      <c r="AM23" s="169" t="str">
        <f t="shared" ca="1" si="4"/>
        <v/>
      </c>
      <c r="AQ23" s="207" t="s">
        <v>265</v>
      </c>
      <c r="AR23" s="207" t="s">
        <v>141</v>
      </c>
      <c r="AS23" s="207">
        <v>18</v>
      </c>
      <c r="AT23" s="207" t="s">
        <v>266</v>
      </c>
      <c r="AV23" s="168">
        <f t="shared" ca="1" si="5"/>
        <v>30</v>
      </c>
      <c r="AW23" s="168">
        <f ca="1">COUNTIF( AV$7:AV23, AV23 )</f>
        <v>3</v>
      </c>
      <c r="AX23" s="208">
        <f t="shared" ca="1" si="22"/>
        <v>30.3</v>
      </c>
      <c r="AY23" s="168">
        <f t="shared" ca="1" si="6"/>
        <v>32</v>
      </c>
      <c r="AZ23" s="169"/>
      <c r="BA23" s="169"/>
      <c r="BC23" s="168">
        <f t="shared" ca="1" si="24"/>
        <v>17</v>
      </c>
      <c r="BD23" s="209">
        <f t="shared" ca="1" si="8"/>
        <v>15</v>
      </c>
      <c r="BF23" s="173" t="str">
        <f t="shared" ca="1" si="23"/>
        <v>DTE Energy Company</v>
      </c>
      <c r="BG23" s="173" t="str">
        <f t="shared" ca="1" si="23"/>
        <v>BBB+</v>
      </c>
      <c r="BH23" s="173">
        <f t="shared" ca="1" si="23"/>
        <v>19</v>
      </c>
      <c r="BI23" s="173" t="str">
        <f t="shared" ca="1" si="23"/>
        <v>DTE</v>
      </c>
    </row>
    <row r="24" spans="1:61" ht="13.8" x14ac:dyDescent="0.25">
      <c r="A24" s="223" t="s">
        <v>263</v>
      </c>
      <c r="B24" s="224" t="s">
        <v>140</v>
      </c>
      <c r="C24" s="224">
        <v>19</v>
      </c>
      <c r="D24" s="224" t="s">
        <v>264</v>
      </c>
      <c r="E24" s="225" t="str">
        <f t="shared" ca="1" si="9"/>
        <v>R</v>
      </c>
      <c r="F24" s="348"/>
      <c r="G24" s="349">
        <f t="shared" ca="1" si="1"/>
        <v>19</v>
      </c>
      <c r="H24" s="350"/>
      <c r="I24" s="237"/>
      <c r="J24" s="191"/>
      <c r="K24" s="237"/>
      <c r="N24" s="237"/>
      <c r="Q24" s="237"/>
      <c r="T24" s="237"/>
      <c r="W24" s="237"/>
      <c r="AE24" s="184"/>
      <c r="AF24" s="169">
        <f t="shared" ca="1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20"/>
        <v>24</v>
      </c>
      <c r="AK24" s="169" t="str">
        <f t="shared" ca="1" si="21"/>
        <v>BBB+</v>
      </c>
      <c r="AL24" s="169">
        <f t="shared" ca="1" si="21"/>
        <v>19</v>
      </c>
      <c r="AM24" s="169" t="str">
        <f t="shared" ca="1" si="4"/>
        <v/>
      </c>
      <c r="AQ24" s="207" t="s">
        <v>267</v>
      </c>
      <c r="AR24" s="207" t="s">
        <v>140</v>
      </c>
      <c r="AS24" s="207">
        <v>19</v>
      </c>
      <c r="AT24" s="207" t="s">
        <v>268</v>
      </c>
      <c r="AV24" s="168">
        <f t="shared" ca="1" si="5"/>
        <v>11</v>
      </c>
      <c r="AW24" s="168">
        <f ca="1">COUNTIF( AV$7:AV24, AV24 )</f>
        <v>9</v>
      </c>
      <c r="AX24" s="208">
        <f t="shared" ca="1" si="22"/>
        <v>11.9</v>
      </c>
      <c r="AY24" s="168">
        <f t="shared" ca="1" si="6"/>
        <v>19</v>
      </c>
      <c r="AZ24" s="169"/>
      <c r="BA24" s="169"/>
      <c r="BC24" s="168">
        <f t="shared" ca="1" si="24"/>
        <v>18</v>
      </c>
      <c r="BD24" s="209">
        <f t="shared" ca="1" si="8"/>
        <v>16</v>
      </c>
      <c r="BF24" s="173" t="str">
        <f t="shared" ca="1" si="23"/>
        <v>Duke Energy Corporation</v>
      </c>
      <c r="BG24" s="173" t="str">
        <f t="shared" ca="1" si="23"/>
        <v>BBB+</v>
      </c>
      <c r="BH24" s="173">
        <f t="shared" ca="1" si="23"/>
        <v>19</v>
      </c>
      <c r="BI24" s="173" t="str">
        <f t="shared" ca="1" si="23"/>
        <v>DUK</v>
      </c>
    </row>
    <row r="25" spans="1:61" ht="13.8" x14ac:dyDescent="0.25">
      <c r="A25" s="223" t="s">
        <v>267</v>
      </c>
      <c r="B25" s="224" t="s">
        <v>140</v>
      </c>
      <c r="C25" s="224">
        <v>19</v>
      </c>
      <c r="D25" s="224" t="s">
        <v>268</v>
      </c>
      <c r="E25" s="225" t="str">
        <f t="shared" ca="1" si="9"/>
        <v>R</v>
      </c>
      <c r="F25" s="348"/>
      <c r="G25" s="349">
        <f t="shared" ca="1" si="1"/>
        <v>21</v>
      </c>
      <c r="H25" s="350"/>
      <c r="I25" s="237"/>
      <c r="J25" s="191"/>
      <c r="K25" s="237"/>
      <c r="N25" s="237"/>
      <c r="Q25" s="237"/>
      <c r="T25" s="237"/>
      <c r="W25" s="237"/>
      <c r="AE25" s="184"/>
      <c r="AF25" s="169">
        <f t="shared" ca="1" si="2"/>
        <v>1</v>
      </c>
      <c r="AG25" s="169" t="str">
        <f t="shared" ca="1" si="3"/>
        <v/>
      </c>
      <c r="AH25" s="169" t="str">
        <f t="shared" ca="1" si="19"/>
        <v/>
      </c>
      <c r="AJ25" s="169">
        <f t="shared" ca="1" si="20"/>
        <v>25</v>
      </c>
      <c r="AK25" s="169" t="str">
        <f t="shared" ca="1" si="21"/>
        <v>BBB+</v>
      </c>
      <c r="AL25" s="169">
        <f t="shared" ca="1" si="21"/>
        <v>19</v>
      </c>
      <c r="AM25" s="169" t="str">
        <f t="shared" ca="1" si="4"/>
        <v/>
      </c>
      <c r="AQ25" s="207" t="s">
        <v>230</v>
      </c>
      <c r="AR25" s="207" t="s">
        <v>139</v>
      </c>
      <c r="AS25" s="207">
        <v>20</v>
      </c>
      <c r="AT25" s="207" t="s">
        <v>231</v>
      </c>
      <c r="AV25" s="168">
        <f t="shared" ca="1" si="5"/>
        <v>2</v>
      </c>
      <c r="AW25" s="168">
        <f ca="1">COUNTIF( AV$7:AV25, AV25 )</f>
        <v>4</v>
      </c>
      <c r="AX25" s="208">
        <f t="shared" ca="1" si="22"/>
        <v>2.4</v>
      </c>
      <c r="AY25" s="168">
        <f t="shared" ca="1" si="6"/>
        <v>5</v>
      </c>
      <c r="AZ25" s="169"/>
      <c r="BA25" s="169"/>
      <c r="BC25" s="168">
        <f t="shared" ca="1" si="24"/>
        <v>19</v>
      </c>
      <c r="BD25" s="209">
        <f t="shared" ca="1" si="8"/>
        <v>18</v>
      </c>
      <c r="BF25" s="173" t="str">
        <f t="shared" ca="1" si="23"/>
        <v>Entergy Corporation</v>
      </c>
      <c r="BG25" s="173" t="str">
        <f t="shared" ca="1" si="23"/>
        <v>BBB+</v>
      </c>
      <c r="BH25" s="173">
        <f t="shared" ca="1" si="23"/>
        <v>19</v>
      </c>
      <c r="BI25" s="173" t="str">
        <f t="shared" ca="1" si="23"/>
        <v>ETR</v>
      </c>
    </row>
    <row r="26" spans="1:61" ht="13.8" x14ac:dyDescent="0.25">
      <c r="A26" s="223" t="s">
        <v>269</v>
      </c>
      <c r="B26" s="224" t="s">
        <v>140</v>
      </c>
      <c r="C26" s="224">
        <v>19</v>
      </c>
      <c r="D26" s="224" t="s">
        <v>270</v>
      </c>
      <c r="E26" s="225" t="str">
        <f t="shared" ca="1" si="9"/>
        <v>MR</v>
      </c>
      <c r="F26" s="348"/>
      <c r="G26" s="349">
        <f t="shared" ca="1" si="1"/>
        <v>24</v>
      </c>
      <c r="H26" s="350"/>
      <c r="I26" s="237"/>
      <c r="J26" s="191"/>
      <c r="K26" s="237"/>
      <c r="N26" s="237"/>
      <c r="Q26" s="237"/>
      <c r="T26" s="237"/>
      <c r="W26" s="237"/>
      <c r="AE26" s="184"/>
      <c r="AF26" s="169">
        <f t="shared" ca="1" si="2"/>
        <v>1</v>
      </c>
      <c r="AG26" s="169" t="str">
        <f t="shared" ca="1" si="3"/>
        <v/>
      </c>
      <c r="AH26" s="169" t="str">
        <f t="shared" ca="1" si="19"/>
        <v/>
      </c>
      <c r="AJ26" s="169">
        <f t="shared" ca="1" si="20"/>
        <v>26</v>
      </c>
      <c r="AK26" s="169" t="str">
        <f t="shared" ca="1" si="21"/>
        <v>BBB+</v>
      </c>
      <c r="AL26" s="169">
        <f t="shared" ca="1" si="21"/>
        <v>19</v>
      </c>
      <c r="AM26" s="169" t="str">
        <f t="shared" ca="1" si="4"/>
        <v/>
      </c>
      <c r="AQ26" s="207" t="s">
        <v>235</v>
      </c>
      <c r="AR26" s="207" t="s">
        <v>139</v>
      </c>
      <c r="AS26" s="207">
        <v>20</v>
      </c>
      <c r="AT26" s="207" t="s">
        <v>236</v>
      </c>
      <c r="AV26" s="168">
        <f t="shared" ca="1" si="5"/>
        <v>2</v>
      </c>
      <c r="AW26" s="168">
        <f ca="1">COUNTIF( AV$7:AV26, AV26 )</f>
        <v>5</v>
      </c>
      <c r="AX26" s="208">
        <f t="shared" ca="1" si="22"/>
        <v>2.5</v>
      </c>
      <c r="AY26" s="168">
        <f t="shared" ca="1" si="6"/>
        <v>6</v>
      </c>
      <c r="AZ26" s="169"/>
      <c r="BA26" s="169"/>
      <c r="BC26" s="168">
        <f t="shared" ca="1" si="24"/>
        <v>20</v>
      </c>
      <c r="BD26" s="209">
        <f t="shared" ca="1" si="8"/>
        <v>21</v>
      </c>
      <c r="BF26" s="173" t="str">
        <f t="shared" ca="1" si="23"/>
        <v>Exelon Corporation</v>
      </c>
      <c r="BG26" s="173" t="str">
        <f t="shared" ca="1" si="23"/>
        <v>BBB+</v>
      </c>
      <c r="BH26" s="173">
        <f t="shared" ca="1" si="23"/>
        <v>19</v>
      </c>
      <c r="BI26" s="173" t="str">
        <f t="shared" ca="1" si="23"/>
        <v>EXC</v>
      </c>
    </row>
    <row r="27" spans="1:61" ht="13.8" x14ac:dyDescent="0.25">
      <c r="A27" s="223" t="s">
        <v>271</v>
      </c>
      <c r="B27" s="224" t="s">
        <v>140</v>
      </c>
      <c r="C27" s="224">
        <v>19</v>
      </c>
      <c r="D27" s="224" t="s">
        <v>272</v>
      </c>
      <c r="E27" s="225" t="str">
        <f t="shared" ca="1" si="9"/>
        <v>MR</v>
      </c>
      <c r="F27" s="348"/>
      <c r="G27" s="349">
        <f t="shared" ca="1" si="1"/>
        <v>28</v>
      </c>
      <c r="H27" s="350"/>
      <c r="I27" s="237"/>
      <c r="J27" s="191"/>
      <c r="K27" s="237"/>
      <c r="N27" s="237"/>
      <c r="Q27" s="237"/>
      <c r="T27" s="237"/>
      <c r="W27" s="237"/>
      <c r="AE27" s="184"/>
      <c r="AF27" s="169">
        <f t="shared" ca="1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20"/>
        <v>27</v>
      </c>
      <c r="AK27" s="169" t="str">
        <f t="shared" ca="1" si="21"/>
        <v>BBB+</v>
      </c>
      <c r="AL27" s="169">
        <f t="shared" ca="1" si="21"/>
        <v>19</v>
      </c>
      <c r="AM27" s="169" t="str">
        <f t="shared" ca="1" si="4"/>
        <v/>
      </c>
      <c r="AQ27" s="207" t="s">
        <v>269</v>
      </c>
      <c r="AR27" s="207" t="s">
        <v>140</v>
      </c>
      <c r="AS27" s="207">
        <v>19</v>
      </c>
      <c r="AT27" s="207" t="s">
        <v>270</v>
      </c>
      <c r="AV27" s="168">
        <f t="shared" ca="1" si="5"/>
        <v>11</v>
      </c>
      <c r="AW27" s="168">
        <f ca="1">COUNTIF( AV$7:AV27, AV27 )</f>
        <v>10</v>
      </c>
      <c r="AX27" s="208">
        <f t="shared" ca="1" si="22"/>
        <v>12</v>
      </c>
      <c r="AY27" s="168">
        <f t="shared" ca="1" si="6"/>
        <v>20</v>
      </c>
      <c r="AZ27" s="169"/>
      <c r="BA27" s="169"/>
      <c r="BC27" s="168">
        <f t="shared" ca="1" si="24"/>
        <v>21</v>
      </c>
      <c r="BD27" s="209">
        <f t="shared" ca="1" si="8"/>
        <v>26</v>
      </c>
      <c r="BF27" s="173" t="str">
        <f t="shared" ca="1" si="23"/>
        <v>MDU Resources Group, Inc.</v>
      </c>
      <c r="BG27" s="173" t="str">
        <f t="shared" ca="1" si="23"/>
        <v>BBB+</v>
      </c>
      <c r="BH27" s="173">
        <f t="shared" ca="1" si="23"/>
        <v>19</v>
      </c>
      <c r="BI27" s="173" t="str">
        <f t="shared" ca="1" si="23"/>
        <v>MDU</v>
      </c>
    </row>
    <row r="28" spans="1:61" ht="13.8" x14ac:dyDescent="0.25">
      <c r="A28" s="223" t="s">
        <v>273</v>
      </c>
      <c r="B28" s="224" t="s">
        <v>140</v>
      </c>
      <c r="C28" s="224">
        <v>19</v>
      </c>
      <c r="D28" s="224" t="s">
        <v>274</v>
      </c>
      <c r="E28" s="225" t="str">
        <f t="shared" ca="1" si="9"/>
        <v>R</v>
      </c>
      <c r="F28" s="348"/>
      <c r="G28" s="349">
        <f t="shared" ca="1" si="1"/>
        <v>31</v>
      </c>
      <c r="H28" s="350"/>
      <c r="I28" s="237"/>
      <c r="J28" s="191"/>
      <c r="K28" s="237"/>
      <c r="N28" s="237"/>
      <c r="Q28" s="237"/>
      <c r="T28" s="237"/>
      <c r="W28" s="237"/>
      <c r="AE28" s="178"/>
      <c r="AF28" s="169">
        <f t="shared" ca="1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20"/>
        <v>28</v>
      </c>
      <c r="AK28" s="169" t="str">
        <f t="shared" ca="1" si="21"/>
        <v>BBB+</v>
      </c>
      <c r="AL28" s="169">
        <f t="shared" ca="1" si="21"/>
        <v>19</v>
      </c>
      <c r="AM28" s="169" t="str">
        <f t="shared" ca="1" si="4"/>
        <v/>
      </c>
      <c r="AQ28" s="207" t="s">
        <v>275</v>
      </c>
      <c r="AR28" s="207" t="s">
        <v>142</v>
      </c>
      <c r="AS28" s="207">
        <v>17</v>
      </c>
      <c r="AT28" s="207" t="s">
        <v>276</v>
      </c>
      <c r="AV28" s="168">
        <f t="shared" ca="1" si="5"/>
        <v>38</v>
      </c>
      <c r="AW28" s="168">
        <f ca="1">COUNTIF( AV$7:AV28, AV28 )</f>
        <v>2</v>
      </c>
      <c r="AX28" s="208">
        <f t="shared" ca="1" si="22"/>
        <v>38.200000000000003</v>
      </c>
      <c r="AY28" s="168">
        <f t="shared" ca="1" si="6"/>
        <v>39</v>
      </c>
      <c r="AZ28" s="169"/>
      <c r="BA28" s="169"/>
      <c r="BC28" s="168">
        <f t="shared" ca="1" si="24"/>
        <v>22</v>
      </c>
      <c r="BD28" s="209">
        <f t="shared" ca="1" si="8"/>
        <v>28</v>
      </c>
      <c r="BF28" s="173" t="str">
        <f t="shared" ca="1" si="23"/>
        <v>NiSource Inc.</v>
      </c>
      <c r="BG28" s="173" t="str">
        <f t="shared" ca="1" si="23"/>
        <v>BBB+</v>
      </c>
      <c r="BH28" s="173">
        <f t="shared" ca="1" si="23"/>
        <v>19</v>
      </c>
      <c r="BI28" s="173" t="str">
        <f t="shared" ca="1" si="23"/>
        <v>NI</v>
      </c>
    </row>
    <row r="29" spans="1:61" ht="13.8" x14ac:dyDescent="0.25">
      <c r="A29" s="223" t="s">
        <v>277</v>
      </c>
      <c r="B29" s="224" t="s">
        <v>140</v>
      </c>
      <c r="C29" s="224">
        <v>19</v>
      </c>
      <c r="D29" s="224" t="s">
        <v>278</v>
      </c>
      <c r="E29" s="225" t="str">
        <f t="shared" ca="1" si="9"/>
        <v>R</v>
      </c>
      <c r="F29" s="348"/>
      <c r="G29" s="349">
        <f t="shared" ca="1" si="1"/>
        <v>33</v>
      </c>
      <c r="H29" s="350"/>
      <c r="I29" s="237"/>
      <c r="J29" s="191"/>
      <c r="K29" s="237"/>
      <c r="N29" s="237"/>
      <c r="Q29" s="237"/>
      <c r="T29" s="237"/>
      <c r="W29" s="237"/>
      <c r="AF29" s="169">
        <f t="shared" ca="1" si="2"/>
        <v>1</v>
      </c>
      <c r="AG29" s="169" t="str">
        <f t="shared" ca="1" si="3"/>
        <v/>
      </c>
      <c r="AH29" s="169" t="str">
        <f t="shared" ca="1" si="19"/>
        <v/>
      </c>
      <c r="AJ29" s="169">
        <f t="shared" ca="1" si="20"/>
        <v>29</v>
      </c>
      <c r="AK29" s="169" t="str">
        <f t="shared" ca="1" si="21"/>
        <v>BBB+</v>
      </c>
      <c r="AL29" s="169">
        <f t="shared" ca="1" si="21"/>
        <v>19</v>
      </c>
      <c r="AM29" s="169" t="str">
        <f t="shared" ca="1" si="4"/>
        <v/>
      </c>
      <c r="AQ29" s="207" t="s">
        <v>279</v>
      </c>
      <c r="AR29" s="207" t="s">
        <v>142</v>
      </c>
      <c r="AS29" s="207">
        <v>17</v>
      </c>
      <c r="AT29" s="207" t="s">
        <v>280</v>
      </c>
      <c r="AV29" s="168">
        <f t="shared" ca="1" si="5"/>
        <v>38</v>
      </c>
      <c r="AW29" s="168">
        <f ca="1">COUNTIF( AV$7:AV29, AV29 )</f>
        <v>3</v>
      </c>
      <c r="AX29" s="208">
        <f t="shared" ca="1" si="22"/>
        <v>38.299999999999997</v>
      </c>
      <c r="AY29" s="168">
        <f t="shared" ca="1" si="6"/>
        <v>40</v>
      </c>
      <c r="AZ29" s="169"/>
      <c r="BA29" s="169"/>
      <c r="BC29" s="168">
        <f t="shared" ca="1" si="24"/>
        <v>23</v>
      </c>
      <c r="BD29" s="209">
        <f t="shared" ca="1" si="8"/>
        <v>30</v>
      </c>
      <c r="BF29" s="173" t="str">
        <f t="shared" ca="1" si="23"/>
        <v>OGE Energy Corp.</v>
      </c>
      <c r="BG29" s="173" t="str">
        <f t="shared" ca="1" si="23"/>
        <v>BBB+</v>
      </c>
      <c r="BH29" s="173">
        <f t="shared" ca="1" si="23"/>
        <v>19</v>
      </c>
      <c r="BI29" s="173" t="str">
        <f t="shared" ca="1" si="23"/>
        <v>OGE</v>
      </c>
    </row>
    <row r="30" spans="1:61" ht="13.8" x14ac:dyDescent="0.25">
      <c r="A30" s="223" t="s">
        <v>281</v>
      </c>
      <c r="B30" s="224" t="s">
        <v>140</v>
      </c>
      <c r="C30" s="224">
        <v>19</v>
      </c>
      <c r="D30" s="224" t="s">
        <v>282</v>
      </c>
      <c r="E30" s="225" t="str">
        <f t="shared" ca="1" si="9"/>
        <v>R</v>
      </c>
      <c r="F30" s="348"/>
      <c r="G30" s="349">
        <f t="shared" ca="1" si="1"/>
        <v>36</v>
      </c>
      <c r="H30" s="350"/>
      <c r="I30" s="237"/>
      <c r="J30" s="191"/>
      <c r="K30" s="237"/>
      <c r="N30" s="237"/>
      <c r="Q30" s="237"/>
      <c r="T30" s="237"/>
      <c r="W30" s="237"/>
      <c r="AF30" s="169">
        <f t="shared" ca="1" si="2"/>
        <v>1</v>
      </c>
      <c r="AG30" s="169" t="str">
        <f t="shared" ca="1" si="3"/>
        <v/>
      </c>
      <c r="AH30" s="169" t="str">
        <f t="shared" ca="1" si="19"/>
        <v/>
      </c>
      <c r="AJ30" s="169">
        <f t="shared" ca="1" si="20"/>
        <v>30</v>
      </c>
      <c r="AK30" s="169" t="str">
        <f t="shared" ca="1" si="21"/>
        <v>BBB+</v>
      </c>
      <c r="AL30" s="169">
        <f t="shared" ca="1" si="21"/>
        <v>19</v>
      </c>
      <c r="AM30" s="169" t="str">
        <f t="shared" ca="1" si="4"/>
        <v/>
      </c>
      <c r="AQ30" s="207" t="s">
        <v>283</v>
      </c>
      <c r="AR30" s="207" t="s">
        <v>141</v>
      </c>
      <c r="AS30" s="207">
        <v>18</v>
      </c>
      <c r="AT30" s="207" t="s">
        <v>284</v>
      </c>
      <c r="AV30" s="168">
        <f t="shared" ca="1" si="5"/>
        <v>30</v>
      </c>
      <c r="AW30" s="168">
        <f ca="1">COUNTIF( AV$7:AV30, AV30 )</f>
        <v>4</v>
      </c>
      <c r="AX30" s="208">
        <f t="shared" ca="1" si="22"/>
        <v>30.4</v>
      </c>
      <c r="AY30" s="168">
        <f t="shared" ca="1" si="6"/>
        <v>33</v>
      </c>
      <c r="AZ30" s="169"/>
      <c r="BA30" s="169"/>
      <c r="BC30" s="168">
        <f t="shared" ca="1" si="24"/>
        <v>24</v>
      </c>
      <c r="BD30" s="209">
        <f t="shared" ca="1" si="8"/>
        <v>33</v>
      </c>
      <c r="BF30" s="173" t="str">
        <f t="shared" ca="1" si="23"/>
        <v>Pinnacle West Capital Corporation</v>
      </c>
      <c r="BG30" s="173" t="str">
        <f t="shared" ca="1" si="23"/>
        <v>BBB+</v>
      </c>
      <c r="BH30" s="173">
        <f t="shared" ca="1" si="23"/>
        <v>19</v>
      </c>
      <c r="BI30" s="173" t="str">
        <f t="shared" ca="1" si="23"/>
        <v>PNW</v>
      </c>
    </row>
    <row r="31" spans="1:61" ht="13.8" x14ac:dyDescent="0.25">
      <c r="A31" s="223" t="s">
        <v>285</v>
      </c>
      <c r="B31" s="224" t="s">
        <v>140</v>
      </c>
      <c r="C31" s="224">
        <v>19</v>
      </c>
      <c r="D31" s="224" t="s">
        <v>286</v>
      </c>
      <c r="E31" s="225" t="str">
        <f t="shared" ca="1" si="9"/>
        <v>R</v>
      </c>
      <c r="F31" s="348"/>
      <c r="G31" s="349">
        <f t="shared" ca="1" si="1"/>
        <v>38</v>
      </c>
      <c r="H31" s="350"/>
      <c r="I31" s="237"/>
      <c r="J31" s="191"/>
      <c r="K31" s="237"/>
      <c r="N31" s="237"/>
      <c r="O31" s="351"/>
      <c r="Q31" s="237"/>
      <c r="T31" s="237"/>
      <c r="W31" s="237"/>
      <c r="AF31" s="169">
        <f t="shared" ca="1" si="2"/>
        <v>1</v>
      </c>
      <c r="AG31" s="169" t="str">
        <f t="shared" ca="1" si="3"/>
        <v/>
      </c>
      <c r="AH31" s="169" t="str">
        <f t="shared" ca="1" si="19"/>
        <v/>
      </c>
      <c r="AJ31" s="169">
        <f t="shared" ca="1" si="20"/>
        <v>31</v>
      </c>
      <c r="AK31" s="169" t="str">
        <f t="shared" ca="1" si="21"/>
        <v>BBB+</v>
      </c>
      <c r="AL31" s="169">
        <f t="shared" ca="1" si="21"/>
        <v>19</v>
      </c>
      <c r="AM31" s="169" t="str">
        <f t="shared" ca="1" si="4"/>
        <v/>
      </c>
      <c r="AQ31" s="207" t="s">
        <v>287</v>
      </c>
      <c r="AR31" s="207" t="s">
        <v>141</v>
      </c>
      <c r="AS31" s="207">
        <v>18</v>
      </c>
      <c r="AT31" s="207" t="s">
        <v>288</v>
      </c>
      <c r="AV31" s="168">
        <f t="shared" ca="1" si="5"/>
        <v>30</v>
      </c>
      <c r="AW31" s="168">
        <f ca="1">COUNTIF( AV$7:AV31, AV31 )</f>
        <v>5</v>
      </c>
      <c r="AX31" s="208">
        <f t="shared" ca="1" si="22"/>
        <v>30.5</v>
      </c>
      <c r="AY31" s="168">
        <f t="shared" ca="1" si="6"/>
        <v>34</v>
      </c>
      <c r="AZ31" s="169"/>
      <c r="BA31" s="169"/>
      <c r="BC31" s="168">
        <f t="shared" ca="1" si="24"/>
        <v>25</v>
      </c>
      <c r="BD31" s="209">
        <f t="shared" ca="1" si="8"/>
        <v>35</v>
      </c>
      <c r="BF31" s="173" t="str">
        <f t="shared" ca="1" si="23"/>
        <v>Portland General Electric Company</v>
      </c>
      <c r="BG31" s="173" t="str">
        <f t="shared" ca="1" si="23"/>
        <v>BBB+</v>
      </c>
      <c r="BH31" s="173">
        <f t="shared" ca="1" si="23"/>
        <v>19</v>
      </c>
      <c r="BI31" s="173" t="str">
        <f t="shared" ca="1" si="23"/>
        <v>POR</v>
      </c>
    </row>
    <row r="32" spans="1:61" ht="13.8" x14ac:dyDescent="0.25">
      <c r="A32" s="223" t="s">
        <v>289</v>
      </c>
      <c r="B32" s="224" t="s">
        <v>140</v>
      </c>
      <c r="C32" s="224">
        <v>19</v>
      </c>
      <c r="D32" s="224" t="s">
        <v>290</v>
      </c>
      <c r="E32" s="225" t="str">
        <f t="shared" ca="1" si="9"/>
        <v>MR</v>
      </c>
      <c r="F32" s="348"/>
      <c r="G32" s="349">
        <f t="shared" ca="1" si="1"/>
        <v>40</v>
      </c>
      <c r="H32" s="350"/>
      <c r="I32" s="237"/>
      <c r="J32" s="191"/>
      <c r="K32" s="237"/>
      <c r="N32" s="237"/>
      <c r="Q32" s="237"/>
      <c r="T32" s="237"/>
      <c r="W32" s="237"/>
      <c r="AF32" s="169">
        <f t="shared" ca="1" si="2"/>
        <v>1</v>
      </c>
      <c r="AG32" s="169" t="str">
        <f t="shared" ca="1" si="3"/>
        <v/>
      </c>
      <c r="AH32" s="169" t="str">
        <f t="shared" ca="1" si="19"/>
        <v/>
      </c>
      <c r="AJ32" s="169">
        <f t="shared" ca="1" si="20"/>
        <v>32</v>
      </c>
      <c r="AK32" s="169" t="str">
        <f t="shared" ca="1" si="21"/>
        <v>BBB+</v>
      </c>
      <c r="AL32" s="169">
        <f t="shared" ca="1" si="21"/>
        <v>19</v>
      </c>
      <c r="AM32" s="169" t="str">
        <f t="shared" ca="1" si="4"/>
        <v/>
      </c>
      <c r="AQ32" s="207" t="s">
        <v>271</v>
      </c>
      <c r="AR32" s="207" t="s">
        <v>140</v>
      </c>
      <c r="AS32" s="207">
        <v>19</v>
      </c>
      <c r="AT32" s="207" t="s">
        <v>272</v>
      </c>
      <c r="AV32" s="168">
        <f t="shared" ca="1" si="5"/>
        <v>11</v>
      </c>
      <c r="AW32" s="168">
        <f ca="1">COUNTIF( AV$7:AV32, AV32 )</f>
        <v>11</v>
      </c>
      <c r="AX32" s="208">
        <f t="shared" ca="1" si="22"/>
        <v>12.1</v>
      </c>
      <c r="AY32" s="168">
        <f t="shared" ca="1" si="6"/>
        <v>21</v>
      </c>
      <c r="AZ32" s="169"/>
      <c r="BA32" s="169"/>
      <c r="BC32" s="168">
        <f t="shared" ca="1" si="24"/>
        <v>26</v>
      </c>
      <c r="BD32" s="209">
        <f t="shared" ca="1" si="8"/>
        <v>37</v>
      </c>
      <c r="BF32" s="173" t="str">
        <f t="shared" ca="1" si="23"/>
        <v>Public Service Enterprise Group Incorporated</v>
      </c>
      <c r="BG32" s="173" t="str">
        <f t="shared" ca="1" si="23"/>
        <v>BBB+</v>
      </c>
      <c r="BH32" s="173">
        <f t="shared" ca="1" si="23"/>
        <v>19</v>
      </c>
      <c r="BI32" s="173" t="str">
        <f t="shared" ca="1" si="23"/>
        <v>PEG</v>
      </c>
    </row>
    <row r="33" spans="1:61" ht="13.8" x14ac:dyDescent="0.25">
      <c r="A33" s="223" t="s">
        <v>291</v>
      </c>
      <c r="B33" s="224" t="s">
        <v>140</v>
      </c>
      <c r="C33" s="224">
        <v>19</v>
      </c>
      <c r="D33" s="224" t="s">
        <v>292</v>
      </c>
      <c r="E33" s="225" t="str">
        <f t="shared" ca="1" si="9"/>
        <v>R</v>
      </c>
      <c r="F33" s="348"/>
      <c r="G33" s="349">
        <f t="shared" ca="1" si="1"/>
        <v>41</v>
      </c>
      <c r="H33" s="350"/>
      <c r="I33" s="237"/>
      <c r="J33" s="191"/>
      <c r="K33" s="237"/>
      <c r="N33" s="237"/>
      <c r="Q33" s="237"/>
      <c r="T33" s="237"/>
      <c r="W33" s="237"/>
      <c r="AF33" s="169">
        <f t="shared" ca="1" si="2"/>
        <v>1</v>
      </c>
      <c r="AG33" s="169" t="str">
        <f t="shared" ca="1" si="3"/>
        <v/>
      </c>
      <c r="AH33" s="169" t="str">
        <f t="shared" ca="1" si="19"/>
        <v/>
      </c>
      <c r="AJ33" s="169">
        <f t="shared" ca="1" si="20"/>
        <v>33</v>
      </c>
      <c r="AK33" s="169" t="str">
        <f t="shared" ca="1" si="21"/>
        <v>BBB+</v>
      </c>
      <c r="AL33" s="169">
        <f t="shared" ca="1" si="21"/>
        <v>19</v>
      </c>
      <c r="AM33" s="169" t="str">
        <f t="shared" ca="1" si="4"/>
        <v/>
      </c>
      <c r="AQ33" s="207" t="s">
        <v>240</v>
      </c>
      <c r="AR33" s="207" t="s">
        <v>139</v>
      </c>
      <c r="AS33" s="207">
        <v>20</v>
      </c>
      <c r="AT33" s="207" t="s">
        <v>241</v>
      </c>
      <c r="AV33" s="168">
        <f t="shared" ca="1" si="5"/>
        <v>2</v>
      </c>
      <c r="AW33" s="168">
        <f ca="1">COUNTIF( AV$7:AV33, AV33 )</f>
        <v>6</v>
      </c>
      <c r="AX33" s="208">
        <f t="shared" ca="1" si="22"/>
        <v>2.6</v>
      </c>
      <c r="AY33" s="168">
        <f t="shared" ca="1" si="6"/>
        <v>7</v>
      </c>
      <c r="AZ33" s="169"/>
      <c r="BA33" s="169"/>
      <c r="BC33" s="168">
        <f t="shared" ca="1" si="24"/>
        <v>27</v>
      </c>
      <c r="BD33" s="209">
        <f t="shared" ca="1" si="8"/>
        <v>39</v>
      </c>
      <c r="BF33" s="173" t="str">
        <f t="shared" ca="1" si="23"/>
        <v>Sempra Energy</v>
      </c>
      <c r="BG33" s="173" t="str">
        <f t="shared" ca="1" si="23"/>
        <v>BBB+</v>
      </c>
      <c r="BH33" s="173">
        <f t="shared" ca="1" si="23"/>
        <v>19</v>
      </c>
      <c r="BI33" s="173" t="str">
        <f t="shared" ca="1" si="23"/>
        <v>SRE</v>
      </c>
    </row>
    <row r="34" spans="1:61" ht="13.8" x14ac:dyDescent="0.25">
      <c r="A34" s="223" t="s">
        <v>293</v>
      </c>
      <c r="B34" s="224" t="s">
        <v>140</v>
      </c>
      <c r="C34" s="224">
        <v>19</v>
      </c>
      <c r="D34" s="224" t="s">
        <v>294</v>
      </c>
      <c r="E34" s="225" t="str">
        <f t="shared" ca="1" si="9"/>
        <v>R</v>
      </c>
      <c r="F34" s="348"/>
      <c r="G34" s="349">
        <f t="shared" ca="1" si="1"/>
        <v>42</v>
      </c>
      <c r="H34" s="350"/>
      <c r="I34" s="237"/>
      <c r="J34" s="191"/>
      <c r="K34" s="237"/>
      <c r="N34" s="237"/>
      <c r="Q34" s="237"/>
      <c r="T34" s="237"/>
      <c r="W34" s="237"/>
      <c r="AF34" s="169">
        <f t="shared" ca="1" si="2"/>
        <v>1</v>
      </c>
      <c r="AG34" s="169" t="str">
        <f t="shared" ca="1" si="3"/>
        <v/>
      </c>
      <c r="AH34" s="169" t="str">
        <f t="shared" ca="1" si="19"/>
        <v/>
      </c>
      <c r="AJ34" s="169">
        <f t="shared" ca="1" si="20"/>
        <v>34</v>
      </c>
      <c r="AK34" s="169" t="str">
        <f t="shared" ca="1" si="21"/>
        <v>BBB+</v>
      </c>
      <c r="AL34" s="169">
        <f t="shared" ca="1" si="21"/>
        <v>19</v>
      </c>
      <c r="AM34" s="169" t="str">
        <f t="shared" ca="1" si="4"/>
        <v/>
      </c>
      <c r="AQ34" s="207" t="s">
        <v>273</v>
      </c>
      <c r="AR34" s="207" t="s">
        <v>140</v>
      </c>
      <c r="AS34" s="207">
        <v>19</v>
      </c>
      <c r="AT34" s="207" t="s">
        <v>274</v>
      </c>
      <c r="AV34" s="168">
        <f t="shared" ca="1" si="5"/>
        <v>11</v>
      </c>
      <c r="AW34" s="168">
        <f ca="1">COUNTIF( AV$7:AV34, AV34 )</f>
        <v>12</v>
      </c>
      <c r="AX34" s="208">
        <f t="shared" ca="1" si="22"/>
        <v>12.2</v>
      </c>
      <c r="AY34" s="168">
        <f t="shared" ca="1" si="6"/>
        <v>22</v>
      </c>
      <c r="AZ34" s="169"/>
      <c r="BA34" s="169"/>
      <c r="BC34" s="168">
        <f t="shared" ca="1" si="24"/>
        <v>28</v>
      </c>
      <c r="BD34" s="209">
        <f t="shared" ca="1" si="8"/>
        <v>40</v>
      </c>
      <c r="BF34" s="173" t="str">
        <f t="shared" ca="1" si="23"/>
        <v>Southern Company</v>
      </c>
      <c r="BG34" s="173" t="str">
        <f t="shared" ca="1" si="23"/>
        <v>BBB+</v>
      </c>
      <c r="BH34" s="173">
        <f t="shared" ca="1" si="23"/>
        <v>19</v>
      </c>
      <c r="BI34" s="173" t="str">
        <f t="shared" ca="1" si="23"/>
        <v>SO</v>
      </c>
    </row>
    <row r="35" spans="1:61" ht="13.8" x14ac:dyDescent="0.25">
      <c r="A35" s="223" t="s">
        <v>295</v>
      </c>
      <c r="B35" s="224" t="s">
        <v>140</v>
      </c>
      <c r="C35" s="224">
        <v>19</v>
      </c>
      <c r="D35" s="224" t="s">
        <v>296</v>
      </c>
      <c r="E35" s="225" t="str">
        <f t="shared" ca="1" si="9"/>
        <v>R</v>
      </c>
      <c r="F35" s="348"/>
      <c r="G35" s="349">
        <f t="shared" ca="1" si="1"/>
        <v>43</v>
      </c>
      <c r="H35" s="350"/>
      <c r="I35" s="237"/>
      <c r="K35" s="237"/>
      <c r="N35" s="237"/>
      <c r="Q35" s="237"/>
      <c r="T35" s="237"/>
      <c r="W35" s="237"/>
      <c r="AF35" s="169">
        <f t="shared" ca="1" si="2"/>
        <v>1</v>
      </c>
      <c r="AG35" s="169" t="str">
        <f t="shared" ca="1" si="3"/>
        <v/>
      </c>
      <c r="AH35" s="169" t="str">
        <f t="shared" ca="1" si="19"/>
        <v/>
      </c>
      <c r="AJ35" s="169">
        <f t="shared" ca="1" si="20"/>
        <v>35</v>
      </c>
      <c r="AK35" s="169" t="str">
        <f t="shared" ca="1" si="21"/>
        <v>BBB+</v>
      </c>
      <c r="AL35" s="169">
        <f t="shared" ca="1" si="21"/>
        <v>19</v>
      </c>
      <c r="AM35" s="169" t="str">
        <f t="shared" ca="1" si="4"/>
        <v/>
      </c>
      <c r="AQ35" s="207" t="s">
        <v>297</v>
      </c>
      <c r="AR35" s="207" t="s">
        <v>141</v>
      </c>
      <c r="AS35" s="207">
        <v>18</v>
      </c>
      <c r="AT35" s="207" t="s">
        <v>298</v>
      </c>
      <c r="AV35" s="168">
        <f t="shared" ca="1" si="5"/>
        <v>30</v>
      </c>
      <c r="AW35" s="168">
        <f ca="1">COUNTIF( AV$7:AV35, AV35 )</f>
        <v>6</v>
      </c>
      <c r="AX35" s="208">
        <f t="shared" ca="1" si="22"/>
        <v>30.6</v>
      </c>
      <c r="AY35" s="168">
        <f t="shared" ca="1" si="6"/>
        <v>35</v>
      </c>
      <c r="AZ35" s="169"/>
      <c r="BA35" s="169"/>
      <c r="BC35" s="168">
        <f t="shared" ca="1" si="24"/>
        <v>29</v>
      </c>
      <c r="BD35" s="209">
        <f t="shared" ca="1" si="8"/>
        <v>41</v>
      </c>
      <c r="BF35" s="173" t="str">
        <f t="shared" ca="1" si="23"/>
        <v>Unitil Corporation</v>
      </c>
      <c r="BG35" s="173" t="str">
        <f t="shared" ca="1" si="23"/>
        <v>BBB+</v>
      </c>
      <c r="BH35" s="173">
        <f t="shared" ca="1" si="23"/>
        <v>19</v>
      </c>
      <c r="BI35" s="173" t="str">
        <f t="shared" ca="1" si="23"/>
        <v>UTL</v>
      </c>
    </row>
    <row r="36" spans="1:61" ht="13.8" x14ac:dyDescent="0.25">
      <c r="A36" s="223" t="s">
        <v>217</v>
      </c>
      <c r="B36" s="224" t="s">
        <v>141</v>
      </c>
      <c r="C36" s="224">
        <v>18</v>
      </c>
      <c r="D36" s="224" t="s">
        <v>218</v>
      </c>
      <c r="E36" s="225" t="str">
        <f t="shared" ca="1" si="9"/>
        <v>MR</v>
      </c>
      <c r="F36" s="348"/>
      <c r="G36" s="349">
        <f t="shared" ca="1" si="1"/>
        <v>7</v>
      </c>
      <c r="H36" s="350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ca="1" si="2"/>
        <v>0</v>
      </c>
      <c r="AG36" s="169" t="str">
        <f t="shared" ca="1" si="3"/>
        <v/>
      </c>
      <c r="AH36" s="169" t="str">
        <f t="shared" ca="1" si="19"/>
        <v/>
      </c>
      <c r="AJ36" s="169">
        <f t="shared" ca="1" si="20"/>
        <v>36</v>
      </c>
      <c r="AK36" s="169" t="str">
        <f t="shared" ca="1" si="21"/>
        <v>BBB</v>
      </c>
      <c r="AL36" s="169">
        <f t="shared" ca="1" si="21"/>
        <v>18</v>
      </c>
      <c r="AM36" s="169" t="str">
        <f t="shared" ca="1" si="4"/>
        <v/>
      </c>
      <c r="AQ36" s="207" t="s">
        <v>277</v>
      </c>
      <c r="AR36" s="207" t="s">
        <v>140</v>
      </c>
      <c r="AS36" s="207">
        <v>19</v>
      </c>
      <c r="AT36" s="207" t="s">
        <v>278</v>
      </c>
      <c r="AV36" s="168">
        <f t="shared" ca="1" si="5"/>
        <v>11</v>
      </c>
      <c r="AW36" s="168">
        <f ca="1">COUNTIF( AV$7:AV36, AV36 )</f>
        <v>13</v>
      </c>
      <c r="AX36" s="208">
        <f t="shared" ca="1" si="22"/>
        <v>12.3</v>
      </c>
      <c r="AY36" s="168">
        <f t="shared" ca="1" si="6"/>
        <v>23</v>
      </c>
      <c r="AZ36" s="169"/>
      <c r="BA36" s="169"/>
      <c r="BC36" s="168">
        <f t="shared" ca="1" si="24"/>
        <v>30</v>
      </c>
      <c r="BD36" s="209">
        <f t="shared" ca="1" si="8"/>
        <v>1</v>
      </c>
      <c r="BF36" s="173" t="str">
        <f t="shared" ca="1" si="23"/>
        <v>ALLETE, Inc.</v>
      </c>
      <c r="BG36" s="173" t="str">
        <f t="shared" ca="1" si="23"/>
        <v>BBB</v>
      </c>
      <c r="BH36" s="173">
        <f t="shared" ca="1" si="23"/>
        <v>18</v>
      </c>
      <c r="BI36" s="173" t="str">
        <f t="shared" ca="1" si="23"/>
        <v>ALE</v>
      </c>
    </row>
    <row r="37" spans="1:61" ht="13.8" x14ac:dyDescent="0.25">
      <c r="A37" s="223" t="s">
        <v>238</v>
      </c>
      <c r="B37" s="224" t="s">
        <v>141</v>
      </c>
      <c r="C37" s="224">
        <v>18</v>
      </c>
      <c r="D37" s="224" t="s">
        <v>239</v>
      </c>
      <c r="E37" s="225" t="str">
        <f t="shared" ca="1" si="9"/>
        <v>R</v>
      </c>
      <c r="F37" s="348"/>
      <c r="G37" s="349">
        <f t="shared" ca="1" si="1"/>
        <v>12</v>
      </c>
      <c r="H37" s="350"/>
      <c r="I37" s="237"/>
      <c r="K37" s="237"/>
      <c r="L37" s="173"/>
      <c r="N37" s="237"/>
      <c r="Q37" s="237"/>
      <c r="T37" s="237"/>
      <c r="W37" s="237"/>
      <c r="AF37" s="169">
        <f t="shared" ca="1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20"/>
        <v>37</v>
      </c>
      <c r="AK37" s="169" t="str">
        <f t="shared" ca="1" si="21"/>
        <v>BBB</v>
      </c>
      <c r="AL37" s="169">
        <f t="shared" ca="1" si="21"/>
        <v>18</v>
      </c>
      <c r="AM37" s="169" t="str">
        <f t="shared" ca="1" si="4"/>
        <v/>
      </c>
      <c r="AQ37" s="207" t="s">
        <v>299</v>
      </c>
      <c r="AR37" s="207" t="s">
        <v>141</v>
      </c>
      <c r="AS37" s="207">
        <v>18</v>
      </c>
      <c r="AT37" s="207" t="s">
        <v>300</v>
      </c>
      <c r="AV37" s="168">
        <f t="shared" ca="1" si="5"/>
        <v>30</v>
      </c>
      <c r="AW37" s="168">
        <f ca="1">COUNTIF( AV$7:AV37, AV37 )</f>
        <v>7</v>
      </c>
      <c r="AX37" s="208">
        <f t="shared" ca="1" si="22"/>
        <v>30.7</v>
      </c>
      <c r="AY37" s="168">
        <f t="shared" ca="1" si="6"/>
        <v>36</v>
      </c>
      <c r="AZ37" s="169"/>
      <c r="BA37" s="169"/>
      <c r="BC37" s="168">
        <f t="shared" ca="1" si="24"/>
        <v>31</v>
      </c>
      <c r="BD37" s="209">
        <f t="shared" ca="1" si="8"/>
        <v>6</v>
      </c>
      <c r="BF37" s="173" t="str">
        <f t="shared" ca="1" si="23"/>
        <v>Avista Corporation</v>
      </c>
      <c r="BG37" s="173" t="str">
        <f t="shared" ca="1" si="23"/>
        <v>BBB</v>
      </c>
      <c r="BH37" s="173">
        <f t="shared" ca="1" si="23"/>
        <v>18</v>
      </c>
      <c r="BI37" s="173" t="str">
        <f t="shared" ca="1" si="23"/>
        <v>AVA</v>
      </c>
    </row>
    <row r="38" spans="1:61" ht="13.2" customHeight="1" x14ac:dyDescent="0.25">
      <c r="A38" s="223" t="s">
        <v>265</v>
      </c>
      <c r="B38" s="224" t="s">
        <v>141</v>
      </c>
      <c r="C38" s="224">
        <v>18</v>
      </c>
      <c r="D38" s="224" t="s">
        <v>266</v>
      </c>
      <c r="E38" s="225" t="str">
        <f t="shared" ca="1" si="9"/>
        <v>R</v>
      </c>
      <c r="F38" s="348"/>
      <c r="G38" s="349">
        <f t="shared" ca="1" si="1"/>
        <v>20</v>
      </c>
      <c r="H38" s="350"/>
      <c r="I38" s="237"/>
      <c r="J38" s="191"/>
      <c r="K38" s="237"/>
      <c r="L38" s="173"/>
      <c r="N38" s="237"/>
      <c r="Q38" s="237"/>
      <c r="T38" s="237"/>
      <c r="W38" s="237"/>
      <c r="AF38" s="169">
        <f t="shared" ca="1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20"/>
        <v>38</v>
      </c>
      <c r="AK38" s="169" t="str">
        <f t="shared" ca="1" si="21"/>
        <v>BBB</v>
      </c>
      <c r="AL38" s="169">
        <f t="shared" ca="1" si="21"/>
        <v>18</v>
      </c>
      <c r="AM38" s="169" t="str">
        <f t="shared" ca="1" si="4"/>
        <v/>
      </c>
      <c r="AQ38" s="207" t="s">
        <v>301</v>
      </c>
      <c r="AR38" s="207" t="s">
        <v>177</v>
      </c>
      <c r="AS38" s="207">
        <v>14</v>
      </c>
      <c r="AT38" s="207" t="s">
        <v>302</v>
      </c>
      <c r="AV38" s="168">
        <f t="shared" ca="1" si="5"/>
        <v>43</v>
      </c>
      <c r="AW38" s="168">
        <f ca="1">COUNTIF( AV$7:AV38, AV38 )</f>
        <v>1</v>
      </c>
      <c r="AX38" s="208">
        <f t="shared" ca="1" si="22"/>
        <v>43.1</v>
      </c>
      <c r="AY38" s="168">
        <f t="shared" ca="1" si="6"/>
        <v>43</v>
      </c>
      <c r="AZ38" s="169"/>
      <c r="BA38" s="169"/>
      <c r="BC38" s="168">
        <f t="shared" ca="1" si="24"/>
        <v>32</v>
      </c>
      <c r="BD38" s="209">
        <f t="shared" ca="1" si="8"/>
        <v>17</v>
      </c>
      <c r="BF38" s="173" t="str">
        <f t="shared" ca="1" si="23"/>
        <v>Edison International</v>
      </c>
      <c r="BG38" s="173" t="str">
        <f t="shared" ca="1" si="23"/>
        <v>BBB</v>
      </c>
      <c r="BH38" s="173">
        <f t="shared" ca="1" si="23"/>
        <v>18</v>
      </c>
      <c r="BI38" s="173" t="str">
        <f t="shared" ca="1" si="23"/>
        <v>EIX</v>
      </c>
    </row>
    <row r="39" spans="1:61" ht="13.8" x14ac:dyDescent="0.25">
      <c r="A39" s="223" t="s">
        <v>283</v>
      </c>
      <c r="B39" s="224" t="s">
        <v>141</v>
      </c>
      <c r="C39" s="224">
        <v>18</v>
      </c>
      <c r="D39" s="224" t="s">
        <v>284</v>
      </c>
      <c r="E39" s="225" t="str">
        <f t="shared" ca="1" si="9"/>
        <v>R</v>
      </c>
      <c r="F39" s="348"/>
      <c r="G39" s="349">
        <f t="shared" ca="1" si="1"/>
        <v>27</v>
      </c>
      <c r="H39" s="350"/>
      <c r="I39" s="237"/>
      <c r="K39" s="237"/>
      <c r="L39" s="173"/>
      <c r="N39" s="237"/>
      <c r="Q39" s="237"/>
      <c r="T39" s="237"/>
      <c r="W39" s="237"/>
      <c r="AF39" s="169">
        <f t="shared" ca="1" si="2"/>
        <v>0</v>
      </c>
      <c r="AG39" s="169" t="str">
        <f t="shared" ca="1" si="3"/>
        <v/>
      </c>
      <c r="AH39" s="169" t="str">
        <f t="shared" ca="1" si="19"/>
        <v/>
      </c>
      <c r="AJ39" s="169">
        <f t="shared" ca="1" si="20"/>
        <v>39</v>
      </c>
      <c r="AK39" s="169" t="str">
        <f t="shared" ca="1" si="21"/>
        <v>BBB</v>
      </c>
      <c r="AL39" s="169">
        <f t="shared" ca="1" si="21"/>
        <v>18</v>
      </c>
      <c r="AM39" s="169" t="str">
        <f t="shared" ca="1" si="4"/>
        <v/>
      </c>
      <c r="AQ39" s="207" t="s">
        <v>281</v>
      </c>
      <c r="AR39" s="207" t="s">
        <v>140</v>
      </c>
      <c r="AS39" s="207">
        <v>19</v>
      </c>
      <c r="AT39" s="207" t="s">
        <v>282</v>
      </c>
      <c r="AV39" s="168">
        <f t="shared" ca="1" si="5"/>
        <v>11</v>
      </c>
      <c r="AW39" s="168">
        <f ca="1">COUNTIF( AV$7:AV39, AV39 )</f>
        <v>14</v>
      </c>
      <c r="AX39" s="208">
        <f t="shared" ca="1" si="22"/>
        <v>12.4</v>
      </c>
      <c r="AY39" s="168">
        <f t="shared" ca="1" si="6"/>
        <v>24</v>
      </c>
      <c r="AZ39" s="169"/>
      <c r="BA39" s="169"/>
      <c r="BC39" s="168">
        <f t="shared" ca="1" si="24"/>
        <v>33</v>
      </c>
      <c r="BD39" s="209">
        <f t="shared" ca="1" si="8"/>
        <v>24</v>
      </c>
      <c r="BF39" s="173" t="str">
        <f t="shared" ca="1" si="23"/>
        <v>IDACORP, Inc.</v>
      </c>
      <c r="BG39" s="173" t="str">
        <f t="shared" ca="1" si="23"/>
        <v>BBB</v>
      </c>
      <c r="BH39" s="173">
        <f t="shared" ca="1" si="23"/>
        <v>18</v>
      </c>
      <c r="BI39" s="173" t="str">
        <f t="shared" ca="1" si="23"/>
        <v>IDA</v>
      </c>
    </row>
    <row r="40" spans="1:61" ht="13.8" x14ac:dyDescent="0.25">
      <c r="A40" s="223" t="s">
        <v>287</v>
      </c>
      <c r="B40" s="224" t="s">
        <v>141</v>
      </c>
      <c r="C40" s="224">
        <v>18</v>
      </c>
      <c r="D40" s="224" t="s">
        <v>288</v>
      </c>
      <c r="E40" s="225" t="str">
        <f t="shared" ca="1" si="9"/>
        <v>R</v>
      </c>
      <c r="F40" s="348"/>
      <c r="G40" s="349">
        <f t="shared" ca="1" si="1"/>
        <v>55</v>
      </c>
      <c r="H40" s="350"/>
      <c r="I40" s="237"/>
      <c r="J40" s="191"/>
      <c r="K40" s="237"/>
      <c r="L40" s="173"/>
      <c r="N40" s="237"/>
      <c r="Q40" s="237"/>
      <c r="T40" s="237"/>
      <c r="W40" s="237"/>
      <c r="AF40" s="169">
        <f t="shared" ca="1" si="2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20"/>
        <v>40</v>
      </c>
      <c r="AK40" s="169" t="str">
        <f t="shared" ca="1" si="21"/>
        <v>BBB</v>
      </c>
      <c r="AL40" s="169">
        <f t="shared" ca="1" si="21"/>
        <v>18</v>
      </c>
      <c r="AM40" s="169" t="str">
        <f t="shared" ca="1" si="4"/>
        <v/>
      </c>
      <c r="AQ40" s="207" t="s">
        <v>303</v>
      </c>
      <c r="AR40" s="207" t="s">
        <v>141</v>
      </c>
      <c r="AS40" s="207">
        <v>18</v>
      </c>
      <c r="AT40" s="207" t="s">
        <v>304</v>
      </c>
      <c r="AV40" s="168">
        <f t="shared" ca="1" si="5"/>
        <v>30</v>
      </c>
      <c r="AW40" s="168">
        <f ca="1">COUNTIF( AV$7:AV40, AV40 )</f>
        <v>8</v>
      </c>
      <c r="AX40" s="208">
        <f t="shared" ca="1" si="22"/>
        <v>30.8</v>
      </c>
      <c r="AY40" s="168">
        <f t="shared" ca="1" si="6"/>
        <v>37</v>
      </c>
      <c r="AZ40" s="169"/>
      <c r="BA40" s="169"/>
      <c r="BC40" s="168">
        <f t="shared" ca="1" si="24"/>
        <v>34</v>
      </c>
      <c r="BD40" s="209">
        <f t="shared" ca="1" si="8"/>
        <v>25</v>
      </c>
      <c r="BF40" s="173" t="str">
        <f t="shared" ca="1" si="23"/>
        <v>IPALCO Enterprises, Inc.</v>
      </c>
      <c r="BG40" s="173" t="str">
        <f t="shared" ca="1" si="23"/>
        <v>BBB</v>
      </c>
      <c r="BH40" s="173">
        <f t="shared" ca="1" si="23"/>
        <v>18</v>
      </c>
      <c r="BI40" s="173" t="str">
        <f t="shared" ca="1" si="23"/>
        <v>**IPALCO</v>
      </c>
    </row>
    <row r="41" spans="1:61" ht="13.8" x14ac:dyDescent="0.25">
      <c r="A41" s="223" t="s">
        <v>297</v>
      </c>
      <c r="B41" s="224" t="s">
        <v>141</v>
      </c>
      <c r="C41" s="224">
        <v>18</v>
      </c>
      <c r="D41" s="224" t="s">
        <v>298</v>
      </c>
      <c r="E41" s="225" t="str">
        <f t="shared" ca="1" si="9"/>
        <v>R</v>
      </c>
      <c r="F41" s="348"/>
      <c r="G41" s="349">
        <f t="shared" ca="1" si="1"/>
        <v>32</v>
      </c>
      <c r="H41" s="350"/>
      <c r="I41" s="237"/>
      <c r="J41" s="191"/>
      <c r="K41" s="237"/>
      <c r="L41" s="173"/>
      <c r="N41" s="237"/>
      <c r="Q41" s="237"/>
      <c r="T41" s="237"/>
      <c r="W41" s="237"/>
      <c r="AF41" s="169">
        <f t="shared" ca="1" si="2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20"/>
        <v>41</v>
      </c>
      <c r="AK41" s="169" t="str">
        <f t="shared" ca="1" si="21"/>
        <v>BBB</v>
      </c>
      <c r="AL41" s="169">
        <f t="shared" ca="1" si="21"/>
        <v>18</v>
      </c>
      <c r="AM41" s="169" t="str">
        <f t="shared" ca="1" si="4"/>
        <v/>
      </c>
      <c r="AQ41" s="207" t="s">
        <v>285</v>
      </c>
      <c r="AR41" s="207" t="s">
        <v>140</v>
      </c>
      <c r="AS41" s="207">
        <v>19</v>
      </c>
      <c r="AT41" s="207" t="s">
        <v>286</v>
      </c>
      <c r="AV41" s="168">
        <f t="shared" ca="1" si="5"/>
        <v>11</v>
      </c>
      <c r="AW41" s="168">
        <f ca="1">COUNTIF( AV$7:AV41, AV41 )</f>
        <v>15</v>
      </c>
      <c r="AX41" s="208">
        <f t="shared" ca="1" si="22"/>
        <v>12.5</v>
      </c>
      <c r="AY41" s="168">
        <f t="shared" ca="1" si="6"/>
        <v>25</v>
      </c>
      <c r="AZ41" s="169"/>
      <c r="BA41" s="169"/>
      <c r="BC41" s="168">
        <f t="shared" ca="1" si="24"/>
        <v>35</v>
      </c>
      <c r="BD41" s="209">
        <f t="shared" ca="1" si="8"/>
        <v>29</v>
      </c>
      <c r="BF41" s="173" t="str">
        <f t="shared" ca="1" si="23"/>
        <v>NorthWestern Corporation</v>
      </c>
      <c r="BG41" s="173" t="str">
        <f t="shared" ca="1" si="23"/>
        <v>BBB</v>
      </c>
      <c r="BH41" s="173">
        <f t="shared" ca="1" si="23"/>
        <v>18</v>
      </c>
      <c r="BI41" s="173" t="str">
        <f t="shared" ca="1" si="23"/>
        <v>NWE</v>
      </c>
    </row>
    <row r="42" spans="1:61" ht="13.8" x14ac:dyDescent="0.25">
      <c r="A42" s="223" t="s">
        <v>299</v>
      </c>
      <c r="B42" s="224" t="s">
        <v>141</v>
      </c>
      <c r="C42" s="224">
        <v>18</v>
      </c>
      <c r="D42" s="224" t="s">
        <v>300</v>
      </c>
      <c r="E42" s="225" t="str">
        <f t="shared" ca="1" si="9"/>
        <v>R</v>
      </c>
      <c r="F42" s="348"/>
      <c r="G42" s="349">
        <f t="shared" ca="1" si="1"/>
        <v>34</v>
      </c>
      <c r="H42" s="350"/>
      <c r="I42" s="237"/>
      <c r="J42" s="191"/>
      <c r="K42" s="237"/>
      <c r="L42" s="173"/>
      <c r="N42" s="237"/>
      <c r="Q42" s="237"/>
      <c r="T42" s="237"/>
      <c r="W42" s="237"/>
      <c r="AF42" s="169">
        <f t="shared" ca="1" si="2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20"/>
        <v>42</v>
      </c>
      <c r="AK42" s="169" t="str">
        <f t="shared" ca="1" si="21"/>
        <v>BBB</v>
      </c>
      <c r="AL42" s="169">
        <f t="shared" ca="1" si="21"/>
        <v>18</v>
      </c>
      <c r="AM42" s="169" t="str">
        <f t="shared" ca="1" si="4"/>
        <v/>
      </c>
      <c r="AQ42" s="207" t="s">
        <v>243</v>
      </c>
      <c r="AR42" s="207" t="s">
        <v>139</v>
      </c>
      <c r="AS42" s="207">
        <v>20</v>
      </c>
      <c r="AT42" s="207" t="s">
        <v>244</v>
      </c>
      <c r="AV42" s="168">
        <f t="shared" ca="1" si="5"/>
        <v>2</v>
      </c>
      <c r="AW42" s="168">
        <f ca="1">COUNTIF( AV$7:AV42, AV42 )</f>
        <v>7</v>
      </c>
      <c r="AX42" s="208">
        <f t="shared" ca="1" si="22"/>
        <v>2.7</v>
      </c>
      <c r="AY42" s="168">
        <f t="shared" ca="1" si="6"/>
        <v>8</v>
      </c>
      <c r="AZ42" s="169"/>
      <c r="BA42" s="169"/>
      <c r="BC42" s="168">
        <f t="shared" ca="1" si="24"/>
        <v>36</v>
      </c>
      <c r="BD42" s="209">
        <f t="shared" ca="1" si="8"/>
        <v>31</v>
      </c>
      <c r="BF42" s="173" t="str">
        <f t="shared" ca="1" si="23"/>
        <v>Otter Tail Corporation</v>
      </c>
      <c r="BG42" s="173" t="str">
        <f t="shared" ca="1" si="23"/>
        <v>BBB</v>
      </c>
      <c r="BH42" s="173">
        <f t="shared" ca="1" si="23"/>
        <v>18</v>
      </c>
      <c r="BI42" s="173" t="str">
        <f t="shared" ca="1" si="23"/>
        <v>OTTR</v>
      </c>
    </row>
    <row r="43" spans="1:61" ht="13.8" x14ac:dyDescent="0.25">
      <c r="A43" s="223" t="s">
        <v>303</v>
      </c>
      <c r="B43" s="224" t="s">
        <v>141</v>
      </c>
      <c r="C43" s="224">
        <v>18</v>
      </c>
      <c r="D43" s="224" t="s">
        <v>304</v>
      </c>
      <c r="E43" s="225" t="str">
        <f t="shared" ca="1" si="9"/>
        <v>R</v>
      </c>
      <c r="F43" s="348"/>
      <c r="G43" s="349">
        <f t="shared" ca="1" si="1"/>
        <v>37</v>
      </c>
      <c r="H43" s="350"/>
      <c r="I43" s="237"/>
      <c r="J43" s="191"/>
      <c r="K43" s="237"/>
      <c r="N43" s="237"/>
      <c r="Q43" s="237"/>
      <c r="T43" s="237"/>
      <c r="W43" s="237"/>
      <c r="AF43" s="169">
        <f t="shared" ca="1" si="2"/>
        <v>0</v>
      </c>
      <c r="AG43" s="169" t="str">
        <f t="shared" ca="1" si="3"/>
        <v/>
      </c>
      <c r="AH43" s="169" t="str">
        <f t="shared" ca="1" si="19"/>
        <v/>
      </c>
      <c r="AJ43" s="169">
        <f t="shared" ca="1" si="20"/>
        <v>43</v>
      </c>
      <c r="AK43" s="169" t="str">
        <f t="shared" ca="1" si="21"/>
        <v>BBB</v>
      </c>
      <c r="AL43" s="169">
        <f t="shared" ca="1" si="21"/>
        <v>18</v>
      </c>
      <c r="AM43" s="169" t="str">
        <f t="shared" ca="1" si="4"/>
        <v/>
      </c>
      <c r="AQ43" s="207" t="s">
        <v>289</v>
      </c>
      <c r="AR43" s="207" t="s">
        <v>140</v>
      </c>
      <c r="AS43" s="207">
        <v>19</v>
      </c>
      <c r="AT43" s="207" t="s">
        <v>290</v>
      </c>
      <c r="AV43" s="168">
        <f t="shared" ca="1" si="5"/>
        <v>11</v>
      </c>
      <c r="AW43" s="168">
        <f ca="1">COUNTIF( AV$7:AV43, AV43 )</f>
        <v>16</v>
      </c>
      <c r="AX43" s="208">
        <f t="shared" ca="1" si="22"/>
        <v>12.6</v>
      </c>
      <c r="AY43" s="168">
        <f t="shared" ca="1" si="6"/>
        <v>26</v>
      </c>
      <c r="AZ43" s="169"/>
      <c r="BA43" s="169"/>
      <c r="BC43" s="168">
        <f t="shared" ca="1" si="24"/>
        <v>37</v>
      </c>
      <c r="BD43" s="209">
        <f t="shared" ca="1" si="8"/>
        <v>34</v>
      </c>
      <c r="BF43" s="173" t="str">
        <f t="shared" ca="1" si="23"/>
        <v>PNM Resources, Inc.</v>
      </c>
      <c r="BG43" s="173" t="str">
        <f t="shared" ca="1" si="23"/>
        <v>BBB</v>
      </c>
      <c r="BH43" s="173">
        <f t="shared" ca="1" si="23"/>
        <v>18</v>
      </c>
      <c r="BI43" s="173" t="str">
        <f t="shared" ca="1" si="23"/>
        <v>PNM</v>
      </c>
    </row>
    <row r="44" spans="1:61" ht="13.8" x14ac:dyDescent="0.25">
      <c r="A44" s="223" t="s">
        <v>254</v>
      </c>
      <c r="B44" s="224" t="s">
        <v>142</v>
      </c>
      <c r="C44" s="224">
        <v>17</v>
      </c>
      <c r="D44" s="224" t="s">
        <v>255</v>
      </c>
      <c r="E44" s="225" t="str">
        <f t="shared" ca="1" si="9"/>
        <v>R</v>
      </c>
      <c r="F44" s="348"/>
      <c r="G44" s="349">
        <f t="shared" ca="1" si="1"/>
        <v>53</v>
      </c>
      <c r="H44" s="350"/>
      <c r="I44" s="237"/>
      <c r="J44" s="191"/>
      <c r="K44" s="237"/>
      <c r="N44" s="237"/>
      <c r="Q44" s="237"/>
      <c r="T44" s="237"/>
      <c r="W44" s="237"/>
      <c r="AF44" s="169">
        <f t="shared" ca="1" si="2"/>
        <v>1</v>
      </c>
      <c r="AG44" s="169" t="str">
        <f t="shared" ca="1" si="3"/>
        <v/>
      </c>
      <c r="AH44" s="169" t="str">
        <f t="shared" ca="1" si="19"/>
        <v/>
      </c>
      <c r="AJ44" s="169">
        <f t="shared" ca="1" si="20"/>
        <v>44</v>
      </c>
      <c r="AK44" s="169" t="str">
        <f t="shared" ca="1" si="21"/>
        <v>BBB-</v>
      </c>
      <c r="AL44" s="169">
        <f t="shared" ca="1" si="21"/>
        <v>17</v>
      </c>
      <c r="AM44" s="169" t="str">
        <f t="shared" ca="1" si="4"/>
        <v/>
      </c>
      <c r="AQ44" s="207" t="s">
        <v>305</v>
      </c>
      <c r="AR44" s="207" t="s">
        <v>142</v>
      </c>
      <c r="AS44" s="207">
        <v>17</v>
      </c>
      <c r="AT44" s="207" t="s">
        <v>306</v>
      </c>
      <c r="AV44" s="168">
        <f t="shared" ca="1" si="5"/>
        <v>38</v>
      </c>
      <c r="AW44" s="168">
        <f ca="1">COUNTIF( AV$7:AV44, AV44 )</f>
        <v>4</v>
      </c>
      <c r="AX44" s="208">
        <f t="shared" ca="1" si="22"/>
        <v>38.4</v>
      </c>
      <c r="AY44" s="168">
        <f t="shared" ca="1" si="6"/>
        <v>41</v>
      </c>
      <c r="AZ44" s="169"/>
      <c r="BA44" s="169"/>
      <c r="BC44" s="168">
        <f t="shared" ca="1" si="24"/>
        <v>38</v>
      </c>
      <c r="BD44" s="209">
        <f t="shared" ca="1" si="8"/>
        <v>10</v>
      </c>
      <c r="BF44" s="173" t="str">
        <f t="shared" ca="1" si="23"/>
        <v>Cleco Corporation</v>
      </c>
      <c r="BG44" s="173" t="str">
        <f t="shared" ca="1" si="23"/>
        <v>BBB-</v>
      </c>
      <c r="BH44" s="173">
        <f t="shared" ca="1" si="23"/>
        <v>17</v>
      </c>
      <c r="BI44" s="173" t="str">
        <f t="shared" ca="1" si="23"/>
        <v>**CNL</v>
      </c>
    </row>
    <row r="45" spans="1:61" ht="13.8" x14ac:dyDescent="0.25">
      <c r="A45" s="223" t="s">
        <v>275</v>
      </c>
      <c r="B45" s="224" t="s">
        <v>142</v>
      </c>
      <c r="C45" s="224">
        <v>17</v>
      </c>
      <c r="D45" s="224" t="s">
        <v>276</v>
      </c>
      <c r="E45" s="225" t="str">
        <f t="shared" ca="1" si="9"/>
        <v>R</v>
      </c>
      <c r="F45" s="348"/>
      <c r="G45" s="349">
        <f t="shared" ca="1" si="1"/>
        <v>25</v>
      </c>
      <c r="H45" s="350"/>
      <c r="I45" s="237"/>
      <c r="J45" s="191"/>
      <c r="K45" s="237"/>
      <c r="N45" s="237"/>
      <c r="Q45" s="237"/>
      <c r="T45" s="237"/>
      <c r="W45" s="237"/>
      <c r="AF45" s="169">
        <f t="shared" ca="1" si="2"/>
        <v>1</v>
      </c>
      <c r="AG45" s="169" t="str">
        <f t="shared" ca="1" si="3"/>
        <v/>
      </c>
      <c r="AH45" s="169" t="str">
        <f t="shared" ca="1" si="19"/>
        <v/>
      </c>
      <c r="AJ45" s="169">
        <f t="shared" ca="1" si="20"/>
        <v>45</v>
      </c>
      <c r="AK45" s="169" t="str">
        <f t="shared" ca="1" si="21"/>
        <v>BBB-</v>
      </c>
      <c r="AL45" s="169">
        <f t="shared" ca="1" si="21"/>
        <v>17</v>
      </c>
      <c r="AM45" s="169" t="str">
        <f t="shared" ca="1" si="4"/>
        <v/>
      </c>
      <c r="AQ45" s="207" t="s">
        <v>291</v>
      </c>
      <c r="AR45" s="207" t="s">
        <v>140</v>
      </c>
      <c r="AS45" s="207">
        <v>19</v>
      </c>
      <c r="AT45" s="207" t="s">
        <v>292</v>
      </c>
      <c r="AV45" s="168">
        <f t="shared" ca="1" si="5"/>
        <v>11</v>
      </c>
      <c r="AW45" s="168">
        <f ca="1">COUNTIF( AV$7:AV45, AV45 )</f>
        <v>17</v>
      </c>
      <c r="AX45" s="208">
        <f t="shared" ca="1" si="22"/>
        <v>12.7</v>
      </c>
      <c r="AY45" s="168">
        <f t="shared" ca="1" si="6"/>
        <v>27</v>
      </c>
      <c r="AZ45" s="169"/>
      <c r="BA45" s="169"/>
      <c r="BC45" s="168">
        <f t="shared" ca="1" si="24"/>
        <v>39</v>
      </c>
      <c r="BD45" s="209">
        <f t="shared" ca="1" si="8"/>
        <v>22</v>
      </c>
      <c r="BF45" s="173" t="str">
        <f t="shared" ca="1" si="23"/>
        <v>FirstEnergy Corp.</v>
      </c>
      <c r="BG45" s="173" t="str">
        <f t="shared" ca="1" si="23"/>
        <v>BBB-</v>
      </c>
      <c r="BH45" s="173">
        <f t="shared" ca="1" si="23"/>
        <v>17</v>
      </c>
      <c r="BI45" s="173" t="str">
        <f t="shared" ca="1" si="23"/>
        <v>FE</v>
      </c>
    </row>
    <row r="46" spans="1:61" ht="13.8" x14ac:dyDescent="0.25">
      <c r="A46" s="223" t="s">
        <v>279</v>
      </c>
      <c r="B46" s="224" t="s">
        <v>142</v>
      </c>
      <c r="C46" s="224">
        <v>17</v>
      </c>
      <c r="D46" s="224" t="s">
        <v>280</v>
      </c>
      <c r="E46" s="225" t="str">
        <f t="shared" ca="1" si="9"/>
        <v>MR</v>
      </c>
      <c r="F46" s="348"/>
      <c r="G46" s="349">
        <f t="shared" ca="1" si="1"/>
        <v>26</v>
      </c>
      <c r="H46" s="350"/>
      <c r="I46" s="191"/>
      <c r="K46" s="191"/>
      <c r="N46" s="351"/>
      <c r="W46" s="191"/>
      <c r="AF46" s="169">
        <f t="shared" ca="1" si="2"/>
        <v>1</v>
      </c>
      <c r="AG46" s="169" t="str">
        <f t="shared" ca="1" si="3"/>
        <v/>
      </c>
      <c r="AH46" s="169" t="str">
        <f t="shared" ca="1" si="19"/>
        <v/>
      </c>
      <c r="AJ46" s="169">
        <f t="shared" ca="1" si="20"/>
        <v>46</v>
      </c>
      <c r="AK46" s="169" t="str">
        <f t="shared" ca="1" si="21"/>
        <v>BBB-</v>
      </c>
      <c r="AL46" s="169">
        <f t="shared" ca="1" si="21"/>
        <v>17</v>
      </c>
      <c r="AM46" s="169" t="str">
        <f t="shared" ca="1" si="4"/>
        <v/>
      </c>
      <c r="AQ46" s="207" t="s">
        <v>293</v>
      </c>
      <c r="AR46" s="207" t="s">
        <v>140</v>
      </c>
      <c r="AS46" s="207">
        <v>19</v>
      </c>
      <c r="AT46" s="207" t="s">
        <v>294</v>
      </c>
      <c r="AV46" s="168">
        <f t="shared" ca="1" si="5"/>
        <v>11</v>
      </c>
      <c r="AW46" s="168">
        <f ca="1">COUNTIF( AV$7:AV46, AV46 )</f>
        <v>18</v>
      </c>
      <c r="AX46" s="208">
        <f t="shared" ca="1" si="22"/>
        <v>12.8</v>
      </c>
      <c r="AY46" s="168">
        <f t="shared" ca="1" si="6"/>
        <v>28</v>
      </c>
      <c r="AZ46" s="169"/>
      <c r="BA46" s="169"/>
      <c r="BC46" s="168">
        <f t="shared" ca="1" si="24"/>
        <v>40</v>
      </c>
      <c r="BD46" s="209">
        <f t="shared" ca="1" si="8"/>
        <v>23</v>
      </c>
      <c r="BF46" s="173" t="str">
        <f t="shared" ca="1" si="23"/>
        <v>Hawaiian Electric Industries, Inc.</v>
      </c>
      <c r="BG46" s="173" t="str">
        <f t="shared" ca="1" si="23"/>
        <v>BBB-</v>
      </c>
      <c r="BH46" s="173">
        <f t="shared" ca="1" si="23"/>
        <v>17</v>
      </c>
      <c r="BI46" s="173" t="str">
        <f t="shared" ca="1" si="23"/>
        <v>HE</v>
      </c>
    </row>
    <row r="47" spans="1:61" ht="13.8" x14ac:dyDescent="0.25">
      <c r="A47" s="223" t="s">
        <v>305</v>
      </c>
      <c r="B47" s="224" t="s">
        <v>142</v>
      </c>
      <c r="C47" s="224">
        <v>17</v>
      </c>
      <c r="D47" s="224" t="s">
        <v>306</v>
      </c>
      <c r="E47" s="225" t="str">
        <f t="shared" ca="1" si="9"/>
        <v>R</v>
      </c>
      <c r="F47" s="348"/>
      <c r="G47" s="349">
        <f t="shared" ca="1" si="1"/>
        <v>57</v>
      </c>
      <c r="H47" s="350"/>
      <c r="I47" s="350"/>
      <c r="J47" s="187" t="s">
        <v>307</v>
      </c>
      <c r="K47" s="191"/>
      <c r="M47" s="351"/>
      <c r="N47" s="351"/>
      <c r="AF47" s="169">
        <f t="shared" ca="1" si="2"/>
        <v>1</v>
      </c>
      <c r="AG47" s="169" t="str">
        <f t="shared" ca="1" si="3"/>
        <v/>
      </c>
      <c r="AH47" s="169" t="str">
        <f t="shared" ca="1" si="19"/>
        <v/>
      </c>
      <c r="AJ47" s="169">
        <f t="shared" ca="1" si="20"/>
        <v>47</v>
      </c>
      <c r="AK47" s="169" t="str">
        <f t="shared" ca="1" si="21"/>
        <v>BBB-</v>
      </c>
      <c r="AL47" s="169">
        <f t="shared" ca="1" si="21"/>
        <v>17</v>
      </c>
      <c r="AM47" s="169" t="str">
        <f t="shared" ca="1" si="4"/>
        <v/>
      </c>
      <c r="AQ47" s="207" t="s">
        <v>295</v>
      </c>
      <c r="AR47" s="207" t="s">
        <v>140</v>
      </c>
      <c r="AS47" s="207">
        <v>19</v>
      </c>
      <c r="AT47" s="207" t="s">
        <v>296</v>
      </c>
      <c r="AV47" s="168">
        <f t="shared" ca="1" si="5"/>
        <v>11</v>
      </c>
      <c r="AW47" s="168">
        <f ca="1">COUNTIF( AV$7:AV47, AV47 )</f>
        <v>19</v>
      </c>
      <c r="AX47" s="208">
        <f t="shared" ca="1" si="22"/>
        <v>12.9</v>
      </c>
      <c r="AY47" s="168">
        <f t="shared" ca="1" si="6"/>
        <v>29</v>
      </c>
      <c r="AZ47" s="169"/>
      <c r="BA47" s="169"/>
      <c r="BC47" s="168">
        <f t="shared" ca="1" si="24"/>
        <v>41</v>
      </c>
      <c r="BD47" s="209">
        <f t="shared" ca="1" si="8"/>
        <v>38</v>
      </c>
      <c r="BF47" s="173" t="str">
        <f t="shared" ca="1" si="23"/>
        <v>Puget Energy, Inc.</v>
      </c>
      <c r="BG47" s="173" t="str">
        <f t="shared" ca="1" si="23"/>
        <v>BBB-</v>
      </c>
      <c r="BH47" s="173">
        <f t="shared" ca="1" si="23"/>
        <v>17</v>
      </c>
      <c r="BI47" s="173" t="str">
        <f t="shared" ca="1" si="23"/>
        <v>**PSD</v>
      </c>
    </row>
    <row r="48" spans="1:61" ht="13.8" x14ac:dyDescent="0.25">
      <c r="A48" s="223" t="s">
        <v>259</v>
      </c>
      <c r="B48" s="224" t="s">
        <v>173</v>
      </c>
      <c r="C48" s="224">
        <v>16</v>
      </c>
      <c r="D48" s="224" t="s">
        <v>260</v>
      </c>
      <c r="E48" s="225" t="str">
        <f t="shared" ca="1" si="9"/>
        <v>R</v>
      </c>
      <c r="F48" s="348"/>
      <c r="G48" s="349">
        <f t="shared" ca="1" si="1"/>
        <v>54</v>
      </c>
      <c r="H48" s="350"/>
      <c r="I48" s="350"/>
      <c r="K48" s="191"/>
      <c r="M48" s="351"/>
      <c r="N48" s="351"/>
      <c r="AF48" s="169">
        <f t="shared" ca="1" si="2"/>
        <v>0</v>
      </c>
      <c r="AG48" s="169" t="str">
        <f t="shared" ca="1" si="3"/>
        <v/>
      </c>
      <c r="AH48" s="169" t="str">
        <f t="shared" ca="1" si="19"/>
        <v/>
      </c>
      <c r="AJ48" s="169">
        <f t="shared" ca="1" si="20"/>
        <v>48</v>
      </c>
      <c r="AK48" s="169" t="str">
        <f t="shared" ca="1" si="21"/>
        <v>BB+</v>
      </c>
      <c r="AL48" s="169">
        <f t="shared" ca="1" si="21"/>
        <v>16</v>
      </c>
      <c r="AM48" s="169" t="str">
        <f t="shared" ca="1" si="4"/>
        <v/>
      </c>
      <c r="AQ48" s="207" t="s">
        <v>247</v>
      </c>
      <c r="AR48" s="207" t="s">
        <v>139</v>
      </c>
      <c r="AS48" s="207">
        <v>20</v>
      </c>
      <c r="AT48" s="207" t="s">
        <v>248</v>
      </c>
      <c r="AV48" s="168">
        <f t="shared" ca="1" si="5"/>
        <v>2</v>
      </c>
      <c r="AW48" s="168">
        <f ca="1">COUNTIF( AV$7:AV48, AV48 )</f>
        <v>8</v>
      </c>
      <c r="AX48" s="208">
        <f t="shared" ca="1" si="22"/>
        <v>2.8</v>
      </c>
      <c r="AY48" s="168">
        <f t="shared" ca="1" si="6"/>
        <v>9</v>
      </c>
      <c r="AZ48" s="169"/>
      <c r="BA48" s="169"/>
      <c r="BC48" s="168">
        <f t="shared" ca="1" si="24"/>
        <v>42</v>
      </c>
      <c r="BD48" s="209">
        <f t="shared" ca="1" si="8"/>
        <v>14</v>
      </c>
      <c r="BF48" s="173" t="str">
        <f t="shared" ca="1" si="23"/>
        <v>DPL Inc.</v>
      </c>
      <c r="BG48" s="173" t="str">
        <f t="shared" ca="1" si="23"/>
        <v>BB+</v>
      </c>
      <c r="BH48" s="173">
        <f t="shared" ca="1" si="23"/>
        <v>16</v>
      </c>
      <c r="BI48" s="173" t="str">
        <f t="shared" ca="1" si="23"/>
        <v>**DPL</v>
      </c>
    </row>
    <row r="49" spans="1:61" ht="13.8" x14ac:dyDescent="0.25">
      <c r="A49" s="223" t="s">
        <v>301</v>
      </c>
      <c r="B49" s="224" t="s">
        <v>177</v>
      </c>
      <c r="C49" s="224">
        <v>14</v>
      </c>
      <c r="D49" s="224" t="s">
        <v>302</v>
      </c>
      <c r="E49" s="225" t="str">
        <f t="shared" ca="1" si="9"/>
        <v>R</v>
      </c>
      <c r="F49" s="348"/>
      <c r="G49" s="349">
        <f t="shared" ca="1" si="1"/>
        <v>35</v>
      </c>
      <c r="H49" s="350"/>
      <c r="I49" s="350"/>
      <c r="J49" s="191"/>
      <c r="K49" s="191"/>
      <c r="M49" s="351"/>
      <c r="N49" s="351"/>
      <c r="AF49" s="169">
        <f t="shared" ca="1" si="2"/>
        <v>1</v>
      </c>
      <c r="AG49" s="169" t="str">
        <f t="shared" ca="1" si="3"/>
        <v/>
      </c>
      <c r="AH49" s="169" t="str">
        <f t="shared" ca="1" si="19"/>
        <v/>
      </c>
      <c r="AJ49" s="169">
        <f t="shared" ca="1" si="20"/>
        <v>49</v>
      </c>
      <c r="AK49" s="169" t="str">
        <f t="shared" ca="1" si="21"/>
        <v>BB-</v>
      </c>
      <c r="AL49" s="169">
        <f t="shared" ca="1" si="21"/>
        <v>14</v>
      </c>
      <c r="AM49" s="169" t="str">
        <f t="shared" ca="1" si="4"/>
        <v/>
      </c>
      <c r="AQ49" s="207" t="s">
        <v>251</v>
      </c>
      <c r="AR49" s="207" t="s">
        <v>139</v>
      </c>
      <c r="AS49" s="207">
        <v>20</v>
      </c>
      <c r="AT49" s="207" t="s">
        <v>252</v>
      </c>
      <c r="AV49" s="168">
        <f t="shared" ca="1" si="5"/>
        <v>2</v>
      </c>
      <c r="AW49" s="168">
        <f ca="1">COUNTIF( AV$7:AV49, AV49 )</f>
        <v>9</v>
      </c>
      <c r="AX49" s="208">
        <f t="shared" ca="1" si="22"/>
        <v>2.9</v>
      </c>
      <c r="AY49" s="168">
        <f t="shared" ca="1" si="6"/>
        <v>10</v>
      </c>
      <c r="AZ49" s="169"/>
      <c r="BA49" s="169"/>
      <c r="BC49" s="168">
        <f t="shared" ca="1" si="24"/>
        <v>43</v>
      </c>
      <c r="BD49" s="209">
        <f t="shared" ca="1" si="8"/>
        <v>32</v>
      </c>
      <c r="BF49" s="173" t="str">
        <f t="shared" ca="1" si="23"/>
        <v>PG&amp;E Corporation</v>
      </c>
      <c r="BG49" s="173" t="str">
        <f t="shared" ca="1" si="23"/>
        <v>BB-</v>
      </c>
      <c r="BH49" s="173">
        <f t="shared" ca="1" si="23"/>
        <v>14</v>
      </c>
      <c r="BI49" s="173" t="str">
        <f t="shared" ca="1" si="23"/>
        <v>PCG</v>
      </c>
    </row>
    <row r="50" spans="1:61" ht="13.8" x14ac:dyDescent="0.25">
      <c r="A50" s="223"/>
      <c r="B50" s="224"/>
      <c r="C50" s="224"/>
      <c r="D50" s="224"/>
      <c r="E50" s="225"/>
      <c r="F50" s="348"/>
      <c r="G50" s="349"/>
      <c r="H50" s="350"/>
      <c r="I50" s="350"/>
      <c r="J50" s="191"/>
      <c r="K50" s="191"/>
      <c r="M50" s="351"/>
      <c r="N50" s="351"/>
      <c r="AF50" s="169">
        <f t="shared" ca="1" si="2"/>
        <v>0</v>
      </c>
      <c r="AG50" s="169" t="str">
        <f t="shared" ca="1" si="3"/>
        <v/>
      </c>
      <c r="AH50" s="169" t="str">
        <f t="shared" ca="1" si="19"/>
        <v/>
      </c>
      <c r="AJ50" s="169" t="e">
        <f t="shared" ca="1" si="20"/>
        <v>#N/A</v>
      </c>
      <c r="AK50" s="169" t="str">
        <f t="shared" ca="1" si="21"/>
        <v/>
      </c>
      <c r="AL50" s="169" t="str">
        <f t="shared" ca="1" si="21"/>
        <v/>
      </c>
      <c r="AM50" s="169" t="str">
        <f t="shared" ca="1" si="4"/>
        <v/>
      </c>
      <c r="AQ50" s="207"/>
      <c r="AR50" s="207"/>
      <c r="AS50" s="207"/>
      <c r="AT50" s="207"/>
      <c r="AV50" s="168">
        <f t="shared" ca="1" si="5"/>
        <v>99</v>
      </c>
      <c r="AW50" s="168">
        <f ca="1">COUNTIF( AV$7:AV50, AV50 )</f>
        <v>1</v>
      </c>
      <c r="AX50" s="208">
        <f t="shared" ca="1" si="22"/>
        <v>99.1</v>
      </c>
      <c r="AY50" s="168">
        <f t="shared" ca="1" si="6"/>
        <v>44</v>
      </c>
      <c r="AZ50" s="169"/>
      <c r="BA50" s="169"/>
      <c r="BC50" s="168">
        <f t="shared" ca="1" si="24"/>
        <v>44</v>
      </c>
      <c r="BD50" s="209">
        <f t="shared" ca="1" si="8"/>
        <v>44</v>
      </c>
      <c r="BF50" s="173">
        <f t="shared" ca="1" si="23"/>
        <v>0</v>
      </c>
      <c r="BG50" s="173">
        <f t="shared" ca="1" si="23"/>
        <v>0</v>
      </c>
      <c r="BH50" s="173">
        <f t="shared" ca="1" si="23"/>
        <v>0</v>
      </c>
      <c r="BI50" s="173">
        <f t="shared" ca="1" si="23"/>
        <v>0</v>
      </c>
    </row>
    <row r="51" spans="1:61" ht="13.8" x14ac:dyDescent="0.25">
      <c r="A51" s="223"/>
      <c r="B51" s="224"/>
      <c r="C51" s="224"/>
      <c r="D51" s="224"/>
      <c r="E51" s="225"/>
      <c r="F51" s="348"/>
      <c r="G51" s="349"/>
      <c r="H51" s="350"/>
      <c r="I51" s="350"/>
      <c r="J51" s="191"/>
      <c r="K51" s="191"/>
      <c r="M51" s="351"/>
      <c r="N51" s="351"/>
      <c r="AF51" s="169">
        <f t="shared" ca="1" si="2"/>
        <v>0</v>
      </c>
      <c r="AG51" s="169" t="str">
        <f t="shared" ca="1" si="3"/>
        <v/>
      </c>
      <c r="AH51" s="169" t="str">
        <f t="shared" ca="1" si="19"/>
        <v/>
      </c>
      <c r="AJ51" s="169" t="e">
        <f t="shared" ca="1" si="20"/>
        <v>#N/A</v>
      </c>
      <c r="AK51" s="169" t="str">
        <f t="shared" ca="1" si="21"/>
        <v/>
      </c>
      <c r="AL51" s="169" t="str">
        <f t="shared" ca="1" si="21"/>
        <v/>
      </c>
      <c r="AM51" s="169" t="str">
        <f t="shared" ca="1" si="4"/>
        <v/>
      </c>
      <c r="AQ51" s="207"/>
      <c r="AR51" s="207"/>
      <c r="AS51" s="207"/>
      <c r="AT51" s="207"/>
      <c r="AV51" s="168">
        <f t="shared" ca="1" si="5"/>
        <v>99</v>
      </c>
      <c r="AW51" s="168">
        <f ca="1">COUNTIF( AV$7:AV51, AV51 )</f>
        <v>2</v>
      </c>
      <c r="AX51" s="208">
        <f t="shared" ca="1" si="22"/>
        <v>99.2</v>
      </c>
      <c r="AY51" s="168">
        <f t="shared" ca="1" si="6"/>
        <v>45</v>
      </c>
      <c r="AZ51" s="169"/>
      <c r="BA51" s="169"/>
      <c r="BC51" s="168">
        <f t="shared" ca="1" si="24"/>
        <v>45</v>
      </c>
      <c r="BD51" s="209">
        <f t="shared" ca="1" si="8"/>
        <v>45</v>
      </c>
      <c r="BF51" s="173">
        <f t="shared" ref="BF51:BI63" ca="1" si="25">OFFSET( AQ$6, $BD52, 0 )</f>
        <v>0</v>
      </c>
      <c r="BG51" s="173">
        <f t="shared" ca="1" si="25"/>
        <v>0</v>
      </c>
      <c r="BH51" s="173">
        <f t="shared" ca="1" si="25"/>
        <v>0</v>
      </c>
      <c r="BI51" s="173">
        <f t="shared" ca="1" si="25"/>
        <v>0</v>
      </c>
    </row>
    <row r="52" spans="1:61" ht="13.8" x14ac:dyDescent="0.25">
      <c r="A52" s="223"/>
      <c r="B52" s="224"/>
      <c r="C52" s="224"/>
      <c r="D52" s="224"/>
      <c r="E52" s="225"/>
      <c r="F52" s="348"/>
      <c r="G52" s="349"/>
      <c r="H52" s="350"/>
      <c r="I52" s="350"/>
      <c r="J52" s="191"/>
      <c r="K52" s="191"/>
      <c r="AF52" s="169">
        <f t="shared" ca="1" si="2"/>
        <v>0</v>
      </c>
      <c r="AG52" s="169" t="str">
        <f t="shared" ca="1" si="3"/>
        <v/>
      </c>
      <c r="AH52" s="169" t="str">
        <f t="shared" ca="1" si="19"/>
        <v/>
      </c>
      <c r="AJ52" s="169" t="e">
        <f t="shared" ca="1" si="20"/>
        <v>#N/A</v>
      </c>
      <c r="AK52" s="169" t="str">
        <f t="shared" ca="1" si="21"/>
        <v/>
      </c>
      <c r="AL52" s="169" t="str">
        <f t="shared" ca="1" si="21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ca="1" si="5"/>
        <v>99</v>
      </c>
      <c r="AW52" s="168">
        <f ca="1">COUNTIF( AV$7:AV52, AV52 )</f>
        <v>3</v>
      </c>
      <c r="AX52" s="208">
        <f t="shared" ca="1" si="22"/>
        <v>99.3</v>
      </c>
      <c r="AY52" s="168">
        <f t="shared" ca="1" si="6"/>
        <v>46</v>
      </c>
      <c r="AZ52" s="169"/>
      <c r="BA52" s="169"/>
      <c r="BC52" s="168">
        <f t="shared" ca="1" si="24"/>
        <v>46</v>
      </c>
      <c r="BD52" s="209">
        <f t="shared" ca="1" si="8"/>
        <v>46</v>
      </c>
      <c r="BF52" s="173">
        <f t="shared" ca="1" si="25"/>
        <v>0</v>
      </c>
      <c r="BG52" s="173">
        <f t="shared" ca="1" si="25"/>
        <v>0</v>
      </c>
      <c r="BH52" s="173">
        <f t="shared" ca="1" si="25"/>
        <v>0</v>
      </c>
      <c r="BI52" s="173">
        <f t="shared" ca="1" si="25"/>
        <v>0</v>
      </c>
    </row>
    <row r="53" spans="1:61" ht="13.8" x14ac:dyDescent="0.25">
      <c r="A53" s="223"/>
      <c r="B53" s="224"/>
      <c r="C53" s="224"/>
      <c r="D53" s="224"/>
      <c r="E53" s="225"/>
      <c r="F53" s="348"/>
      <c r="G53" s="349" t="str">
        <f t="shared" ca="1" si="1"/>
        <v/>
      </c>
      <c r="H53" s="350"/>
      <c r="I53" s="350"/>
      <c r="J53" s="191"/>
      <c r="K53" s="191"/>
      <c r="AF53" s="169">
        <f t="shared" ca="1" si="2"/>
        <v>0</v>
      </c>
      <c r="AG53" s="169" t="str">
        <f t="shared" ca="1" si="3"/>
        <v/>
      </c>
      <c r="AH53" s="169" t="str">
        <f t="shared" ca="1" si="19"/>
        <v/>
      </c>
      <c r="AJ53" s="169" t="e">
        <f t="shared" ca="1" si="20"/>
        <v>#N/A</v>
      </c>
      <c r="AK53" s="169" t="str">
        <f t="shared" ca="1" si="21"/>
        <v/>
      </c>
      <c r="AL53" s="169" t="str">
        <f t="shared" ca="1" si="21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ca="1" si="5"/>
        <v>99</v>
      </c>
      <c r="AW53" s="168">
        <f ca="1">COUNTIF( AV$7:AV53, AV53 )</f>
        <v>4</v>
      </c>
      <c r="AX53" s="208">
        <f t="shared" ca="1" si="22"/>
        <v>99.4</v>
      </c>
      <c r="AY53" s="168">
        <f t="shared" ca="1" si="6"/>
        <v>47</v>
      </c>
      <c r="AZ53" s="169"/>
      <c r="BA53" s="169"/>
      <c r="BC53" s="168">
        <f t="shared" ca="1" si="24"/>
        <v>47</v>
      </c>
      <c r="BD53" s="209">
        <f t="shared" ca="1" si="8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ht="13.8" x14ac:dyDescent="0.25">
      <c r="A54" s="223"/>
      <c r="B54" s="224"/>
      <c r="C54" s="224"/>
      <c r="D54" s="224"/>
      <c r="E54" s="225"/>
      <c r="F54" s="348"/>
      <c r="G54" s="349" t="str">
        <f t="shared" ca="1" si="1"/>
        <v/>
      </c>
      <c r="H54" s="350"/>
      <c r="I54" s="350"/>
      <c r="J54" s="191"/>
      <c r="K54" s="191"/>
      <c r="AF54" s="169">
        <f t="shared" ca="1" si="2"/>
        <v>0</v>
      </c>
      <c r="AG54" s="169" t="str">
        <f t="shared" ca="1" si="3"/>
        <v/>
      </c>
      <c r="AH54" s="169" t="str">
        <f t="shared" ca="1" si="19"/>
        <v/>
      </c>
      <c r="AJ54" s="169" t="e">
        <f t="shared" ca="1" si="20"/>
        <v>#N/A</v>
      </c>
      <c r="AK54" s="169" t="str">
        <f t="shared" ca="1" si="21"/>
        <v/>
      </c>
      <c r="AL54" s="169" t="str">
        <f t="shared" ca="1" si="21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ca="1" si="5"/>
        <v>99</v>
      </c>
      <c r="AW54" s="168">
        <f ca="1">COUNTIF( AV$7:AV54, AV54 )</f>
        <v>5</v>
      </c>
      <c r="AX54" s="208">
        <f t="shared" ca="1" si="22"/>
        <v>99.5</v>
      </c>
      <c r="AY54" s="168">
        <f t="shared" ca="1" si="6"/>
        <v>48</v>
      </c>
      <c r="AZ54" s="169"/>
      <c r="BA54" s="169"/>
      <c r="BC54" s="168">
        <f t="shared" ca="1" si="24"/>
        <v>48</v>
      </c>
      <c r="BD54" s="209">
        <f t="shared" ca="1" si="8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3.8" x14ac:dyDescent="0.25">
      <c r="A55" s="223"/>
      <c r="B55" s="224"/>
      <c r="C55" s="224"/>
      <c r="D55" s="224"/>
      <c r="E55" s="225"/>
      <c r="F55" s="348"/>
      <c r="G55" s="349" t="str">
        <f t="shared" ca="1" si="1"/>
        <v/>
      </c>
      <c r="H55" s="350"/>
      <c r="I55" s="350"/>
      <c r="J55" s="191"/>
      <c r="K55" s="191"/>
      <c r="AF55" s="169">
        <f t="shared" ca="1" si="2"/>
        <v>0</v>
      </c>
      <c r="AG55" s="169" t="str">
        <f t="shared" ca="1" si="3"/>
        <v/>
      </c>
      <c r="AH55" s="169" t="str">
        <f t="shared" ca="1" si="19"/>
        <v/>
      </c>
      <c r="AJ55" s="169" t="e">
        <f t="shared" ca="1" si="20"/>
        <v>#N/A</v>
      </c>
      <c r="AK55" s="169" t="str">
        <f t="shared" ca="1" si="21"/>
        <v/>
      </c>
      <c r="AL55" s="169" t="str">
        <f t="shared" ca="1" si="21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ca="1" si="5"/>
        <v>99</v>
      </c>
      <c r="AW55" s="168">
        <f ca="1">COUNTIF( AV$7:AV55, AV55 )</f>
        <v>6</v>
      </c>
      <c r="AX55" s="208">
        <f t="shared" ca="1" si="22"/>
        <v>99.6</v>
      </c>
      <c r="AY55" s="168">
        <f t="shared" ca="1" si="6"/>
        <v>49</v>
      </c>
      <c r="AZ55" s="169"/>
      <c r="BA55" s="169"/>
      <c r="BC55" s="168">
        <f t="shared" ca="1" si="24"/>
        <v>49</v>
      </c>
      <c r="BD55" s="209">
        <f t="shared" ca="1" si="8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3.8" x14ac:dyDescent="0.25">
      <c r="A56" s="223"/>
      <c r="B56" s="224"/>
      <c r="C56" s="224"/>
      <c r="D56" s="224"/>
      <c r="E56" s="225"/>
      <c r="F56" s="348"/>
      <c r="G56" s="349" t="str">
        <f t="shared" ca="1" si="1"/>
        <v/>
      </c>
      <c r="H56" s="350"/>
      <c r="I56" s="350"/>
      <c r="J56" s="191"/>
      <c r="K56" s="191"/>
      <c r="AF56" s="169">
        <f t="shared" ca="1" si="2"/>
        <v>0</v>
      </c>
      <c r="AG56" s="169" t="str">
        <f t="shared" ca="1" si="3"/>
        <v/>
      </c>
      <c r="AH56" s="169" t="str">
        <f t="shared" ca="1" si="19"/>
        <v/>
      </c>
      <c r="AJ56" s="169" t="e">
        <f t="shared" ca="1" si="20"/>
        <v>#N/A</v>
      </c>
      <c r="AK56" s="169" t="str">
        <f t="shared" ca="1" si="21"/>
        <v/>
      </c>
      <c r="AL56" s="169" t="str">
        <f t="shared" ca="1" si="21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ca="1" si="5"/>
        <v>99</v>
      </c>
      <c r="AW56" s="168">
        <f ca="1">COUNTIF( AV$7:AV56, AV56 )</f>
        <v>7</v>
      </c>
      <c r="AX56" s="208">
        <f t="shared" ca="1" si="22"/>
        <v>99.7</v>
      </c>
      <c r="AY56" s="168">
        <f t="shared" ca="1" si="6"/>
        <v>50</v>
      </c>
      <c r="AZ56" s="169"/>
      <c r="BA56" s="169"/>
      <c r="BC56" s="168">
        <f t="shared" ca="1" si="24"/>
        <v>50</v>
      </c>
      <c r="BD56" s="209">
        <f t="shared" ca="1" si="8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8" x14ac:dyDescent="0.25">
      <c r="A57" s="223"/>
      <c r="B57" s="224"/>
      <c r="C57" s="224"/>
      <c r="D57" s="224"/>
      <c r="E57" s="225"/>
      <c r="F57" s="348"/>
      <c r="G57" s="349" t="str">
        <f t="shared" ca="1" si="1"/>
        <v/>
      </c>
      <c r="H57" s="350"/>
      <c r="I57" s="350"/>
      <c r="J57" s="191"/>
      <c r="K57" s="191"/>
      <c r="AF57" s="169">
        <f t="shared" ca="1" si="2"/>
        <v>0</v>
      </c>
      <c r="AG57" s="169" t="str">
        <f t="shared" ca="1" si="3"/>
        <v/>
      </c>
      <c r="AH57" s="169" t="str">
        <f t="shared" ca="1" si="19"/>
        <v/>
      </c>
      <c r="AJ57" s="169" t="e">
        <f t="shared" ca="1" si="20"/>
        <v>#N/A</v>
      </c>
      <c r="AK57" s="169" t="str">
        <f t="shared" ca="1" si="21"/>
        <v/>
      </c>
      <c r="AL57" s="169" t="str">
        <f t="shared" ca="1" si="21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ca="1" si="5"/>
        <v>99</v>
      </c>
      <c r="AW57" s="168">
        <f ca="1">COUNTIF( AV$7:AV57, AV57 )</f>
        <v>8</v>
      </c>
      <c r="AX57" s="208">
        <f t="shared" ca="1" si="22"/>
        <v>99.8</v>
      </c>
      <c r="AY57" s="168">
        <f t="shared" ca="1" si="6"/>
        <v>51</v>
      </c>
      <c r="AZ57" s="169"/>
      <c r="BA57" s="169"/>
      <c r="BC57" s="168">
        <f t="shared" ca="1" si="24"/>
        <v>51</v>
      </c>
      <c r="BD57" s="209">
        <f t="shared" ca="1" si="8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8" x14ac:dyDescent="0.25">
      <c r="A58" s="223"/>
      <c r="B58" s="224"/>
      <c r="C58" s="224"/>
      <c r="D58" s="224"/>
      <c r="E58" s="225"/>
      <c r="F58" s="348"/>
      <c r="G58" s="349" t="str">
        <f t="shared" ca="1" si="1"/>
        <v/>
      </c>
      <c r="H58" s="350"/>
      <c r="I58" s="350"/>
      <c r="J58" s="191"/>
      <c r="K58" s="191"/>
      <c r="AF58" s="169">
        <f t="shared" ca="1" si="2"/>
        <v>0</v>
      </c>
      <c r="AG58" s="169" t="str">
        <f t="shared" ca="1" si="3"/>
        <v/>
      </c>
      <c r="AH58" s="169" t="str">
        <f t="shared" ca="1" si="19"/>
        <v/>
      </c>
      <c r="AJ58" s="169" t="e">
        <f t="shared" ca="1" si="20"/>
        <v>#N/A</v>
      </c>
      <c r="AK58" s="169" t="str">
        <f t="shared" ca="1" si="21"/>
        <v/>
      </c>
      <c r="AL58" s="169" t="str">
        <f t="shared" ca="1" si="21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ca="1" si="5"/>
        <v>99</v>
      </c>
      <c r="AW58" s="168">
        <f ca="1">COUNTIF( AV$7:AV58, AV58 )</f>
        <v>9</v>
      </c>
      <c r="AX58" s="208">
        <f t="shared" ca="1" si="22"/>
        <v>99.9</v>
      </c>
      <c r="AY58" s="168">
        <f t="shared" ca="1" si="6"/>
        <v>52</v>
      </c>
      <c r="AZ58" s="169"/>
      <c r="BA58" s="169"/>
      <c r="BC58" s="168">
        <f t="shared" ca="1" si="24"/>
        <v>52</v>
      </c>
      <c r="BD58" s="209">
        <f t="shared" ca="1" si="8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8" x14ac:dyDescent="0.25">
      <c r="A59" s="223"/>
      <c r="B59" s="224"/>
      <c r="C59" s="224"/>
      <c r="D59" s="224"/>
      <c r="E59" s="225" t="str">
        <f t="shared" ca="1" si="9"/>
        <v/>
      </c>
      <c r="F59" s="348"/>
      <c r="G59" s="349" t="str">
        <f t="shared" ca="1" si="1"/>
        <v/>
      </c>
      <c r="H59" s="350"/>
      <c r="I59" s="350"/>
      <c r="J59" s="191"/>
      <c r="K59" s="191"/>
      <c r="AF59" s="169">
        <f t="shared" ca="1" si="2"/>
        <v>0</v>
      </c>
      <c r="AG59" s="169" t="str">
        <f t="shared" ca="1" si="3"/>
        <v/>
      </c>
      <c r="AH59" s="169" t="str">
        <f t="shared" ca="1" si="19"/>
        <v/>
      </c>
      <c r="AJ59" s="169" t="e">
        <f t="shared" ca="1" si="20"/>
        <v>#N/A</v>
      </c>
      <c r="AK59" s="169" t="str">
        <f t="shared" ca="1" si="21"/>
        <v/>
      </c>
      <c r="AL59" s="169" t="str">
        <f t="shared" ca="1" si="21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ca="1" si="5"/>
        <v>99</v>
      </c>
      <c r="AW59" s="168">
        <f ca="1">COUNTIF( AV$7:AV59, AV59 )</f>
        <v>10</v>
      </c>
      <c r="AX59" s="208">
        <f t="shared" ca="1" si="22"/>
        <v>100</v>
      </c>
      <c r="AY59" s="168">
        <f t="shared" ca="1" si="6"/>
        <v>53</v>
      </c>
      <c r="AZ59" s="169"/>
      <c r="BA59" s="169"/>
      <c r="BC59" s="168">
        <f t="shared" ca="1" si="24"/>
        <v>53</v>
      </c>
      <c r="BD59" s="209">
        <f t="shared" ca="1" si="8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" thickBot="1" x14ac:dyDescent="0.3">
      <c r="A60" s="192"/>
      <c r="B60" s="193"/>
      <c r="C60" s="193"/>
      <c r="D60" s="193"/>
      <c r="E60" s="194" t="str">
        <f t="shared" ca="1" si="9"/>
        <v/>
      </c>
      <c r="F60" s="350"/>
      <c r="G60" s="353" t="str">
        <f t="shared" ca="1" si="1"/>
        <v/>
      </c>
      <c r="H60" s="350"/>
      <c r="I60" s="350"/>
      <c r="AF60" s="169">
        <f t="shared" ca="1" si="2"/>
        <v>0</v>
      </c>
      <c r="AG60" s="169" t="str">
        <f t="shared" ca="1" si="3"/>
        <v/>
      </c>
      <c r="AH60" s="169" t="str">
        <f t="shared" ca="1" si="19"/>
        <v/>
      </c>
      <c r="AJ60" s="169" t="e">
        <f t="shared" ca="1" si="20"/>
        <v>#N/A</v>
      </c>
      <c r="AK60" s="169" t="str">
        <f t="shared" ca="1" si="21"/>
        <v/>
      </c>
      <c r="AL60" s="169" t="str">
        <f t="shared" ca="1" si="21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ca="1" si="5"/>
        <v>99</v>
      </c>
      <c r="AW60" s="168">
        <f ca="1">COUNTIF( AV$7:AV60, AV60 )</f>
        <v>11</v>
      </c>
      <c r="AX60" s="208">
        <f t="shared" ca="1" si="22"/>
        <v>100.1</v>
      </c>
      <c r="AY60" s="168">
        <f t="shared" ca="1" si="6"/>
        <v>54</v>
      </c>
      <c r="AZ60" s="169"/>
      <c r="BA60" s="169"/>
      <c r="BC60" s="168">
        <f t="shared" ca="1" si="24"/>
        <v>54</v>
      </c>
      <c r="BD60" s="209">
        <f t="shared" ca="1" si="8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8" x14ac:dyDescent="0.25">
      <c r="A61" s="226" t="s">
        <v>308</v>
      </c>
      <c r="B61" s="227" t="s">
        <v>162</v>
      </c>
      <c r="C61" s="227">
        <v>23</v>
      </c>
      <c r="D61" s="227" t="s">
        <v>309</v>
      </c>
      <c r="E61" s="228" t="str">
        <f t="shared" ca="1" si="9"/>
        <v>R</v>
      </c>
      <c r="F61" s="354"/>
      <c r="G61" s="355">
        <f t="shared" ca="1" si="1"/>
        <v>29</v>
      </c>
      <c r="H61" s="350"/>
      <c r="I61" s="350"/>
      <c r="AF61" s="169">
        <f t="shared" ca="1" si="2"/>
        <v>1</v>
      </c>
      <c r="AG61" s="169" t="str">
        <f t="shared" ca="1" si="3"/>
        <v/>
      </c>
      <c r="AH61" s="169" t="str">
        <f t="shared" ca="1" si="19"/>
        <v/>
      </c>
      <c r="AJ61" s="169">
        <f t="shared" ca="1" si="20"/>
        <v>61</v>
      </c>
      <c r="AK61" s="169" t="str">
        <f t="shared" ca="1" si="21"/>
        <v>AA-</v>
      </c>
      <c r="AL61" s="169">
        <f t="shared" ca="1" si="21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ca="1" si="5"/>
        <v>99</v>
      </c>
      <c r="AW61" s="168">
        <f ca="1">COUNTIF( AV$7:AV61, AV61 )</f>
        <v>12</v>
      </c>
      <c r="AX61" s="208">
        <f t="shared" ca="1" si="22"/>
        <v>100.2</v>
      </c>
      <c r="AY61" s="168">
        <f t="shared" ca="1" si="6"/>
        <v>55</v>
      </c>
      <c r="AZ61" s="169"/>
      <c r="BA61" s="169"/>
      <c r="BC61" s="168">
        <f t="shared" ca="1" si="24"/>
        <v>55</v>
      </c>
      <c r="BD61" s="209">
        <f t="shared" ca="1" si="8"/>
        <v>55</v>
      </c>
      <c r="BF61" s="173">
        <f ca="1">OFFSET( AQ$6, $BD62, 0 )</f>
        <v>0</v>
      </c>
      <c r="BG61" s="173">
        <f ca="1">OFFSET( AR$6, $BD62, 0 )</f>
        <v>0</v>
      </c>
      <c r="BH61" s="173">
        <f ca="1">OFFSET( AS$6, $BD62, 0 )</f>
        <v>0</v>
      </c>
      <c r="BI61" s="173">
        <f ca="1">OFFSET( AT$6, $BD62, 0 )</f>
        <v>0</v>
      </c>
    </row>
    <row r="62" spans="1:61" ht="13.8" x14ac:dyDescent="0.25">
      <c r="A62" s="223"/>
      <c r="B62" s="224"/>
      <c r="C62" s="224"/>
      <c r="D62" s="224"/>
      <c r="E62" s="225"/>
      <c r="F62" s="348"/>
      <c r="G62" s="349" t="str">
        <f t="shared" ca="1" si="1"/>
        <v/>
      </c>
      <c r="H62" s="350"/>
      <c r="I62" s="350"/>
      <c r="AF62" s="169">
        <f ca="1">IF( LEN( C62 ) = 0, 0, IF( C62 = C61, AF61, IF( AF61 = 1, 0, 1 ) ) )</f>
        <v>0</v>
      </c>
      <c r="AG62" s="169" t="str">
        <f t="shared" ca="1" si="3"/>
        <v/>
      </c>
      <c r="AH62" s="169" t="str">
        <f t="shared" ca="1" si="19"/>
        <v/>
      </c>
      <c r="AJ62" s="169" t="e">
        <f t="shared" ca="1" si="20"/>
        <v>#N/A</v>
      </c>
      <c r="AK62" s="169" t="str">
        <f t="shared" ca="1" si="21"/>
        <v/>
      </c>
      <c r="AL62" s="169" t="str">
        <f t="shared" ca="1" si="21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ca="1" si="5"/>
        <v>99</v>
      </c>
      <c r="AW62" s="168">
        <f ca="1">COUNTIF( AV$7:AV62, AV62 )</f>
        <v>13</v>
      </c>
      <c r="AX62" s="208">
        <f t="shared" ca="1" si="22"/>
        <v>100.3</v>
      </c>
      <c r="AY62" s="168">
        <f t="shared" ca="1" si="6"/>
        <v>56</v>
      </c>
      <c r="AZ62" s="169"/>
      <c r="BA62" s="169"/>
      <c r="BC62" s="168">
        <f t="shared" ca="1" si="24"/>
        <v>56</v>
      </c>
      <c r="BD62" s="209">
        <f t="shared" ca="1" si="8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/>
      <c r="B63" s="229"/>
      <c r="C63" s="224"/>
      <c r="D63" s="224"/>
      <c r="E63" s="225"/>
      <c r="F63" s="348"/>
      <c r="G63" s="349"/>
      <c r="H63" s="350"/>
      <c r="I63" s="350"/>
      <c r="AF63" s="169">
        <f t="shared" ca="1" si="2"/>
        <v>0</v>
      </c>
      <c r="AG63" s="169" t="str">
        <f t="shared" ca="1" si="3"/>
        <v/>
      </c>
      <c r="AH63" s="169" t="str">
        <f t="shared" ca="1" si="19"/>
        <v/>
      </c>
      <c r="AJ63" s="169" t="e">
        <f t="shared" ca="1" si="20"/>
        <v>#N/A</v>
      </c>
      <c r="AK63" s="169" t="str">
        <f t="shared" ca="1" si="21"/>
        <v/>
      </c>
      <c r="AL63" s="169" t="str">
        <f t="shared" ca="1" si="21"/>
        <v/>
      </c>
      <c r="AM63" s="169" t="str">
        <f t="shared" ca="1" si="4"/>
        <v/>
      </c>
      <c r="AU63" s="207"/>
      <c r="AV63" s="168">
        <f t="shared" ca="1" si="5"/>
        <v>99</v>
      </c>
      <c r="AW63" s="168">
        <f ca="1">COUNTIF( AV$7:AV63, AV63 )</f>
        <v>14</v>
      </c>
      <c r="AX63" s="208">
        <f t="shared" ca="1" si="22"/>
        <v>100.4</v>
      </c>
      <c r="AY63" s="168">
        <f t="shared" ca="1" si="6"/>
        <v>57</v>
      </c>
      <c r="AZ63" s="169"/>
      <c r="BA63" s="169"/>
      <c r="BC63" s="168">
        <f t="shared" ca="1" si="24"/>
        <v>57</v>
      </c>
      <c r="BD63" s="209">
        <f t="shared" ca="1" si="8"/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/>
      <c r="B64" s="229"/>
      <c r="C64" s="224"/>
      <c r="D64" s="224"/>
      <c r="E64" s="225"/>
      <c r="F64" s="348"/>
      <c r="G64" s="349"/>
      <c r="H64" s="350"/>
      <c r="I64" s="350"/>
      <c r="AF64" s="169">
        <f t="shared" ca="1" si="2"/>
        <v>0</v>
      </c>
      <c r="AG64" s="169" t="str">
        <f t="shared" ca="1" si="3"/>
        <v/>
      </c>
      <c r="AH64" s="169" t="str">
        <f t="shared" ca="1" si="19"/>
        <v/>
      </c>
      <c r="AJ64" s="169" t="e">
        <f t="shared" ca="1" si="20"/>
        <v>#N/A</v>
      </c>
      <c r="AK64" s="169" t="str">
        <f t="shared" ca="1" si="21"/>
        <v/>
      </c>
      <c r="AL64" s="169" t="str">
        <f t="shared" ca="1" si="21"/>
        <v/>
      </c>
      <c r="AM64" s="169" t="str">
        <f t="shared" ca="1" si="4"/>
        <v/>
      </c>
      <c r="AQ64" s="207" t="s">
        <v>308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61" ht="13.8" x14ac:dyDescent="0.25">
      <c r="A65" s="223"/>
      <c r="B65" s="229"/>
      <c r="C65" s="224"/>
      <c r="D65" s="224"/>
      <c r="E65" s="225"/>
      <c r="F65" s="348"/>
      <c r="G65" s="349"/>
      <c r="H65" s="350"/>
      <c r="I65" s="350"/>
      <c r="N65" s="168" t="s">
        <v>310</v>
      </c>
      <c r="AF65" s="169">
        <f t="shared" ca="1" si="2"/>
        <v>0</v>
      </c>
      <c r="AG65" s="169" t="str">
        <f ca="1">IF( LEN( $C65 ) = 0, "", IF( $C65 &gt; $AL65, 1, "" ) )</f>
        <v/>
      </c>
      <c r="AH65" s="169" t="str">
        <f t="shared" ca="1" si="19"/>
        <v/>
      </c>
      <c r="AJ65" s="169" t="e">
        <f t="shared" ca="1" si="20"/>
        <v>#N/A</v>
      </c>
      <c r="AK65" s="169" t="str">
        <f t="shared" ca="1" si="21"/>
        <v/>
      </c>
      <c r="AL65" s="169" t="str">
        <f t="shared" ca="1" si="21"/>
        <v/>
      </c>
      <c r="AM65" s="169" t="str">
        <f t="shared" ca="1" si="4"/>
        <v/>
      </c>
      <c r="AU65" s="207"/>
      <c r="AZ65" s="169"/>
      <c r="BA65" s="169"/>
      <c r="BF65" s="169"/>
    </row>
    <row r="66" spans="1:61" ht="13.8" x14ac:dyDescent="0.25">
      <c r="A66" s="195"/>
      <c r="B66" s="196"/>
      <c r="C66" s="185"/>
      <c r="D66" s="185"/>
      <c r="E66" s="182"/>
      <c r="F66" s="350"/>
      <c r="H66" s="350"/>
      <c r="I66" s="350"/>
      <c r="AF66" s="169">
        <f t="shared" ca="1" si="2"/>
        <v>0</v>
      </c>
      <c r="AG66" s="169" t="str">
        <f t="shared" ref="AG66:AG67" ca="1" si="26">IF( LEN( $C66 ) = 0, "", IF( $C66 &gt; $AL66, 1, "" ) )</f>
        <v/>
      </c>
      <c r="AH66" s="169" t="str">
        <f t="shared" ca="1" si="19"/>
        <v/>
      </c>
      <c r="AJ66" s="169" t="e">
        <f t="shared" ca="1" si="20"/>
        <v>#N/A</v>
      </c>
      <c r="AK66" s="169" t="str">
        <f t="shared" ca="1" si="21"/>
        <v/>
      </c>
      <c r="AL66" s="169" t="str">
        <f t="shared" ca="1" si="21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61" ht="14.4" thickBot="1" x14ac:dyDescent="0.3">
      <c r="A67" s="197"/>
      <c r="B67" s="198"/>
      <c r="C67" s="248"/>
      <c r="D67" s="198"/>
      <c r="E67" s="199"/>
      <c r="F67" s="350"/>
      <c r="H67" s="350"/>
      <c r="I67" s="350"/>
      <c r="AF67" s="169">
        <f t="shared" ca="1" si="2"/>
        <v>0</v>
      </c>
      <c r="AG67" s="169" t="str">
        <f t="shared" ca="1" si="26"/>
        <v/>
      </c>
      <c r="AH67" s="169" t="str">
        <f t="shared" ca="1" si="19"/>
        <v/>
      </c>
      <c r="AJ67" s="169" t="e">
        <f t="shared" ca="1" si="20"/>
        <v>#N/A</v>
      </c>
      <c r="AK67" s="169" t="str">
        <f t="shared" ca="1" si="21"/>
        <v/>
      </c>
      <c r="AL67" s="169" t="str">
        <f t="shared" ca="1" si="21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61" ht="13.8" x14ac:dyDescent="0.25">
      <c r="A68" s="200" t="s">
        <v>311</v>
      </c>
      <c r="B68" s="347" t="str">
        <f ca="1">OFFSET( Scale!$H$5, ROUND( C68, 0 ) - 1, 1 )</f>
        <v>BBB+</v>
      </c>
      <c r="C68" s="201">
        <f ca="1">AVERAGE(C7:C65)</f>
        <v>18.795454545454547</v>
      </c>
      <c r="D68" s="201"/>
      <c r="E68" s="201"/>
      <c r="F68" s="350"/>
      <c r="H68" s="350"/>
      <c r="I68" s="350"/>
      <c r="J68" s="351"/>
      <c r="K68" s="351"/>
      <c r="AX68" s="208"/>
      <c r="AZ68" s="169"/>
      <c r="BA68" s="169"/>
      <c r="BD68" s="209"/>
      <c r="BF68" s="169"/>
    </row>
    <row r="69" spans="1:61" x14ac:dyDescent="0.25">
      <c r="A69" s="202"/>
      <c r="B69" s="202"/>
      <c r="F69" s="350"/>
      <c r="H69" s="350"/>
      <c r="I69" s="350"/>
      <c r="AX69" s="208"/>
      <c r="AZ69" s="169"/>
      <c r="BA69" s="169"/>
      <c r="BD69" s="209"/>
    </row>
    <row r="70" spans="1:61" x14ac:dyDescent="0.25">
      <c r="A70" s="202"/>
      <c r="B70" s="202"/>
      <c r="F70" s="173"/>
      <c r="H70" s="173"/>
      <c r="I70" s="173"/>
      <c r="J70" s="351"/>
      <c r="K70" s="351"/>
    </row>
    <row r="71" spans="1:61" x14ac:dyDescent="0.25">
      <c r="A71" s="203" t="s">
        <v>312</v>
      </c>
      <c r="F71" s="173"/>
      <c r="H71" s="173"/>
      <c r="I71" s="173"/>
    </row>
    <row r="72" spans="1:61" x14ac:dyDescent="0.25">
      <c r="A72" s="203" t="s">
        <v>313</v>
      </c>
      <c r="B72" s="173"/>
      <c r="D72" s="173"/>
      <c r="E72" s="173"/>
      <c r="F72" s="204"/>
      <c r="H72" s="204"/>
      <c r="I72" s="204"/>
    </row>
    <row r="73" spans="1:61" x14ac:dyDescent="0.25">
      <c r="A73" s="205" t="s">
        <v>314</v>
      </c>
      <c r="B73" s="173"/>
      <c r="D73" s="173"/>
      <c r="E73" s="173"/>
      <c r="F73" s="204"/>
      <c r="H73" s="204"/>
      <c r="I73" s="204"/>
      <c r="AQ73" s="207"/>
      <c r="AR73" s="207"/>
      <c r="AS73" s="207"/>
    </row>
    <row r="74" spans="1:61" x14ac:dyDescent="0.25">
      <c r="A74" s="203" t="s">
        <v>315</v>
      </c>
      <c r="D74" s="204"/>
      <c r="F74" s="206"/>
      <c r="H74" s="206"/>
      <c r="I74" s="206"/>
      <c r="AQ74" s="207"/>
      <c r="AR74" s="207"/>
      <c r="AS74" s="207"/>
    </row>
    <row r="75" spans="1:61" x14ac:dyDescent="0.25">
      <c r="A75" s="203" t="s">
        <v>316</v>
      </c>
      <c r="D75" s="204"/>
      <c r="F75" s="206"/>
      <c r="H75" s="206"/>
      <c r="I75" s="206"/>
      <c r="AQ75" s="207"/>
      <c r="AR75" s="207"/>
      <c r="AS75" s="207"/>
    </row>
    <row r="76" spans="1:61" x14ac:dyDescent="0.25">
      <c r="A76" s="203"/>
      <c r="AQ76" s="207"/>
      <c r="AR76" s="207"/>
      <c r="AS76" s="207"/>
    </row>
    <row r="77" spans="1:61" x14ac:dyDescent="0.25">
      <c r="C77" s="190">
        <f ca="1">SUMPRODUCT( L8:L13, Y8:Y13 ) / L14</f>
        <v>18.795454545454547</v>
      </c>
      <c r="E77" s="191"/>
      <c r="G77" s="353"/>
      <c r="J77" s="173"/>
      <c r="K77" s="173"/>
      <c r="AQ77" s="207"/>
      <c r="AR77" s="207"/>
      <c r="AS77" s="207"/>
      <c r="AT77" s="173"/>
      <c r="BF77" s="173"/>
      <c r="BG77" s="173"/>
      <c r="BH77" s="173"/>
      <c r="BI77" s="173"/>
    </row>
    <row r="78" spans="1:61" s="173" customFormat="1" ht="13.8" x14ac:dyDescent="0.2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168"/>
      <c r="AR78" s="168"/>
      <c r="AS78" s="168"/>
      <c r="AT78" s="168"/>
      <c r="BF78" s="168"/>
      <c r="BG78" s="168"/>
      <c r="BH78" s="168"/>
      <c r="BI78" s="168"/>
    </row>
  </sheetData>
  <sortState ref="AQ7:AT51">
    <sortCondition ref="AQ7:AQ51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559" priority="31" stopIfTrue="1">
      <formula>IF( $AH7 = 1, TRUE, FALSE )</formula>
    </cfRule>
    <cfRule type="expression" dxfId="1558" priority="32" stopIfTrue="1">
      <formula>IF( $AG7 = 1, TRUE, FALSE )</formula>
    </cfRule>
    <cfRule type="expression" dxfId="1557" priority="33" stopIfTrue="1">
      <formula>IF( $AF7 = 1, TRUE, FALSE )</formula>
    </cfRule>
  </conditionalFormatting>
  <conditionalFormatting sqref="A67:E67">
    <cfRule type="expression" dxfId="1556" priority="34" stopIfTrue="1">
      <formula>IF( $AH67 = 1, TRUE, FALSE )</formula>
    </cfRule>
    <cfRule type="expression" dxfId="1555" priority="35" stopIfTrue="1">
      <formula>IF( $AG67 = 1, TRUE, FALSE )</formula>
    </cfRule>
    <cfRule type="expression" dxfId="1554" priority="36" stopIfTrue="1">
      <formula>IF( $AF67 = 1, TRUE, FALSE )</formula>
    </cfRule>
  </conditionalFormatting>
  <conditionalFormatting sqref="A66:E66">
    <cfRule type="expression" dxfId="1553" priority="28" stopIfTrue="1">
      <formula>IF( $AH66 = 1, TRUE, FALSE )</formula>
    </cfRule>
    <cfRule type="expression" dxfId="1552" priority="29" stopIfTrue="1">
      <formula>IF( $AG66 = 1, TRUE, FALSE )</formula>
    </cfRule>
    <cfRule type="expression" dxfId="1551" priority="30" stopIfTrue="1">
      <formula>IF( $AF66 = 1, TRUE, FALSE )</formula>
    </cfRule>
  </conditionalFormatting>
  <conditionalFormatting sqref="A8:D33 B7:D7 A35:D58">
    <cfRule type="expression" dxfId="1550" priority="25" stopIfTrue="1">
      <formula>IF( $AH7 = 1, TRUE, FALSE )</formula>
    </cfRule>
    <cfRule type="expression" dxfId="1549" priority="26" stopIfTrue="1">
      <formula>IF( $AG7 = 1, TRUE, FALSE )</formula>
    </cfRule>
    <cfRule type="expression" dxfId="1548" priority="27" stopIfTrue="1">
      <formula>IF( $AF7 = 1, TRUE, FALSE )</formula>
    </cfRule>
  </conditionalFormatting>
  <conditionalFormatting sqref="A59:D59">
    <cfRule type="expression" dxfId="1547" priority="22" stopIfTrue="1">
      <formula>IF( $AH59 = 1, TRUE, FALSE )</formula>
    </cfRule>
    <cfRule type="expression" dxfId="1546" priority="23" stopIfTrue="1">
      <formula>IF( $AG59 = 1, TRUE, FALSE )</formula>
    </cfRule>
    <cfRule type="expression" dxfId="1545" priority="24" stopIfTrue="1">
      <formula>IF( $AF59 = 1, TRUE, FALSE )</formula>
    </cfRule>
  </conditionalFormatting>
  <conditionalFormatting sqref="A61:D65">
    <cfRule type="expression" dxfId="1544" priority="19" stopIfTrue="1">
      <formula>IF( $AH61 = 1, TRUE, FALSE )</formula>
    </cfRule>
    <cfRule type="expression" dxfId="1543" priority="20" stopIfTrue="1">
      <formula>IF( $AG61 = 1, TRUE, FALSE )</formula>
    </cfRule>
    <cfRule type="expression" dxfId="1542" priority="21" stopIfTrue="1">
      <formula>IF( $AF61 = 1, TRUE, FALSE )</formula>
    </cfRule>
  </conditionalFormatting>
  <conditionalFormatting sqref="U8:U12">
    <cfRule type="cellIs" dxfId="1541" priority="18" operator="equal">
      <formula>0</formula>
    </cfRule>
  </conditionalFormatting>
  <conditionalFormatting sqref="O8:O12 Q8:Q12">
    <cfRule type="cellIs" dxfId="1540" priority="17" operator="equal">
      <formula>0</formula>
    </cfRule>
  </conditionalFormatting>
  <conditionalFormatting sqref="V8:V12">
    <cfRule type="cellIs" dxfId="1539" priority="16" operator="equal">
      <formula>0</formula>
    </cfRule>
  </conditionalFormatting>
  <conditionalFormatting sqref="S8:S12">
    <cfRule type="cellIs" dxfId="1538" priority="14" operator="equal">
      <formula>0</formula>
    </cfRule>
  </conditionalFormatting>
  <conditionalFormatting sqref="R8:R12">
    <cfRule type="cellIs" dxfId="1537" priority="15" operator="equal">
      <formula>0</formula>
    </cfRule>
  </conditionalFormatting>
  <conditionalFormatting sqref="P8:P12">
    <cfRule type="cellIs" dxfId="1536" priority="13" operator="equal">
      <formula>0</formula>
    </cfRule>
  </conditionalFormatting>
  <conditionalFormatting sqref="M8:M12">
    <cfRule type="cellIs" dxfId="1535" priority="12" operator="equal">
      <formula>0</formula>
    </cfRule>
  </conditionalFormatting>
  <conditionalFormatting sqref="T8:T12">
    <cfRule type="cellIs" dxfId="1534" priority="11" operator="equal">
      <formula>0</formula>
    </cfRule>
  </conditionalFormatting>
  <conditionalFormatting sqref="N8:N12">
    <cfRule type="cellIs" dxfId="1533" priority="10" operator="equal">
      <formula>0</formula>
    </cfRule>
  </conditionalFormatting>
  <conditionalFormatting sqref="K8:K12">
    <cfRule type="cellIs" dxfId="1532" priority="9" operator="equal">
      <formula>0</formula>
    </cfRule>
  </conditionalFormatting>
  <conditionalFormatting sqref="I8:I12">
    <cfRule type="cellIs" dxfId="1531" priority="8" operator="equal">
      <formula>0</formula>
    </cfRule>
  </conditionalFormatting>
  <conditionalFormatting sqref="W8:W12">
    <cfRule type="cellIs" dxfId="1530" priority="7" operator="equal">
      <formula>0</formula>
    </cfRule>
  </conditionalFormatting>
  <conditionalFormatting sqref="A7">
    <cfRule type="expression" dxfId="1529" priority="4" stopIfTrue="1">
      <formula>IF( $AH7 = 1, TRUE, FALSE )</formula>
    </cfRule>
    <cfRule type="expression" dxfId="1528" priority="5" stopIfTrue="1">
      <formula>IF( $AG7 = 1, TRUE, FALSE )</formula>
    </cfRule>
    <cfRule type="expression" dxfId="1527" priority="6" stopIfTrue="1">
      <formula>IF( $AF7 = 1, TRUE, FALSE )</formula>
    </cfRule>
  </conditionalFormatting>
  <conditionalFormatting sqref="A34:D34">
    <cfRule type="expression" dxfId="1526" priority="1" stopIfTrue="1">
      <formula>IF( $AH34 = 1, TRUE, FALSE )</formula>
    </cfRule>
    <cfRule type="expression" dxfId="1525" priority="2" stopIfTrue="1">
      <formula>IF( $AG34 = 1, TRUE, FALSE )</formula>
    </cfRule>
    <cfRule type="expression" dxfId="1524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F65"/>
  <sheetViews>
    <sheetView showGridLines="0" zoomScale="80" zoomScaleNormal="80" workbookViewId="0">
      <pane xSplit="4" ySplit="5" topLeftCell="E6" activePane="bottomRight" state="frozen"/>
      <selection activeCell="E6" sqref="E6"/>
      <selection pane="topRight" activeCell="E6" sqref="E6"/>
      <selection pane="bottomLeft" activeCell="E6" sqref="E6"/>
      <selection pane="bottomRight" activeCell="E6" sqref="E6"/>
    </sheetView>
  </sheetViews>
  <sheetFormatPr defaultColWidth="9.109375" defaultRowHeight="13.8" x14ac:dyDescent="0.25"/>
  <cols>
    <col min="1" max="1" width="2.6640625" style="153" customWidth="1"/>
    <col min="2" max="2" width="4.6640625" style="153" customWidth="1"/>
    <col min="3" max="3" width="42.88671875" style="153" customWidth="1"/>
    <col min="4" max="4" width="9.6640625" style="155" customWidth="1"/>
    <col min="5" max="5" width="14" style="155" customWidth="1"/>
    <col min="6" max="16384" width="9.109375" style="153"/>
  </cols>
  <sheetData>
    <row r="1" spans="1:6" ht="18" x14ac:dyDescent="0.25">
      <c r="A1" s="153" t="s">
        <v>592</v>
      </c>
      <c r="C1" s="154"/>
    </row>
    <row r="3" spans="1:6" x14ac:dyDescent="0.25">
      <c r="E3" s="165">
        <v>43465</v>
      </c>
    </row>
    <row r="5" spans="1:6" s="156" customFormat="1" ht="27.6" x14ac:dyDescent="0.25">
      <c r="C5" s="157" t="s">
        <v>212</v>
      </c>
      <c r="D5" s="158" t="s">
        <v>593</v>
      </c>
      <c r="E5" s="159" t="s">
        <v>594</v>
      </c>
    </row>
    <row r="6" spans="1:6" x14ac:dyDescent="0.25">
      <c r="E6" s="160"/>
    </row>
    <row r="7" spans="1:6" s="161" customFormat="1" x14ac:dyDescent="0.25">
      <c r="B7" s="322">
        <v>1</v>
      </c>
      <c r="C7" s="323" t="s">
        <v>217</v>
      </c>
      <c r="D7" s="324" t="s">
        <v>218</v>
      </c>
      <c r="E7" s="325" t="s">
        <v>204</v>
      </c>
      <c r="F7" s="317">
        <v>0.76524685382381419</v>
      </c>
    </row>
    <row r="8" spans="1:6" s="161" customFormat="1" x14ac:dyDescent="0.25">
      <c r="B8" s="322">
        <v>2</v>
      </c>
      <c r="C8" s="323" t="s">
        <v>219</v>
      </c>
      <c r="D8" s="324" t="s">
        <v>220</v>
      </c>
      <c r="E8" s="325" t="s">
        <v>203</v>
      </c>
      <c r="F8" s="317">
        <v>0.88621159082069223</v>
      </c>
    </row>
    <row r="9" spans="1:6" s="161" customFormat="1" x14ac:dyDescent="0.25">
      <c r="B9" s="322">
        <v>3</v>
      </c>
      <c r="C9" s="323" t="s">
        <v>225</v>
      </c>
      <c r="D9" s="324" t="s">
        <v>226</v>
      </c>
      <c r="E9" s="325" t="s">
        <v>203</v>
      </c>
      <c r="F9" s="317">
        <v>1</v>
      </c>
    </row>
    <row r="10" spans="1:6" s="161" customFormat="1" x14ac:dyDescent="0.25">
      <c r="B10" s="322">
        <v>4</v>
      </c>
      <c r="C10" s="323" t="s">
        <v>222</v>
      </c>
      <c r="D10" s="324" t="s">
        <v>223</v>
      </c>
      <c r="E10" s="325" t="s">
        <v>203</v>
      </c>
      <c r="F10" s="317">
        <v>0.95201648770108205</v>
      </c>
    </row>
    <row r="11" spans="1:6" s="161" customFormat="1" x14ac:dyDescent="0.25">
      <c r="B11" s="322">
        <v>5</v>
      </c>
      <c r="C11" s="323" t="s">
        <v>233</v>
      </c>
      <c r="D11" s="324" t="s">
        <v>234</v>
      </c>
      <c r="E11" s="325" t="s">
        <v>204</v>
      </c>
      <c r="F11" s="317">
        <v>0.69136071128796595</v>
      </c>
    </row>
    <row r="12" spans="1:6" s="161" customFormat="1" x14ac:dyDescent="0.25">
      <c r="B12" s="322">
        <v>6</v>
      </c>
      <c r="C12" s="323" t="s">
        <v>238</v>
      </c>
      <c r="D12" s="324" t="s">
        <v>239</v>
      </c>
      <c r="E12" s="325" t="s">
        <v>203</v>
      </c>
      <c r="F12" s="317">
        <v>0.99109013007351743</v>
      </c>
    </row>
    <row r="13" spans="1:6" s="161" customFormat="1" x14ac:dyDescent="0.25">
      <c r="B13" s="322">
        <v>7</v>
      </c>
      <c r="C13" s="323" t="s">
        <v>245</v>
      </c>
      <c r="D13" s="324" t="s">
        <v>246</v>
      </c>
      <c r="E13" s="325" t="s">
        <v>203</v>
      </c>
      <c r="F13" s="317">
        <v>0.93619788356916167</v>
      </c>
    </row>
    <row r="14" spans="1:6" s="161" customFormat="1" x14ac:dyDescent="0.25">
      <c r="B14" s="322">
        <v>8</v>
      </c>
      <c r="C14" s="323" t="s">
        <v>249</v>
      </c>
      <c r="D14" s="324" t="s">
        <v>250</v>
      </c>
      <c r="E14" s="325" t="s">
        <v>204</v>
      </c>
      <c r="F14" s="317">
        <v>0.58541883086221558</v>
      </c>
    </row>
    <row r="15" spans="1:6" s="161" customFormat="1" x14ac:dyDescent="0.25">
      <c r="B15" s="322">
        <v>9</v>
      </c>
      <c r="C15" s="323" t="s">
        <v>256</v>
      </c>
      <c r="D15" s="324" t="s">
        <v>257</v>
      </c>
      <c r="E15" s="325" t="s">
        <v>203</v>
      </c>
      <c r="F15" s="317">
        <v>0.89220922173753514</v>
      </c>
    </row>
    <row r="16" spans="1:6" s="161" customFormat="1" x14ac:dyDescent="0.25">
      <c r="B16" s="322">
        <v>10</v>
      </c>
      <c r="C16" s="323" t="s">
        <v>227</v>
      </c>
      <c r="D16" s="324" t="s">
        <v>228</v>
      </c>
      <c r="E16" s="325" t="s">
        <v>203</v>
      </c>
      <c r="F16" s="317">
        <v>0.8352930267062314</v>
      </c>
    </row>
    <row r="17" spans="2:6" s="161" customFormat="1" x14ac:dyDescent="0.25">
      <c r="B17" s="322">
        <v>11</v>
      </c>
      <c r="C17" s="323" t="s">
        <v>258</v>
      </c>
      <c r="D17" s="324" t="s">
        <v>194</v>
      </c>
      <c r="E17" s="325" t="s">
        <v>203</v>
      </c>
      <c r="F17" s="317">
        <v>0.81665445234489309</v>
      </c>
    </row>
    <row r="18" spans="2:6" s="161" customFormat="1" x14ac:dyDescent="0.25">
      <c r="B18" s="322">
        <v>12</v>
      </c>
      <c r="C18" s="323" t="s">
        <v>261</v>
      </c>
      <c r="D18" s="324" t="s">
        <v>262</v>
      </c>
      <c r="E18" s="325" t="s">
        <v>204</v>
      </c>
      <c r="F18" s="317">
        <v>0.76827050264550267</v>
      </c>
    </row>
    <row r="19" spans="2:6" s="161" customFormat="1" x14ac:dyDescent="0.25">
      <c r="B19" s="322">
        <v>13</v>
      </c>
      <c r="C19" s="323" t="s">
        <v>263</v>
      </c>
      <c r="D19" s="324" t="s">
        <v>264</v>
      </c>
      <c r="E19" s="325" t="s">
        <v>203</v>
      </c>
      <c r="F19" s="317">
        <v>0.9443739938290423</v>
      </c>
    </row>
    <row r="20" spans="2:6" s="161" customFormat="1" x14ac:dyDescent="0.25">
      <c r="B20" s="322">
        <v>14</v>
      </c>
      <c r="C20" s="323" t="s">
        <v>265</v>
      </c>
      <c r="D20" s="324" t="s">
        <v>266</v>
      </c>
      <c r="E20" s="325" t="s">
        <v>203</v>
      </c>
      <c r="F20" s="317">
        <v>1</v>
      </c>
    </row>
    <row r="21" spans="2:6" s="161" customFormat="1" x14ac:dyDescent="0.25">
      <c r="B21" s="322">
        <v>15</v>
      </c>
      <c r="C21" s="323" t="s">
        <v>328</v>
      </c>
      <c r="D21" s="324" t="s">
        <v>331</v>
      </c>
      <c r="E21" s="325" t="s">
        <v>203</v>
      </c>
      <c r="F21" s="317">
        <v>1</v>
      </c>
    </row>
    <row r="22" spans="2:6" s="161" customFormat="1" x14ac:dyDescent="0.25">
      <c r="B22" s="322">
        <v>16</v>
      </c>
      <c r="C22" s="323" t="s">
        <v>267</v>
      </c>
      <c r="D22" s="324" t="s">
        <v>268</v>
      </c>
      <c r="E22" s="325" t="s">
        <v>203</v>
      </c>
      <c r="F22" s="317">
        <v>0.9275423258872395</v>
      </c>
    </row>
    <row r="23" spans="2:6" s="161" customFormat="1" x14ac:dyDescent="0.25">
      <c r="B23" s="322">
        <v>17</v>
      </c>
      <c r="C23" s="323" t="s">
        <v>230</v>
      </c>
      <c r="D23" s="324" t="s">
        <v>231</v>
      </c>
      <c r="E23" s="325" t="s">
        <v>203</v>
      </c>
      <c r="F23" s="317">
        <v>1</v>
      </c>
    </row>
    <row r="24" spans="2:6" s="161" customFormat="1" x14ac:dyDescent="0.25">
      <c r="B24" s="322">
        <v>18</v>
      </c>
      <c r="C24" s="323" t="s">
        <v>235</v>
      </c>
      <c r="D24" s="324" t="s">
        <v>236</v>
      </c>
      <c r="E24" s="325" t="s">
        <v>203</v>
      </c>
      <c r="F24" s="317">
        <v>0.93038262132394411</v>
      </c>
    </row>
    <row r="25" spans="2:6" s="161" customFormat="1" x14ac:dyDescent="0.25">
      <c r="B25" s="322">
        <v>19</v>
      </c>
      <c r="C25" s="323" t="s">
        <v>269</v>
      </c>
      <c r="D25" s="324" t="s">
        <v>270</v>
      </c>
      <c r="E25" s="325" t="s">
        <v>204</v>
      </c>
      <c r="F25" s="317">
        <v>0.61466916250229808</v>
      </c>
    </row>
    <row r="26" spans="2:6" s="161" customFormat="1" x14ac:dyDescent="0.25">
      <c r="B26" s="322">
        <v>20</v>
      </c>
      <c r="C26" s="323" t="s">
        <v>275</v>
      </c>
      <c r="D26" s="324" t="s">
        <v>276</v>
      </c>
      <c r="E26" s="325" t="s">
        <v>203</v>
      </c>
      <c r="F26" s="317">
        <v>0.97581309437635722</v>
      </c>
    </row>
    <row r="27" spans="2:6" s="161" customFormat="1" x14ac:dyDescent="0.25">
      <c r="B27" s="322">
        <v>21</v>
      </c>
      <c r="C27" s="323" t="s">
        <v>279</v>
      </c>
      <c r="D27" s="324" t="s">
        <v>280</v>
      </c>
      <c r="E27" s="325" t="s">
        <v>204</v>
      </c>
      <c r="F27" s="317">
        <v>0.45539375571722057</v>
      </c>
    </row>
    <row r="28" spans="2:6" s="161" customFormat="1" x14ac:dyDescent="0.25">
      <c r="B28" s="322">
        <v>22</v>
      </c>
      <c r="C28" s="323" t="s">
        <v>283</v>
      </c>
      <c r="D28" s="324" t="s">
        <v>284</v>
      </c>
      <c r="E28" s="325" t="s">
        <v>203</v>
      </c>
      <c r="F28" s="317">
        <v>0.97989049867815681</v>
      </c>
    </row>
    <row r="29" spans="2:6" s="161" customFormat="1" x14ac:dyDescent="0.25">
      <c r="B29" s="322">
        <v>23</v>
      </c>
      <c r="C29" s="323" t="s">
        <v>271</v>
      </c>
      <c r="D29" s="324" t="s">
        <v>272</v>
      </c>
      <c r="E29" s="325" t="s">
        <v>204</v>
      </c>
      <c r="F29" s="317">
        <v>0.57092590128089005</v>
      </c>
    </row>
    <row r="30" spans="2:6" s="161" customFormat="1" x14ac:dyDescent="0.25">
      <c r="B30" s="322">
        <v>24</v>
      </c>
      <c r="C30" s="323" t="s">
        <v>308</v>
      </c>
      <c r="D30" s="324" t="s">
        <v>461</v>
      </c>
      <c r="E30" s="325" t="s">
        <v>203</v>
      </c>
      <c r="F30" s="317">
        <v>0.82291018184487918</v>
      </c>
    </row>
    <row r="31" spans="2:6" s="161" customFormat="1" x14ac:dyDescent="0.25">
      <c r="B31" s="322">
        <v>25</v>
      </c>
      <c r="C31" s="323" t="s">
        <v>240</v>
      </c>
      <c r="D31" s="324" t="s">
        <v>241</v>
      </c>
      <c r="E31" s="325" t="s">
        <v>204</v>
      </c>
      <c r="F31" s="317">
        <v>0.51574704441572972</v>
      </c>
    </row>
    <row r="32" spans="2:6" s="161" customFormat="1" x14ac:dyDescent="0.25">
      <c r="B32" s="322">
        <v>26</v>
      </c>
      <c r="C32" s="323" t="s">
        <v>273</v>
      </c>
      <c r="D32" s="324" t="s">
        <v>274</v>
      </c>
      <c r="E32" s="325" t="s">
        <v>203</v>
      </c>
      <c r="F32" s="317">
        <v>0.88342505962208773</v>
      </c>
    </row>
    <row r="33" spans="2:6" s="161" customFormat="1" x14ac:dyDescent="0.25">
      <c r="B33" s="322">
        <v>27</v>
      </c>
      <c r="C33" s="323" t="s">
        <v>297</v>
      </c>
      <c r="D33" s="324" t="s">
        <v>298</v>
      </c>
      <c r="E33" s="325" t="s">
        <v>203</v>
      </c>
      <c r="F33" s="317">
        <v>0.99916164337740787</v>
      </c>
    </row>
    <row r="34" spans="2:6" s="161" customFormat="1" x14ac:dyDescent="0.25">
      <c r="B34" s="322">
        <v>28</v>
      </c>
      <c r="C34" s="323" t="s">
        <v>277</v>
      </c>
      <c r="D34" s="324" t="s">
        <v>278</v>
      </c>
      <c r="E34" s="325" t="s">
        <v>203</v>
      </c>
      <c r="F34" s="317">
        <v>0.90286176804421048</v>
      </c>
    </row>
    <row r="35" spans="2:6" s="161" customFormat="1" x14ac:dyDescent="0.25">
      <c r="B35" s="322">
        <v>29</v>
      </c>
      <c r="C35" s="323" t="s">
        <v>299</v>
      </c>
      <c r="D35" s="324" t="s">
        <v>300</v>
      </c>
      <c r="E35" s="325" t="s">
        <v>203</v>
      </c>
      <c r="F35" s="317">
        <v>0.84215331712234287</v>
      </c>
    </row>
    <row r="36" spans="2:6" s="161" customFormat="1" x14ac:dyDescent="0.25">
      <c r="B36" s="322">
        <v>30</v>
      </c>
      <c r="C36" s="323" t="s">
        <v>301</v>
      </c>
      <c r="D36" s="324" t="s">
        <v>302</v>
      </c>
      <c r="E36" s="325" t="s">
        <v>203</v>
      </c>
      <c r="F36" s="317">
        <v>1</v>
      </c>
    </row>
    <row r="37" spans="2:6" s="161" customFormat="1" x14ac:dyDescent="0.25">
      <c r="B37" s="322">
        <v>31</v>
      </c>
      <c r="C37" s="323" t="s">
        <v>281</v>
      </c>
      <c r="D37" s="324" t="s">
        <v>282</v>
      </c>
      <c r="E37" s="325" t="s">
        <v>203</v>
      </c>
      <c r="F37" s="317">
        <v>0.99440229453897766</v>
      </c>
    </row>
    <row r="38" spans="2:6" s="161" customFormat="1" x14ac:dyDescent="0.25">
      <c r="B38" s="322">
        <v>32</v>
      </c>
      <c r="C38" s="323" t="s">
        <v>303</v>
      </c>
      <c r="D38" s="324" t="s">
        <v>304</v>
      </c>
      <c r="E38" s="325" t="s">
        <v>203</v>
      </c>
      <c r="F38" s="317">
        <v>1</v>
      </c>
    </row>
    <row r="39" spans="2:6" s="161" customFormat="1" x14ac:dyDescent="0.25">
      <c r="B39" s="322">
        <v>33</v>
      </c>
      <c r="C39" s="323" t="s">
        <v>285</v>
      </c>
      <c r="D39" s="324" t="s">
        <v>286</v>
      </c>
      <c r="E39" s="325" t="s">
        <v>203</v>
      </c>
      <c r="F39" s="317">
        <v>1</v>
      </c>
    </row>
    <row r="40" spans="2:6" s="161" customFormat="1" x14ac:dyDescent="0.25">
      <c r="B40" s="322">
        <v>34</v>
      </c>
      <c r="C40" s="323" t="s">
        <v>243</v>
      </c>
      <c r="D40" s="324" t="s">
        <v>244</v>
      </c>
      <c r="E40" s="325" t="s">
        <v>203</v>
      </c>
      <c r="F40" s="317">
        <v>0.9916812609457093</v>
      </c>
    </row>
    <row r="41" spans="2:6" s="161" customFormat="1" x14ac:dyDescent="0.25">
      <c r="B41" s="322">
        <v>35</v>
      </c>
      <c r="C41" s="323" t="s">
        <v>289</v>
      </c>
      <c r="D41" s="324" t="s">
        <v>290</v>
      </c>
      <c r="E41" s="325" t="s">
        <v>204</v>
      </c>
      <c r="F41" s="317">
        <v>0.68633896659753779</v>
      </c>
    </row>
    <row r="42" spans="2:6" s="161" customFormat="1" x14ac:dyDescent="0.25">
      <c r="B42" s="322">
        <v>36</v>
      </c>
      <c r="C42" s="323" t="s">
        <v>291</v>
      </c>
      <c r="D42" s="324" t="s">
        <v>292</v>
      </c>
      <c r="E42" s="325" t="s">
        <v>203</v>
      </c>
      <c r="F42" s="317">
        <v>0.81662392724034438</v>
      </c>
    </row>
    <row r="43" spans="2:6" s="161" customFormat="1" x14ac:dyDescent="0.25">
      <c r="B43" s="322">
        <v>37</v>
      </c>
      <c r="C43" s="323" t="s">
        <v>293</v>
      </c>
      <c r="D43" s="324" t="s">
        <v>294</v>
      </c>
      <c r="E43" s="325" t="s">
        <v>203</v>
      </c>
      <c r="F43" s="317">
        <v>0.86242879381425663</v>
      </c>
    </row>
    <row r="44" spans="2:6" s="161" customFormat="1" x14ac:dyDescent="0.25">
      <c r="B44" s="322">
        <v>38</v>
      </c>
      <c r="C44" s="323" t="s">
        <v>295</v>
      </c>
      <c r="D44" s="324" t="s">
        <v>296</v>
      </c>
      <c r="E44" s="325" t="s">
        <v>203</v>
      </c>
      <c r="F44" s="317">
        <v>0.96148809982284522</v>
      </c>
    </row>
    <row r="45" spans="2:6" s="161" customFormat="1" x14ac:dyDescent="0.25">
      <c r="B45" s="322">
        <v>39</v>
      </c>
      <c r="C45" s="323" t="s">
        <v>595</v>
      </c>
      <c r="D45" s="324" t="s">
        <v>248</v>
      </c>
      <c r="E45" s="325" t="s">
        <v>203</v>
      </c>
      <c r="F45" s="317">
        <v>0.97692960287730257</v>
      </c>
    </row>
    <row r="46" spans="2:6" s="161" customFormat="1" x14ac:dyDescent="0.25">
      <c r="B46" s="322">
        <v>40</v>
      </c>
      <c r="C46" s="323" t="s">
        <v>251</v>
      </c>
      <c r="D46" s="324" t="s">
        <v>252</v>
      </c>
      <c r="E46" s="325" t="s">
        <v>203</v>
      </c>
      <c r="F46" s="317">
        <v>0.99316000000000004</v>
      </c>
    </row>
    <row r="47" spans="2:6" s="161" customFormat="1" x14ac:dyDescent="0.25">
      <c r="B47" s="322"/>
      <c r="C47" s="323"/>
      <c r="D47" s="324"/>
      <c r="E47" s="325"/>
      <c r="F47" s="317"/>
    </row>
    <row r="48" spans="2:6" s="161" customFormat="1" x14ac:dyDescent="0.25">
      <c r="B48" s="322"/>
      <c r="C48" s="323"/>
      <c r="D48" s="324"/>
      <c r="E48" s="325"/>
      <c r="F48" s="317"/>
    </row>
    <row r="49" spans="2:6" s="161" customFormat="1" x14ac:dyDescent="0.25">
      <c r="B49" s="322"/>
      <c r="C49" s="323"/>
      <c r="D49" s="324"/>
      <c r="E49" s="325"/>
      <c r="F49" s="317"/>
    </row>
    <row r="50" spans="2:6" s="161" customFormat="1" x14ac:dyDescent="0.25">
      <c r="B50" s="322"/>
      <c r="C50" s="323"/>
      <c r="D50" s="324"/>
      <c r="E50" s="325"/>
      <c r="F50" s="317"/>
    </row>
    <row r="51" spans="2:6" s="161" customFormat="1" x14ac:dyDescent="0.25">
      <c r="B51" s="322"/>
      <c r="C51" s="323"/>
      <c r="D51" s="324"/>
      <c r="E51" s="325"/>
      <c r="F51" s="317"/>
    </row>
    <row r="52" spans="2:6" s="161" customFormat="1" x14ac:dyDescent="0.25">
      <c r="B52" s="322"/>
      <c r="C52" s="323"/>
      <c r="D52" s="324"/>
      <c r="E52" s="325"/>
      <c r="F52" s="317"/>
    </row>
    <row r="53" spans="2:6" s="161" customFormat="1" x14ac:dyDescent="0.25">
      <c r="B53" s="322">
        <v>1</v>
      </c>
      <c r="C53" s="323" t="s">
        <v>596</v>
      </c>
      <c r="D53" s="324" t="s">
        <v>255</v>
      </c>
      <c r="E53" s="325" t="s">
        <v>203</v>
      </c>
      <c r="F53" s="317">
        <v>0.9072583113322833</v>
      </c>
    </row>
    <row r="54" spans="2:6" s="161" customFormat="1" x14ac:dyDescent="0.25">
      <c r="B54" s="322">
        <v>2</v>
      </c>
      <c r="C54" s="323" t="s">
        <v>597</v>
      </c>
      <c r="D54" s="324" t="s">
        <v>260</v>
      </c>
      <c r="E54" s="325" t="s">
        <v>203</v>
      </c>
      <c r="F54" s="317">
        <v>0.9662790080186926</v>
      </c>
    </row>
    <row r="55" spans="2:6" s="161" customFormat="1" x14ac:dyDescent="0.25">
      <c r="B55" s="322">
        <v>3</v>
      </c>
      <c r="C55" s="323" t="s">
        <v>598</v>
      </c>
      <c r="D55" s="324" t="s">
        <v>288</v>
      </c>
      <c r="E55" s="325" t="s">
        <v>203</v>
      </c>
      <c r="F55" s="317">
        <v>1</v>
      </c>
    </row>
    <row r="56" spans="2:6" s="161" customFormat="1" x14ac:dyDescent="0.25">
      <c r="B56" s="322">
        <v>4</v>
      </c>
      <c r="C56" s="323" t="s">
        <v>599</v>
      </c>
      <c r="D56" s="324" t="s">
        <v>216</v>
      </c>
      <c r="E56" s="325" t="s">
        <v>204</v>
      </c>
      <c r="F56" s="317">
        <v>0.78704617687576606</v>
      </c>
    </row>
    <row r="57" spans="2:6" s="161" customFormat="1" x14ac:dyDescent="0.25">
      <c r="B57" s="322">
        <v>5</v>
      </c>
      <c r="C57" s="323" t="s">
        <v>600</v>
      </c>
      <c r="D57" s="324" t="s">
        <v>306</v>
      </c>
      <c r="E57" s="325" t="s">
        <v>203</v>
      </c>
      <c r="F57" s="317">
        <v>0.92185000000000006</v>
      </c>
    </row>
    <row r="58" spans="2:6" s="161" customFormat="1" x14ac:dyDescent="0.25">
      <c r="B58" s="322"/>
      <c r="C58" s="323"/>
      <c r="D58" s="324"/>
      <c r="E58" s="325"/>
      <c r="F58" s="317"/>
    </row>
    <row r="59" spans="2:6" s="161" customFormat="1" x14ac:dyDescent="0.25">
      <c r="B59" s="322"/>
      <c r="C59" s="323"/>
      <c r="D59" s="324"/>
      <c r="E59" s="325"/>
      <c r="F59" s="317"/>
    </row>
    <row r="60" spans="2:6" s="161" customFormat="1" x14ac:dyDescent="0.25">
      <c r="B60" s="322"/>
      <c r="C60" s="323"/>
      <c r="D60" s="324"/>
      <c r="E60" s="325"/>
      <c r="F60" s="317"/>
    </row>
    <row r="61" spans="2:6" s="161" customFormat="1" x14ac:dyDescent="0.25">
      <c r="B61" s="322"/>
      <c r="C61" s="323"/>
      <c r="D61" s="324"/>
      <c r="E61" s="325"/>
      <c r="F61" s="317"/>
    </row>
    <row r="62" spans="2:6" s="161" customFormat="1" x14ac:dyDescent="0.25">
      <c r="B62" s="162"/>
      <c r="D62" s="163"/>
      <c r="E62" s="164"/>
      <c r="F62" s="317"/>
    </row>
    <row r="63" spans="2:6" s="161" customFormat="1" x14ac:dyDescent="0.25">
      <c r="B63" s="162"/>
      <c r="D63" s="163"/>
      <c r="E63" s="164"/>
      <c r="F63" s="317"/>
    </row>
    <row r="64" spans="2:6" s="161" customFormat="1" x14ac:dyDescent="0.25">
      <c r="B64" s="162"/>
      <c r="D64" s="163"/>
      <c r="E64" s="164"/>
      <c r="F64" s="317"/>
    </row>
    <row r="65" spans="2:6" s="161" customFormat="1" x14ac:dyDescent="0.25">
      <c r="B65" s="162"/>
      <c r="D65" s="163"/>
      <c r="E65" s="164"/>
      <c r="F65" s="317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99"/>
  </sheetPr>
  <dimension ref="A1:F65"/>
  <sheetViews>
    <sheetView showGridLines="0" zoomScale="80" zoomScaleNormal="80" workbookViewId="0">
      <pane xSplit="4" ySplit="5" topLeftCell="E6" activePane="bottomRight" state="frozen"/>
      <selection activeCell="E6" sqref="E6"/>
      <selection pane="topRight" activeCell="E6" sqref="E6"/>
      <selection pane="bottomLeft" activeCell="E6" sqref="E6"/>
      <selection pane="bottomRight" activeCell="E6" sqref="E6"/>
    </sheetView>
  </sheetViews>
  <sheetFormatPr defaultColWidth="9.109375" defaultRowHeight="13.8" x14ac:dyDescent="0.25"/>
  <cols>
    <col min="1" max="1" width="2.6640625" style="153" customWidth="1"/>
    <col min="2" max="2" width="4.6640625" style="153" customWidth="1"/>
    <col min="3" max="3" width="42.88671875" style="153" customWidth="1"/>
    <col min="4" max="4" width="9.6640625" style="155" customWidth="1"/>
    <col min="5" max="5" width="14" style="155" customWidth="1"/>
    <col min="6" max="16384" width="9.109375" style="153"/>
  </cols>
  <sheetData>
    <row r="1" spans="1:6" ht="18" x14ac:dyDescent="0.25">
      <c r="A1" s="153" t="s">
        <v>592</v>
      </c>
      <c r="C1" s="154"/>
    </row>
    <row r="3" spans="1:6" x14ac:dyDescent="0.25">
      <c r="E3" s="165">
        <v>43100</v>
      </c>
    </row>
    <row r="5" spans="1:6" s="156" customFormat="1" ht="27.6" x14ac:dyDescent="0.25">
      <c r="C5" s="157" t="s">
        <v>212</v>
      </c>
      <c r="D5" s="158" t="s">
        <v>593</v>
      </c>
      <c r="E5" s="159" t="s">
        <v>594</v>
      </c>
    </row>
    <row r="6" spans="1:6" x14ac:dyDescent="0.25">
      <c r="E6" s="160"/>
    </row>
    <row r="7" spans="1:6" s="161" customFormat="1" x14ac:dyDescent="0.25">
      <c r="B7" s="322">
        <v>1</v>
      </c>
      <c r="C7" s="323" t="s">
        <v>217</v>
      </c>
      <c r="D7" s="324" t="s">
        <v>218</v>
      </c>
      <c r="E7" s="325" t="s">
        <v>204</v>
      </c>
      <c r="F7" s="317">
        <v>0.76507874015748034</v>
      </c>
    </row>
    <row r="8" spans="1:6" s="161" customFormat="1" x14ac:dyDescent="0.25">
      <c r="B8" s="322">
        <v>2</v>
      </c>
      <c r="C8" s="323" t="s">
        <v>219</v>
      </c>
      <c r="D8" s="324" t="s">
        <v>220</v>
      </c>
      <c r="E8" s="325" t="s">
        <v>203</v>
      </c>
      <c r="F8" s="317">
        <v>0.88780501557676317</v>
      </c>
    </row>
    <row r="9" spans="1:6" s="161" customFormat="1" x14ac:dyDescent="0.25">
      <c r="B9" s="322">
        <v>3</v>
      </c>
      <c r="C9" s="323" t="s">
        <v>225</v>
      </c>
      <c r="D9" s="324" t="s">
        <v>226</v>
      </c>
      <c r="E9" s="325" t="s">
        <v>203</v>
      </c>
      <c r="F9" s="317">
        <v>1</v>
      </c>
    </row>
    <row r="10" spans="1:6" s="161" customFormat="1" x14ac:dyDescent="0.25">
      <c r="B10" s="322">
        <v>4</v>
      </c>
      <c r="C10" s="323" t="s">
        <v>222</v>
      </c>
      <c r="D10" s="324" t="s">
        <v>223</v>
      </c>
      <c r="E10" s="325" t="s">
        <v>203</v>
      </c>
      <c r="F10" s="317">
        <v>0.95447333579487414</v>
      </c>
    </row>
    <row r="11" spans="1:6" s="161" customFormat="1" x14ac:dyDescent="0.25">
      <c r="B11" s="322">
        <v>5</v>
      </c>
      <c r="C11" s="323" t="s">
        <v>233</v>
      </c>
      <c r="D11" s="324" t="s">
        <v>234</v>
      </c>
      <c r="E11" s="325" t="s">
        <v>204</v>
      </c>
      <c r="F11" s="317">
        <v>0.67604433077578863</v>
      </c>
    </row>
    <row r="12" spans="1:6" s="161" customFormat="1" x14ac:dyDescent="0.25">
      <c r="B12" s="322">
        <v>6</v>
      </c>
      <c r="C12" s="323" t="s">
        <v>238</v>
      </c>
      <c r="D12" s="324" t="s">
        <v>239</v>
      </c>
      <c r="E12" s="325" t="s">
        <v>203</v>
      </c>
      <c r="F12" s="317">
        <v>0.98945261528574735</v>
      </c>
    </row>
    <row r="13" spans="1:6" s="161" customFormat="1" x14ac:dyDescent="0.25">
      <c r="B13" s="322">
        <v>7</v>
      </c>
      <c r="C13" s="323" t="s">
        <v>245</v>
      </c>
      <c r="D13" s="324" t="s">
        <v>246</v>
      </c>
      <c r="E13" s="325" t="s">
        <v>203</v>
      </c>
      <c r="F13" s="317">
        <v>0.95101880159822139</v>
      </c>
    </row>
    <row r="14" spans="1:6" s="161" customFormat="1" x14ac:dyDescent="0.25">
      <c r="B14" s="322">
        <v>8</v>
      </c>
      <c r="C14" s="323" t="s">
        <v>249</v>
      </c>
      <c r="D14" s="324" t="s">
        <v>250</v>
      </c>
      <c r="E14" s="325" t="s">
        <v>204</v>
      </c>
      <c r="F14" s="317">
        <v>0.58622816961747914</v>
      </c>
    </row>
    <row r="15" spans="1:6" s="161" customFormat="1" x14ac:dyDescent="0.25">
      <c r="B15" s="322">
        <v>9</v>
      </c>
      <c r="C15" s="323" t="s">
        <v>256</v>
      </c>
      <c r="D15" s="324" t="s">
        <v>257</v>
      </c>
      <c r="E15" s="325" t="s">
        <v>203</v>
      </c>
      <c r="F15" s="317">
        <v>0.91301518438177875</v>
      </c>
    </row>
    <row r="16" spans="1:6" s="161" customFormat="1" x14ac:dyDescent="0.25">
      <c r="B16" s="322">
        <v>10</v>
      </c>
      <c r="C16" s="323" t="s">
        <v>227</v>
      </c>
      <c r="D16" s="324" t="s">
        <v>228</v>
      </c>
      <c r="E16" s="325" t="s">
        <v>203</v>
      </c>
      <c r="F16" s="317">
        <v>0.8738749974018416</v>
      </c>
    </row>
    <row r="17" spans="2:6" s="161" customFormat="1" x14ac:dyDescent="0.25">
      <c r="B17" s="322">
        <v>11</v>
      </c>
      <c r="C17" s="323" t="s">
        <v>258</v>
      </c>
      <c r="D17" s="324" t="s">
        <v>194</v>
      </c>
      <c r="E17" s="325" t="s">
        <v>204</v>
      </c>
      <c r="F17" s="317">
        <v>0.71946631853785892</v>
      </c>
    </row>
    <row r="18" spans="2:6" s="161" customFormat="1" x14ac:dyDescent="0.25">
      <c r="B18" s="322">
        <v>12</v>
      </c>
      <c r="C18" s="323" t="s">
        <v>261</v>
      </c>
      <c r="D18" s="324" t="s">
        <v>262</v>
      </c>
      <c r="E18" s="325" t="s">
        <v>204</v>
      </c>
      <c r="F18" s="317">
        <v>0.77694198477803778</v>
      </c>
    </row>
    <row r="19" spans="2:6" s="161" customFormat="1" x14ac:dyDescent="0.25">
      <c r="B19" s="322">
        <v>13</v>
      </c>
      <c r="C19" s="323" t="s">
        <v>263</v>
      </c>
      <c r="D19" s="324" t="s">
        <v>264</v>
      </c>
      <c r="E19" s="325" t="s">
        <v>203</v>
      </c>
      <c r="F19" s="317">
        <v>0.86592369157590954</v>
      </c>
    </row>
    <row r="20" spans="2:6" s="161" customFormat="1" x14ac:dyDescent="0.25">
      <c r="B20" s="322">
        <v>14</v>
      </c>
      <c r="C20" s="323" t="s">
        <v>265</v>
      </c>
      <c r="D20" s="324" t="s">
        <v>266</v>
      </c>
      <c r="E20" s="325" t="s">
        <v>203</v>
      </c>
      <c r="F20" s="317">
        <v>1</v>
      </c>
    </row>
    <row r="21" spans="2:6" s="161" customFormat="1" x14ac:dyDescent="0.25">
      <c r="B21" s="322">
        <v>15</v>
      </c>
      <c r="C21" s="323" t="s">
        <v>328</v>
      </c>
      <c r="D21" s="324" t="s">
        <v>331</v>
      </c>
      <c r="E21" s="325" t="s">
        <v>203</v>
      </c>
      <c r="F21" s="317">
        <v>1</v>
      </c>
    </row>
    <row r="22" spans="2:6" s="161" customFormat="1" x14ac:dyDescent="0.25">
      <c r="B22" s="322">
        <v>16</v>
      </c>
      <c r="C22" s="323" t="s">
        <v>267</v>
      </c>
      <c r="D22" s="324" t="s">
        <v>268</v>
      </c>
      <c r="E22" s="325" t="s">
        <v>203</v>
      </c>
      <c r="F22" s="317">
        <v>0.92017324799678957</v>
      </c>
    </row>
    <row r="23" spans="2:6" s="161" customFormat="1" x14ac:dyDescent="0.25">
      <c r="B23" s="322">
        <v>17</v>
      </c>
      <c r="C23" s="323" t="s">
        <v>230</v>
      </c>
      <c r="D23" s="324" t="s">
        <v>231</v>
      </c>
      <c r="E23" s="325" t="s">
        <v>203</v>
      </c>
      <c r="F23" s="317">
        <v>1</v>
      </c>
    </row>
    <row r="24" spans="2:6" s="161" customFormat="1" x14ac:dyDescent="0.25">
      <c r="B24" s="322">
        <v>18</v>
      </c>
      <c r="C24" s="323" t="s">
        <v>235</v>
      </c>
      <c r="D24" s="324" t="s">
        <v>236</v>
      </c>
      <c r="E24" s="325" t="s">
        <v>203</v>
      </c>
      <c r="F24" s="317">
        <v>0.89029386754425666</v>
      </c>
    </row>
    <row r="25" spans="2:6" s="161" customFormat="1" x14ac:dyDescent="0.25">
      <c r="B25" s="322">
        <v>19</v>
      </c>
      <c r="C25" s="323" t="s">
        <v>269</v>
      </c>
      <c r="D25" s="324" t="s">
        <v>270</v>
      </c>
      <c r="E25" s="325" t="s">
        <v>204</v>
      </c>
      <c r="F25" s="317">
        <v>0.60194515852613539</v>
      </c>
    </row>
    <row r="26" spans="2:6" s="161" customFormat="1" x14ac:dyDescent="0.25">
      <c r="B26" s="322">
        <v>20</v>
      </c>
      <c r="C26" s="323" t="s">
        <v>275</v>
      </c>
      <c r="D26" s="324" t="s">
        <v>276</v>
      </c>
      <c r="E26" s="325" t="s">
        <v>203</v>
      </c>
      <c r="F26" s="317">
        <v>0.88162907920581202</v>
      </c>
    </row>
    <row r="27" spans="2:6" s="161" customFormat="1" x14ac:dyDescent="0.25">
      <c r="B27" s="322">
        <v>21</v>
      </c>
      <c r="C27" s="323" t="s">
        <v>279</v>
      </c>
      <c r="D27" s="324" t="s">
        <v>280</v>
      </c>
      <c r="E27" s="325" t="s">
        <v>204</v>
      </c>
      <c r="F27" s="317">
        <v>0.47300476006249853</v>
      </c>
    </row>
    <row r="28" spans="2:6" s="161" customFormat="1" x14ac:dyDescent="0.25">
      <c r="B28" s="322">
        <v>22</v>
      </c>
      <c r="C28" s="323" t="s">
        <v>283</v>
      </c>
      <c r="D28" s="324" t="s">
        <v>284</v>
      </c>
      <c r="E28" s="325" t="s">
        <v>203</v>
      </c>
      <c r="F28" s="317">
        <v>0.99173421797216232</v>
      </c>
    </row>
    <row r="29" spans="2:6" s="161" customFormat="1" x14ac:dyDescent="0.25">
      <c r="B29" s="322">
        <v>23</v>
      </c>
      <c r="C29" s="323" t="s">
        <v>271</v>
      </c>
      <c r="D29" s="324" t="s">
        <v>272</v>
      </c>
      <c r="E29" s="325" t="s">
        <v>204</v>
      </c>
      <c r="F29" s="317">
        <v>0.57966797302336071</v>
      </c>
    </row>
    <row r="30" spans="2:6" s="161" customFormat="1" x14ac:dyDescent="0.25">
      <c r="B30" s="322">
        <v>24</v>
      </c>
      <c r="C30" s="323" t="s">
        <v>308</v>
      </c>
      <c r="D30" s="324" t="s">
        <v>461</v>
      </c>
      <c r="E30" s="325" t="s">
        <v>204</v>
      </c>
      <c r="F30" s="317">
        <v>0.7812176918491015</v>
      </c>
    </row>
    <row r="31" spans="2:6" s="161" customFormat="1" x14ac:dyDescent="0.25">
      <c r="B31" s="322">
        <v>25</v>
      </c>
      <c r="C31" s="323" t="s">
        <v>240</v>
      </c>
      <c r="D31" s="324" t="s">
        <v>241</v>
      </c>
      <c r="E31" s="325" t="s">
        <v>204</v>
      </c>
      <c r="F31" s="317">
        <v>0.51360053972829589</v>
      </c>
    </row>
    <row r="32" spans="2:6" s="161" customFormat="1" x14ac:dyDescent="0.25">
      <c r="B32" s="322">
        <v>26</v>
      </c>
      <c r="C32" s="323" t="s">
        <v>273</v>
      </c>
      <c r="D32" s="324" t="s">
        <v>274</v>
      </c>
      <c r="E32" s="325" t="s">
        <v>203</v>
      </c>
      <c r="F32" s="317">
        <v>0.87805146856229688</v>
      </c>
    </row>
    <row r="33" spans="2:6" s="161" customFormat="1" x14ac:dyDescent="0.25">
      <c r="B33" s="322">
        <v>27</v>
      </c>
      <c r="C33" s="323" t="s">
        <v>297</v>
      </c>
      <c r="D33" s="324" t="s">
        <v>298</v>
      </c>
      <c r="E33" s="325" t="s">
        <v>203</v>
      </c>
      <c r="F33" s="317">
        <v>0.99952295893849685</v>
      </c>
    </row>
    <row r="34" spans="2:6" s="161" customFormat="1" x14ac:dyDescent="0.25">
      <c r="B34" s="322">
        <v>28</v>
      </c>
      <c r="C34" s="323" t="s">
        <v>277</v>
      </c>
      <c r="D34" s="324" t="s">
        <v>278</v>
      </c>
      <c r="E34" s="325" t="s">
        <v>203</v>
      </c>
      <c r="F34" s="317">
        <v>0.88887608401279206</v>
      </c>
    </row>
    <row r="35" spans="2:6" s="161" customFormat="1" x14ac:dyDescent="0.25">
      <c r="B35" s="322">
        <v>29</v>
      </c>
      <c r="C35" s="323" t="s">
        <v>299</v>
      </c>
      <c r="D35" s="324" t="s">
        <v>300</v>
      </c>
      <c r="E35" s="325" t="s">
        <v>203</v>
      </c>
      <c r="F35" s="317">
        <v>0.84330816383755158</v>
      </c>
    </row>
    <row r="36" spans="2:6" s="161" customFormat="1" x14ac:dyDescent="0.25">
      <c r="B36" s="322">
        <v>30</v>
      </c>
      <c r="C36" s="323" t="s">
        <v>301</v>
      </c>
      <c r="D36" s="324" t="s">
        <v>302</v>
      </c>
      <c r="E36" s="325" t="s">
        <v>203</v>
      </c>
      <c r="F36" s="317">
        <v>1</v>
      </c>
    </row>
    <row r="37" spans="2:6" s="161" customFormat="1" x14ac:dyDescent="0.25">
      <c r="B37" s="322">
        <v>31</v>
      </c>
      <c r="C37" s="323" t="s">
        <v>281</v>
      </c>
      <c r="D37" s="324" t="s">
        <v>282</v>
      </c>
      <c r="E37" s="325" t="s">
        <v>203</v>
      </c>
      <c r="F37" s="317">
        <v>0.99263585427228107</v>
      </c>
    </row>
    <row r="38" spans="2:6" s="161" customFormat="1" x14ac:dyDescent="0.25">
      <c r="B38" s="322">
        <v>32</v>
      </c>
      <c r="C38" s="323" t="s">
        <v>303</v>
      </c>
      <c r="D38" s="324" t="s">
        <v>304</v>
      </c>
      <c r="E38" s="325" t="s">
        <v>203</v>
      </c>
      <c r="F38" s="317">
        <v>1</v>
      </c>
    </row>
    <row r="39" spans="2:6" s="161" customFormat="1" x14ac:dyDescent="0.25">
      <c r="B39" s="322">
        <v>33</v>
      </c>
      <c r="C39" s="323" t="s">
        <v>285</v>
      </c>
      <c r="D39" s="324" t="s">
        <v>286</v>
      </c>
      <c r="E39" s="325" t="s">
        <v>203</v>
      </c>
      <c r="F39" s="317">
        <v>1</v>
      </c>
    </row>
    <row r="40" spans="2:6" s="161" customFormat="1" x14ac:dyDescent="0.25">
      <c r="B40" s="322">
        <v>34</v>
      </c>
      <c r="C40" s="323" t="s">
        <v>243</v>
      </c>
      <c r="D40" s="324" t="s">
        <v>244</v>
      </c>
      <c r="E40" s="325" t="s">
        <v>203</v>
      </c>
      <c r="F40" s="317">
        <v>0.99720340413221153</v>
      </c>
    </row>
    <row r="41" spans="2:6" s="161" customFormat="1" x14ac:dyDescent="0.25">
      <c r="B41" s="322">
        <v>35</v>
      </c>
      <c r="C41" s="323" t="s">
        <v>289</v>
      </c>
      <c r="D41" s="324" t="s">
        <v>290</v>
      </c>
      <c r="E41" s="325" t="s">
        <v>204</v>
      </c>
      <c r="F41" s="317">
        <v>0.66846146642944082</v>
      </c>
    </row>
    <row r="42" spans="2:6" s="161" customFormat="1" x14ac:dyDescent="0.25">
      <c r="B42" s="322">
        <v>36</v>
      </c>
      <c r="C42" s="323" t="s">
        <v>347</v>
      </c>
      <c r="D42" s="324" t="s">
        <v>348</v>
      </c>
      <c r="E42" s="325" t="s">
        <v>203</v>
      </c>
      <c r="F42" s="317">
        <v>0.81317039329740115</v>
      </c>
    </row>
    <row r="43" spans="2:6" s="161" customFormat="1" x14ac:dyDescent="0.25">
      <c r="B43" s="322">
        <v>37</v>
      </c>
      <c r="C43" s="323" t="s">
        <v>291</v>
      </c>
      <c r="D43" s="324" t="s">
        <v>292</v>
      </c>
      <c r="E43" s="325" t="s">
        <v>204</v>
      </c>
      <c r="F43" s="317">
        <v>0.73605438826073821</v>
      </c>
    </row>
    <row r="44" spans="2:6" s="161" customFormat="1" x14ac:dyDescent="0.25">
      <c r="B44" s="322">
        <v>38</v>
      </c>
      <c r="C44" s="323" t="s">
        <v>293</v>
      </c>
      <c r="D44" s="324" t="s">
        <v>294</v>
      </c>
      <c r="E44" s="325" t="s">
        <v>203</v>
      </c>
      <c r="F44" s="317">
        <v>0.85753794874104772</v>
      </c>
    </row>
    <row r="45" spans="2:6" s="161" customFormat="1" x14ac:dyDescent="0.25">
      <c r="B45" s="322">
        <v>39</v>
      </c>
      <c r="C45" s="323" t="s">
        <v>295</v>
      </c>
      <c r="D45" s="324" t="s">
        <v>296</v>
      </c>
      <c r="E45" s="325" t="s">
        <v>203</v>
      </c>
      <c r="F45" s="317">
        <v>0.95917545696110795</v>
      </c>
    </row>
    <row r="46" spans="2:6" s="161" customFormat="1" x14ac:dyDescent="0.25">
      <c r="B46" s="322">
        <v>40</v>
      </c>
      <c r="C46" s="323" t="s">
        <v>345</v>
      </c>
      <c r="D46" s="324" t="s">
        <v>346</v>
      </c>
      <c r="E46" s="325" t="s">
        <v>203</v>
      </c>
      <c r="F46" s="317">
        <v>0.84594425656724326</v>
      </c>
    </row>
    <row r="47" spans="2:6" s="161" customFormat="1" x14ac:dyDescent="0.25">
      <c r="B47" s="322">
        <v>41</v>
      </c>
      <c r="C47" s="323" t="s">
        <v>595</v>
      </c>
      <c r="D47" s="324" t="s">
        <v>248</v>
      </c>
      <c r="E47" s="325" t="s">
        <v>203</v>
      </c>
      <c r="F47" s="317">
        <v>0.98266884031591772</v>
      </c>
    </row>
    <row r="48" spans="2:6" s="161" customFormat="1" x14ac:dyDescent="0.25">
      <c r="B48" s="322">
        <v>42</v>
      </c>
      <c r="C48" s="323" t="s">
        <v>251</v>
      </c>
      <c r="D48" s="324" t="s">
        <v>252</v>
      </c>
      <c r="E48" s="325" t="s">
        <v>203</v>
      </c>
      <c r="F48" s="317">
        <v>0.99316000000000004</v>
      </c>
    </row>
    <row r="49" spans="2:6" s="161" customFormat="1" x14ac:dyDescent="0.25">
      <c r="B49" s="322"/>
      <c r="C49" s="331"/>
      <c r="D49" s="332"/>
      <c r="E49" s="333"/>
      <c r="F49" s="334"/>
    </row>
    <row r="50" spans="2:6" s="161" customFormat="1" x14ac:dyDescent="0.25">
      <c r="B50" s="322"/>
      <c r="C50" s="335" t="s">
        <v>352</v>
      </c>
      <c r="D50" s="336" t="s">
        <v>353</v>
      </c>
      <c r="E50" s="337" t="s">
        <v>203</v>
      </c>
      <c r="F50" s="338">
        <v>0.92375922105651831</v>
      </c>
    </row>
    <row r="51" spans="2:6" s="161" customFormat="1" x14ac:dyDescent="0.25">
      <c r="B51" s="322"/>
      <c r="C51" s="339" t="s">
        <v>354</v>
      </c>
      <c r="D51" s="340" t="s">
        <v>355</v>
      </c>
      <c r="E51" s="341" t="s">
        <v>203</v>
      </c>
      <c r="F51" s="342">
        <v>1</v>
      </c>
    </row>
    <row r="52" spans="2:6" s="161" customFormat="1" x14ac:dyDescent="0.25">
      <c r="B52" s="322"/>
      <c r="C52" s="323"/>
      <c r="D52" s="324"/>
      <c r="E52" s="325"/>
      <c r="F52" s="317"/>
    </row>
    <row r="53" spans="2:6" s="161" customFormat="1" x14ac:dyDescent="0.25">
      <c r="B53" s="322">
        <v>1</v>
      </c>
      <c r="C53" s="323" t="s">
        <v>596</v>
      </c>
      <c r="D53" s="324" t="s">
        <v>255</v>
      </c>
      <c r="E53" s="325" t="s">
        <v>203</v>
      </c>
      <c r="F53" s="317">
        <v>0.90461810065077275</v>
      </c>
    </row>
    <row r="54" spans="2:6" s="161" customFormat="1" x14ac:dyDescent="0.25">
      <c r="B54" s="322">
        <v>2</v>
      </c>
      <c r="C54" s="323" t="s">
        <v>597</v>
      </c>
      <c r="D54" s="324" t="s">
        <v>260</v>
      </c>
      <c r="E54" s="325" t="s">
        <v>203</v>
      </c>
      <c r="F54" s="317">
        <v>0.82441928557485844</v>
      </c>
    </row>
    <row r="55" spans="2:6" s="161" customFormat="1" x14ac:dyDescent="0.25">
      <c r="B55" s="322">
        <v>3</v>
      </c>
      <c r="C55" s="323" t="s">
        <v>598</v>
      </c>
      <c r="D55" s="324" t="s">
        <v>288</v>
      </c>
      <c r="E55" s="325" t="s">
        <v>203</v>
      </c>
      <c r="F55" s="317">
        <v>1</v>
      </c>
    </row>
    <row r="56" spans="2:6" s="161" customFormat="1" x14ac:dyDescent="0.25">
      <c r="B56" s="322">
        <v>4</v>
      </c>
      <c r="C56" s="323" t="s">
        <v>599</v>
      </c>
      <c r="D56" s="324" t="s">
        <v>216</v>
      </c>
      <c r="E56" s="325" t="s">
        <v>204</v>
      </c>
      <c r="F56" s="317">
        <v>0.78762415750266057</v>
      </c>
    </row>
    <row r="57" spans="2:6" s="161" customFormat="1" x14ac:dyDescent="0.25">
      <c r="B57" s="322">
        <v>5</v>
      </c>
      <c r="C57" s="323" t="s">
        <v>600</v>
      </c>
      <c r="D57" s="324" t="s">
        <v>306</v>
      </c>
      <c r="E57" s="325" t="s">
        <v>203</v>
      </c>
      <c r="F57" s="317">
        <v>0.93376000000000003</v>
      </c>
    </row>
    <row r="58" spans="2:6" s="161" customFormat="1" x14ac:dyDescent="0.25">
      <c r="B58" s="322"/>
      <c r="C58" s="323"/>
      <c r="D58" s="324"/>
      <c r="E58" s="325"/>
      <c r="F58" s="317"/>
    </row>
    <row r="59" spans="2:6" s="161" customFormat="1" x14ac:dyDescent="0.25">
      <c r="B59" s="322"/>
      <c r="C59" s="323"/>
      <c r="D59" s="324"/>
      <c r="E59" s="325"/>
      <c r="F59" s="317"/>
    </row>
    <row r="60" spans="2:6" s="161" customFormat="1" x14ac:dyDescent="0.25">
      <c r="B60" s="322"/>
      <c r="C60" s="323"/>
      <c r="D60" s="324"/>
      <c r="E60" s="325"/>
      <c r="F60" s="317"/>
    </row>
    <row r="61" spans="2:6" s="161" customFormat="1" x14ac:dyDescent="0.25">
      <c r="B61" s="322"/>
      <c r="C61" s="323"/>
      <c r="D61" s="324"/>
      <c r="E61" s="325"/>
      <c r="F61" s="317"/>
    </row>
    <row r="62" spans="2:6" s="161" customFormat="1" x14ac:dyDescent="0.25">
      <c r="B62" s="162"/>
      <c r="D62" s="163"/>
      <c r="E62" s="164"/>
      <c r="F62" s="317"/>
    </row>
    <row r="63" spans="2:6" s="161" customFormat="1" x14ac:dyDescent="0.25">
      <c r="B63" s="162"/>
      <c r="D63" s="163"/>
      <c r="E63" s="164"/>
      <c r="F63" s="317"/>
    </row>
    <row r="64" spans="2:6" s="161" customFormat="1" x14ac:dyDescent="0.25">
      <c r="B64" s="162"/>
      <c r="D64" s="163"/>
      <c r="E64" s="164"/>
      <c r="F64" s="317"/>
    </row>
    <row r="65" spans="2:6" s="161" customFormat="1" x14ac:dyDescent="0.25">
      <c r="B65" s="162"/>
      <c r="D65" s="163"/>
      <c r="E65" s="164"/>
      <c r="F65" s="317"/>
    </row>
  </sheetData>
  <pageMargins left="0.21" right="0.75" top="0.27" bottom="0.28999999999999998" header="0.2" footer="0.21"/>
  <pageSetup scale="85" orientation="portrait" r:id="rId1"/>
  <headerFooter alignWithMargins="0"/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F65"/>
  <sheetViews>
    <sheetView showGridLines="0" zoomScale="80" zoomScaleNormal="80" workbookViewId="0">
      <pane xSplit="4" ySplit="5" topLeftCell="E6" activePane="bottomRight" state="frozen"/>
      <selection activeCell="E6" sqref="E6"/>
      <selection pane="topRight" activeCell="E6" sqref="E6"/>
      <selection pane="bottomLeft" activeCell="E6" sqref="E6"/>
      <selection pane="bottomRight" activeCell="E6" sqref="E6"/>
    </sheetView>
  </sheetViews>
  <sheetFormatPr defaultColWidth="9.109375" defaultRowHeight="13.8" x14ac:dyDescent="0.25"/>
  <cols>
    <col min="1" max="1" width="2.6640625" style="153" customWidth="1"/>
    <col min="2" max="2" width="4.6640625" style="153" customWidth="1"/>
    <col min="3" max="3" width="42.88671875" style="153" customWidth="1"/>
    <col min="4" max="4" width="9.6640625" style="155" customWidth="1"/>
    <col min="5" max="5" width="14" style="155" customWidth="1"/>
    <col min="6" max="16384" width="9.109375" style="153"/>
  </cols>
  <sheetData>
    <row r="1" spans="1:6" ht="18" x14ac:dyDescent="0.25">
      <c r="A1" s="153" t="s">
        <v>592</v>
      </c>
      <c r="C1" s="154"/>
    </row>
    <row r="3" spans="1:6" x14ac:dyDescent="0.25">
      <c r="E3" s="165">
        <v>42735</v>
      </c>
    </row>
    <row r="5" spans="1:6" s="156" customFormat="1" ht="27.6" x14ac:dyDescent="0.25">
      <c r="C5" s="157" t="s">
        <v>212</v>
      </c>
      <c r="D5" s="158" t="s">
        <v>593</v>
      </c>
      <c r="E5" s="159" t="s">
        <v>594</v>
      </c>
    </row>
    <row r="6" spans="1:6" x14ac:dyDescent="0.25">
      <c r="E6" s="160"/>
    </row>
    <row r="7" spans="1:6" s="161" customFormat="1" x14ac:dyDescent="0.25">
      <c r="B7" s="322">
        <v>1</v>
      </c>
      <c r="C7" s="323" t="s">
        <v>217</v>
      </c>
      <c r="D7" s="324" t="s">
        <v>218</v>
      </c>
      <c r="E7" s="325" t="s">
        <v>204</v>
      </c>
      <c r="F7" s="317">
        <v>0.78538235773683363</v>
      </c>
    </row>
    <row r="8" spans="1:6" s="161" customFormat="1" x14ac:dyDescent="0.25">
      <c r="B8" s="322">
        <v>2</v>
      </c>
      <c r="C8" s="323" t="s">
        <v>219</v>
      </c>
      <c r="D8" s="324" t="s">
        <v>220</v>
      </c>
      <c r="E8" s="325" t="s">
        <v>203</v>
      </c>
      <c r="F8" s="317">
        <v>0.90711690020786906</v>
      </c>
    </row>
    <row r="9" spans="1:6" s="161" customFormat="1" x14ac:dyDescent="0.25">
      <c r="B9" s="322">
        <v>3</v>
      </c>
      <c r="C9" s="323" t="s">
        <v>225</v>
      </c>
      <c r="D9" s="324" t="s">
        <v>226</v>
      </c>
      <c r="E9" s="325" t="s">
        <v>203</v>
      </c>
      <c r="F9" s="317">
        <v>1</v>
      </c>
    </row>
    <row r="10" spans="1:6" s="161" customFormat="1" x14ac:dyDescent="0.25">
      <c r="B10" s="322">
        <v>4</v>
      </c>
      <c r="C10" s="323" t="s">
        <v>222</v>
      </c>
      <c r="D10" s="324" t="s">
        <v>223</v>
      </c>
      <c r="E10" s="325" t="s">
        <v>203</v>
      </c>
      <c r="F10" s="317">
        <v>0.92354851365340163</v>
      </c>
    </row>
    <row r="11" spans="1:6" s="161" customFormat="1" x14ac:dyDescent="0.25">
      <c r="B11" s="322">
        <v>5</v>
      </c>
      <c r="C11" s="323" t="s">
        <v>233</v>
      </c>
      <c r="D11" s="324" t="s">
        <v>234</v>
      </c>
      <c r="E11" s="325" t="s">
        <v>204</v>
      </c>
      <c r="F11" s="317">
        <v>0.66284454949056182</v>
      </c>
    </row>
    <row r="12" spans="1:6" s="161" customFormat="1" x14ac:dyDescent="0.25">
      <c r="B12" s="322">
        <v>6</v>
      </c>
      <c r="C12" s="323" t="s">
        <v>238</v>
      </c>
      <c r="D12" s="324" t="s">
        <v>239</v>
      </c>
      <c r="E12" s="325" t="s">
        <v>203</v>
      </c>
      <c r="F12" s="317">
        <v>0.98861906057812454</v>
      </c>
    </row>
    <row r="13" spans="1:6" s="161" customFormat="1" x14ac:dyDescent="0.25">
      <c r="B13" s="322">
        <v>7</v>
      </c>
      <c r="C13" s="323" t="s">
        <v>245</v>
      </c>
      <c r="D13" s="324" t="s">
        <v>246</v>
      </c>
      <c r="E13" s="325" t="s">
        <v>203</v>
      </c>
      <c r="F13" s="317">
        <v>0.94660102979935035</v>
      </c>
    </row>
    <row r="14" spans="1:6" s="161" customFormat="1" x14ac:dyDescent="0.25">
      <c r="B14" s="322">
        <v>8</v>
      </c>
      <c r="C14" s="323" t="s">
        <v>249</v>
      </c>
      <c r="D14" s="324" t="s">
        <v>250</v>
      </c>
      <c r="E14" s="325" t="s">
        <v>204</v>
      </c>
      <c r="F14" s="317">
        <v>0.72648700883119577</v>
      </c>
    </row>
    <row r="15" spans="1:6" s="161" customFormat="1" x14ac:dyDescent="0.25">
      <c r="B15" s="322">
        <v>9</v>
      </c>
      <c r="C15" s="323" t="s">
        <v>256</v>
      </c>
      <c r="D15" s="324" t="s">
        <v>257</v>
      </c>
      <c r="E15" s="325" t="s">
        <v>203</v>
      </c>
      <c r="F15" s="317">
        <v>0.91920266395338079</v>
      </c>
    </row>
    <row r="16" spans="1:6" s="161" customFormat="1" x14ac:dyDescent="0.25">
      <c r="B16" s="322">
        <v>10</v>
      </c>
      <c r="C16" s="323" t="s">
        <v>227</v>
      </c>
      <c r="D16" s="324" t="s">
        <v>228</v>
      </c>
      <c r="E16" s="325" t="s">
        <v>203</v>
      </c>
      <c r="F16" s="317">
        <v>0.87387835457465546</v>
      </c>
    </row>
    <row r="17" spans="2:6" s="161" customFormat="1" x14ac:dyDescent="0.25">
      <c r="B17" s="322">
        <v>11</v>
      </c>
      <c r="C17" s="323" t="s">
        <v>361</v>
      </c>
      <c r="D17" s="324" t="s">
        <v>194</v>
      </c>
      <c r="E17" s="325" t="s">
        <v>204</v>
      </c>
      <c r="F17" s="317">
        <v>0.67019553072625704</v>
      </c>
    </row>
    <row r="18" spans="2:6" s="161" customFormat="1" x14ac:dyDescent="0.25">
      <c r="B18" s="322">
        <v>12</v>
      </c>
      <c r="C18" s="323" t="s">
        <v>261</v>
      </c>
      <c r="D18" s="324" t="s">
        <v>262</v>
      </c>
      <c r="E18" s="325" t="s">
        <v>204</v>
      </c>
      <c r="F18" s="317">
        <v>0.78480696607471678</v>
      </c>
    </row>
    <row r="19" spans="2:6" s="161" customFormat="1" x14ac:dyDescent="0.25">
      <c r="B19" s="322">
        <v>13</v>
      </c>
      <c r="C19" s="323" t="s">
        <v>263</v>
      </c>
      <c r="D19" s="324" t="s">
        <v>264</v>
      </c>
      <c r="E19" s="325" t="s">
        <v>203</v>
      </c>
      <c r="F19" s="317">
        <v>0.86616551547517728</v>
      </c>
    </row>
    <row r="20" spans="2:6" s="161" customFormat="1" x14ac:dyDescent="0.25">
      <c r="B20" s="322">
        <v>14</v>
      </c>
      <c r="C20" s="323" t="s">
        <v>265</v>
      </c>
      <c r="D20" s="324" t="s">
        <v>266</v>
      </c>
      <c r="E20" s="325" t="s">
        <v>203</v>
      </c>
      <c r="F20" s="317">
        <v>1</v>
      </c>
    </row>
    <row r="21" spans="2:6" s="161" customFormat="1" x14ac:dyDescent="0.25">
      <c r="B21" s="322">
        <v>15</v>
      </c>
      <c r="C21" s="323" t="s">
        <v>328</v>
      </c>
      <c r="D21" s="324" t="s">
        <v>331</v>
      </c>
      <c r="E21" s="325" t="s">
        <v>203</v>
      </c>
      <c r="F21" s="317">
        <v>1</v>
      </c>
    </row>
    <row r="22" spans="2:6" s="161" customFormat="1" x14ac:dyDescent="0.25">
      <c r="B22" s="322">
        <v>16</v>
      </c>
      <c r="C22" s="323" t="s">
        <v>367</v>
      </c>
      <c r="D22" s="324" t="s">
        <v>368</v>
      </c>
      <c r="E22" s="325" t="s">
        <v>203</v>
      </c>
      <c r="F22" s="317">
        <v>1</v>
      </c>
    </row>
    <row r="23" spans="2:6" s="161" customFormat="1" x14ac:dyDescent="0.25">
      <c r="B23" s="322">
        <v>17</v>
      </c>
      <c r="C23" s="323" t="s">
        <v>267</v>
      </c>
      <c r="D23" s="324" t="s">
        <v>268</v>
      </c>
      <c r="E23" s="325" t="s">
        <v>203</v>
      </c>
      <c r="F23" s="317">
        <v>0.89531113704615117</v>
      </c>
    </row>
    <row r="24" spans="2:6" s="161" customFormat="1" x14ac:dyDescent="0.25">
      <c r="B24" s="322">
        <v>18</v>
      </c>
      <c r="C24" s="323" t="s">
        <v>235</v>
      </c>
      <c r="D24" s="324" t="s">
        <v>236</v>
      </c>
      <c r="E24" s="325" t="s">
        <v>203</v>
      </c>
      <c r="F24" s="317">
        <v>0.94913456378770289</v>
      </c>
    </row>
    <row r="25" spans="2:6" s="161" customFormat="1" x14ac:dyDescent="0.25">
      <c r="B25" s="322">
        <v>19</v>
      </c>
      <c r="C25" s="323" t="s">
        <v>269</v>
      </c>
      <c r="D25" s="324" t="s">
        <v>270</v>
      </c>
      <c r="E25" s="325" t="s">
        <v>204</v>
      </c>
      <c r="F25" s="317">
        <v>0.59958748172387388</v>
      </c>
    </row>
    <row r="26" spans="2:6" s="161" customFormat="1" x14ac:dyDescent="0.25">
      <c r="B26" s="322">
        <v>20</v>
      </c>
      <c r="C26" s="323" t="s">
        <v>275</v>
      </c>
      <c r="D26" s="324" t="s">
        <v>276</v>
      </c>
      <c r="E26" s="325" t="s">
        <v>203</v>
      </c>
      <c r="F26" s="317">
        <v>0.84492908130156674</v>
      </c>
    </row>
    <row r="27" spans="2:6" s="161" customFormat="1" x14ac:dyDescent="0.25">
      <c r="B27" s="322">
        <v>21</v>
      </c>
      <c r="C27" s="323" t="s">
        <v>352</v>
      </c>
      <c r="D27" s="324" t="s">
        <v>353</v>
      </c>
      <c r="E27" s="325" t="s">
        <v>203</v>
      </c>
      <c r="F27" s="317">
        <v>0.84334561532792929</v>
      </c>
    </row>
    <row r="28" spans="2:6" s="161" customFormat="1" x14ac:dyDescent="0.25">
      <c r="B28" s="322">
        <v>22</v>
      </c>
      <c r="C28" s="323" t="s">
        <v>279</v>
      </c>
      <c r="D28" s="324" t="s">
        <v>280</v>
      </c>
      <c r="E28" s="325" t="s">
        <v>204</v>
      </c>
      <c r="F28" s="317">
        <v>0.48090017420618525</v>
      </c>
    </row>
    <row r="29" spans="2:6" s="161" customFormat="1" x14ac:dyDescent="0.25">
      <c r="B29" s="322">
        <v>23</v>
      </c>
      <c r="C29" s="323" t="s">
        <v>283</v>
      </c>
      <c r="D29" s="324" t="s">
        <v>284</v>
      </c>
      <c r="E29" s="325" t="s">
        <v>203</v>
      </c>
      <c r="F29" s="317">
        <v>0.99154946416451661</v>
      </c>
    </row>
    <row r="30" spans="2:6" s="161" customFormat="1" x14ac:dyDescent="0.25">
      <c r="B30" s="322">
        <v>24</v>
      </c>
      <c r="C30" s="323" t="s">
        <v>271</v>
      </c>
      <c r="D30" s="324" t="s">
        <v>272</v>
      </c>
      <c r="E30" s="325" t="s">
        <v>204</v>
      </c>
      <c r="F30" s="317">
        <v>0.55788183787105561</v>
      </c>
    </row>
    <row r="31" spans="2:6" s="161" customFormat="1" x14ac:dyDescent="0.25">
      <c r="B31" s="322">
        <v>25</v>
      </c>
      <c r="C31" s="323" t="s">
        <v>308</v>
      </c>
      <c r="D31" s="324" t="s">
        <v>461</v>
      </c>
      <c r="E31" s="325" t="s">
        <v>204</v>
      </c>
      <c r="F31" s="317">
        <v>0.78567232629673633</v>
      </c>
    </row>
    <row r="32" spans="2:6" s="161" customFormat="1" x14ac:dyDescent="0.25">
      <c r="B32" s="322">
        <v>26</v>
      </c>
      <c r="C32" s="323" t="s">
        <v>240</v>
      </c>
      <c r="D32" s="324" t="s">
        <v>241</v>
      </c>
      <c r="E32" s="325" t="s">
        <v>204</v>
      </c>
      <c r="F32" s="317">
        <v>0.50560599157712272</v>
      </c>
    </row>
    <row r="33" spans="2:6" s="161" customFormat="1" x14ac:dyDescent="0.25">
      <c r="B33" s="322">
        <v>27</v>
      </c>
      <c r="C33" s="323" t="s">
        <v>273</v>
      </c>
      <c r="D33" s="324" t="s">
        <v>274</v>
      </c>
      <c r="E33" s="325" t="s">
        <v>203</v>
      </c>
      <c r="F33" s="317">
        <v>0.87362440415367082</v>
      </c>
    </row>
    <row r="34" spans="2:6" s="161" customFormat="1" x14ac:dyDescent="0.25">
      <c r="B34" s="322">
        <v>28</v>
      </c>
      <c r="C34" s="323" t="s">
        <v>297</v>
      </c>
      <c r="D34" s="324" t="s">
        <v>298</v>
      </c>
      <c r="E34" s="325" t="s">
        <v>203</v>
      </c>
      <c r="F34" s="317">
        <v>0.99888749902033358</v>
      </c>
    </row>
    <row r="35" spans="2:6" s="161" customFormat="1" x14ac:dyDescent="0.25">
      <c r="B35" s="322">
        <v>29</v>
      </c>
      <c r="C35" s="323" t="s">
        <v>277</v>
      </c>
      <c r="D35" s="324" t="s">
        <v>278</v>
      </c>
      <c r="E35" s="325" t="s">
        <v>203</v>
      </c>
      <c r="F35" s="317">
        <v>0.87220813714837608</v>
      </c>
    </row>
    <row r="36" spans="2:6" s="161" customFormat="1" x14ac:dyDescent="0.25">
      <c r="B36" s="322">
        <v>30</v>
      </c>
      <c r="C36" s="323" t="s">
        <v>299</v>
      </c>
      <c r="D36" s="324" t="s">
        <v>300</v>
      </c>
      <c r="E36" s="325" t="s">
        <v>203</v>
      </c>
      <c r="F36" s="317">
        <v>0.84827636694494046</v>
      </c>
    </row>
    <row r="37" spans="2:6" s="161" customFormat="1" x14ac:dyDescent="0.25">
      <c r="B37" s="322">
        <v>31</v>
      </c>
      <c r="C37" s="323" t="s">
        <v>301</v>
      </c>
      <c r="D37" s="324" t="s">
        <v>302</v>
      </c>
      <c r="E37" s="325" t="s">
        <v>203</v>
      </c>
      <c r="F37" s="317">
        <v>1</v>
      </c>
    </row>
    <row r="38" spans="2:6" s="161" customFormat="1" x14ac:dyDescent="0.25">
      <c r="B38" s="322">
        <v>32</v>
      </c>
      <c r="C38" s="323" t="s">
        <v>281</v>
      </c>
      <c r="D38" s="324" t="s">
        <v>282</v>
      </c>
      <c r="E38" s="325" t="s">
        <v>203</v>
      </c>
      <c r="F38" s="317">
        <v>0.99543383874273916</v>
      </c>
    </row>
    <row r="39" spans="2:6" s="161" customFormat="1" x14ac:dyDescent="0.25">
      <c r="B39" s="322">
        <v>33</v>
      </c>
      <c r="C39" s="323" t="s">
        <v>303</v>
      </c>
      <c r="D39" s="324" t="s">
        <v>304</v>
      </c>
      <c r="E39" s="325" t="s">
        <v>203</v>
      </c>
      <c r="F39" s="317">
        <v>1</v>
      </c>
    </row>
    <row r="40" spans="2:6" s="161" customFormat="1" x14ac:dyDescent="0.25">
      <c r="B40" s="322">
        <v>34</v>
      </c>
      <c r="C40" s="323" t="s">
        <v>285</v>
      </c>
      <c r="D40" s="324" t="s">
        <v>286</v>
      </c>
      <c r="E40" s="325" t="s">
        <v>203</v>
      </c>
      <c r="F40" s="317">
        <v>1</v>
      </c>
    </row>
    <row r="41" spans="2:6" s="161" customFormat="1" x14ac:dyDescent="0.25">
      <c r="B41" s="322">
        <v>35</v>
      </c>
      <c r="C41" s="323" t="s">
        <v>243</v>
      </c>
      <c r="D41" s="324" t="s">
        <v>244</v>
      </c>
      <c r="E41" s="325" t="s">
        <v>203</v>
      </c>
      <c r="F41" s="317">
        <v>0.99177870687780023</v>
      </c>
    </row>
    <row r="42" spans="2:6" s="161" customFormat="1" x14ac:dyDescent="0.25">
      <c r="B42" s="322">
        <v>36</v>
      </c>
      <c r="C42" s="323" t="s">
        <v>289</v>
      </c>
      <c r="D42" s="324" t="s">
        <v>290</v>
      </c>
      <c r="E42" s="325" t="s">
        <v>204</v>
      </c>
      <c r="F42" s="317">
        <v>0.65605190915897182</v>
      </c>
    </row>
    <row r="43" spans="2:6" s="161" customFormat="1" x14ac:dyDescent="0.25">
      <c r="B43" s="322">
        <v>37</v>
      </c>
      <c r="C43" s="323" t="s">
        <v>347</v>
      </c>
      <c r="D43" s="324" t="s">
        <v>348</v>
      </c>
      <c r="E43" s="325" t="s">
        <v>204</v>
      </c>
      <c r="F43" s="317">
        <v>0.79227027315977971</v>
      </c>
    </row>
    <row r="44" spans="2:6" s="161" customFormat="1" x14ac:dyDescent="0.25">
      <c r="B44" s="322">
        <v>38</v>
      </c>
      <c r="C44" s="323" t="s">
        <v>291</v>
      </c>
      <c r="D44" s="324" t="s">
        <v>292</v>
      </c>
      <c r="E44" s="325" t="s">
        <v>204</v>
      </c>
      <c r="F44" s="317">
        <v>0.74659484696320211</v>
      </c>
    </row>
    <row r="45" spans="2:6" s="161" customFormat="1" x14ac:dyDescent="0.25">
      <c r="B45" s="322">
        <v>39</v>
      </c>
      <c r="C45" s="323" t="s">
        <v>293</v>
      </c>
      <c r="D45" s="324" t="s">
        <v>294</v>
      </c>
      <c r="E45" s="325" t="s">
        <v>203</v>
      </c>
      <c r="F45" s="317">
        <v>0.85685114451625843</v>
      </c>
    </row>
    <row r="46" spans="2:6" s="161" customFormat="1" x14ac:dyDescent="0.25">
      <c r="B46" s="322">
        <v>40</v>
      </c>
      <c r="C46" s="323" t="s">
        <v>295</v>
      </c>
      <c r="D46" s="324" t="s">
        <v>296</v>
      </c>
      <c r="E46" s="325" t="s">
        <v>203</v>
      </c>
      <c r="F46" s="317">
        <v>0.96286119482361276</v>
      </c>
    </row>
    <row r="47" spans="2:6" s="161" customFormat="1" x14ac:dyDescent="0.25">
      <c r="B47" s="322">
        <v>41</v>
      </c>
      <c r="C47" s="323" t="s">
        <v>345</v>
      </c>
      <c r="D47" s="324" t="s">
        <v>346</v>
      </c>
      <c r="E47" s="325" t="s">
        <v>203</v>
      </c>
      <c r="F47" s="317">
        <v>0.84117434102780686</v>
      </c>
    </row>
    <row r="48" spans="2:6" s="161" customFormat="1" x14ac:dyDescent="0.25">
      <c r="B48" s="322">
        <v>42</v>
      </c>
      <c r="C48" s="323" t="s">
        <v>595</v>
      </c>
      <c r="D48" s="324" t="s">
        <v>248</v>
      </c>
      <c r="E48" s="325" t="s">
        <v>203</v>
      </c>
      <c r="F48" s="317">
        <v>0.99316473681414996</v>
      </c>
    </row>
    <row r="49" spans="2:6" s="161" customFormat="1" x14ac:dyDescent="0.25">
      <c r="B49" s="322">
        <v>43</v>
      </c>
      <c r="C49" s="323" t="s">
        <v>354</v>
      </c>
      <c r="D49" s="324" t="s">
        <v>355</v>
      </c>
      <c r="E49" s="325" t="s">
        <v>203</v>
      </c>
      <c r="F49" s="317">
        <v>1</v>
      </c>
    </row>
    <row r="50" spans="2:6" s="161" customFormat="1" x14ac:dyDescent="0.25">
      <c r="B50" s="322">
        <v>44</v>
      </c>
      <c r="C50" s="323" t="s">
        <v>251</v>
      </c>
      <c r="D50" s="324" t="s">
        <v>252</v>
      </c>
      <c r="E50" s="325" t="s">
        <v>203</v>
      </c>
      <c r="F50" s="317">
        <v>0.99317999999999995</v>
      </c>
    </row>
    <row r="51" spans="2:6" s="161" customFormat="1" x14ac:dyDescent="0.25">
      <c r="B51" s="322"/>
      <c r="C51" s="323"/>
      <c r="D51" s="324"/>
      <c r="E51" s="325"/>
      <c r="F51" s="317"/>
    </row>
    <row r="52" spans="2:6" s="161" customFormat="1" x14ac:dyDescent="0.25">
      <c r="B52" s="322"/>
      <c r="C52" s="323"/>
      <c r="D52" s="324"/>
      <c r="E52" s="325"/>
      <c r="F52" s="317"/>
    </row>
    <row r="53" spans="2:6" s="161" customFormat="1" x14ac:dyDescent="0.25">
      <c r="B53" s="322"/>
      <c r="C53" s="323"/>
      <c r="D53" s="324"/>
      <c r="E53" s="325"/>
      <c r="F53" s="317"/>
    </row>
    <row r="54" spans="2:6" s="161" customFormat="1" x14ac:dyDescent="0.25">
      <c r="B54" s="322">
        <v>1</v>
      </c>
      <c r="C54" s="323" t="s">
        <v>596</v>
      </c>
      <c r="D54" s="324" t="s">
        <v>255</v>
      </c>
      <c r="E54" s="325" t="s">
        <v>203</v>
      </c>
      <c r="F54" s="317">
        <v>0.90779036389525458</v>
      </c>
    </row>
    <row r="55" spans="2:6" s="161" customFormat="1" x14ac:dyDescent="0.25">
      <c r="B55" s="322">
        <v>2</v>
      </c>
      <c r="C55" s="323" t="s">
        <v>597</v>
      </c>
      <c r="D55" s="324" t="s">
        <v>260</v>
      </c>
      <c r="E55" s="325" t="s">
        <v>204</v>
      </c>
      <c r="F55" s="317">
        <v>0.70705191798941791</v>
      </c>
    </row>
    <row r="56" spans="2:6" s="161" customFormat="1" x14ac:dyDescent="0.25">
      <c r="B56" s="322">
        <v>3</v>
      </c>
      <c r="C56" s="323" t="s">
        <v>601</v>
      </c>
      <c r="D56" s="324" t="s">
        <v>359</v>
      </c>
      <c r="E56" s="325" t="s">
        <v>203</v>
      </c>
      <c r="F56" s="317">
        <v>1</v>
      </c>
    </row>
    <row r="57" spans="2:6" s="161" customFormat="1" x14ac:dyDescent="0.25">
      <c r="B57" s="322">
        <v>4</v>
      </c>
      <c r="C57" s="323" t="s">
        <v>598</v>
      </c>
      <c r="D57" s="324" t="s">
        <v>288</v>
      </c>
      <c r="E57" s="325" t="s">
        <v>203</v>
      </c>
      <c r="F57" s="317">
        <v>1</v>
      </c>
    </row>
    <row r="58" spans="2:6" s="161" customFormat="1" x14ac:dyDescent="0.25">
      <c r="B58" s="322">
        <v>5</v>
      </c>
      <c r="C58" s="323" t="s">
        <v>599</v>
      </c>
      <c r="D58" s="324" t="s">
        <v>216</v>
      </c>
      <c r="E58" s="325" t="s">
        <v>203</v>
      </c>
      <c r="F58" s="317">
        <v>0.81182116104868918</v>
      </c>
    </row>
    <row r="59" spans="2:6" s="161" customFormat="1" x14ac:dyDescent="0.25">
      <c r="B59" s="322">
        <v>6</v>
      </c>
      <c r="C59" s="323" t="s">
        <v>600</v>
      </c>
      <c r="D59" s="324" t="s">
        <v>306</v>
      </c>
      <c r="E59" s="325" t="s">
        <v>203</v>
      </c>
      <c r="F59" s="317">
        <v>0.94743999999999995</v>
      </c>
    </row>
    <row r="60" spans="2:6" s="161" customFormat="1" x14ac:dyDescent="0.25">
      <c r="B60" s="322"/>
      <c r="C60" s="323"/>
      <c r="D60" s="324"/>
      <c r="E60" s="325"/>
      <c r="F60" s="317"/>
    </row>
    <row r="61" spans="2:6" s="161" customFormat="1" x14ac:dyDescent="0.25">
      <c r="B61" s="322"/>
      <c r="C61" s="323"/>
      <c r="D61" s="324"/>
      <c r="E61" s="325"/>
      <c r="F61" s="317"/>
    </row>
    <row r="62" spans="2:6" s="161" customFormat="1" x14ac:dyDescent="0.25">
      <c r="B62" s="162"/>
      <c r="D62" s="163"/>
      <c r="E62" s="164"/>
      <c r="F62" s="317"/>
    </row>
    <row r="63" spans="2:6" s="161" customFormat="1" x14ac:dyDescent="0.25">
      <c r="B63" s="162"/>
      <c r="D63" s="163"/>
      <c r="E63" s="164"/>
      <c r="F63" s="317"/>
    </row>
    <row r="64" spans="2:6" s="161" customFormat="1" x14ac:dyDescent="0.25">
      <c r="B64" s="162"/>
      <c r="D64" s="163"/>
      <c r="E64" s="164"/>
      <c r="F64" s="317"/>
    </row>
    <row r="65" spans="2:6" s="161" customFormat="1" x14ac:dyDescent="0.25">
      <c r="B65" s="162"/>
      <c r="D65" s="163"/>
      <c r="E65" s="164"/>
      <c r="F65" s="317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F65"/>
  <sheetViews>
    <sheetView showGridLines="0" zoomScale="80" zoomScaleNormal="80" workbookViewId="0">
      <pane xSplit="4" ySplit="5" topLeftCell="E6" activePane="bottomRight" state="frozen"/>
      <selection activeCell="E6" sqref="E6"/>
      <selection pane="topRight" activeCell="E6" sqref="E6"/>
      <selection pane="bottomLeft" activeCell="E6" sqref="E6"/>
      <selection pane="bottomRight" activeCell="E6" sqref="E6"/>
    </sheetView>
  </sheetViews>
  <sheetFormatPr defaultColWidth="9.109375" defaultRowHeight="13.8" x14ac:dyDescent="0.25"/>
  <cols>
    <col min="1" max="1" width="2.6640625" style="153" customWidth="1"/>
    <col min="2" max="2" width="4.6640625" style="153" customWidth="1"/>
    <col min="3" max="3" width="42.88671875" style="153" customWidth="1"/>
    <col min="4" max="4" width="9.6640625" style="155" customWidth="1"/>
    <col min="5" max="5" width="14" style="155" customWidth="1"/>
    <col min="6" max="16384" width="9.109375" style="153"/>
  </cols>
  <sheetData>
    <row r="1" spans="1:6" ht="18" x14ac:dyDescent="0.25">
      <c r="A1" s="153" t="s">
        <v>592</v>
      </c>
      <c r="C1" s="154"/>
    </row>
    <row r="3" spans="1:6" x14ac:dyDescent="0.25">
      <c r="E3" s="165">
        <v>42369</v>
      </c>
    </row>
    <row r="5" spans="1:6" s="156" customFormat="1" ht="27.6" x14ac:dyDescent="0.25">
      <c r="C5" s="157" t="s">
        <v>212</v>
      </c>
      <c r="D5" s="158" t="s">
        <v>593</v>
      </c>
      <c r="E5" s="159" t="s">
        <v>594</v>
      </c>
    </row>
    <row r="6" spans="1:6" x14ac:dyDescent="0.25">
      <c r="E6" s="160"/>
    </row>
    <row r="7" spans="1:6" s="161" customFormat="1" x14ac:dyDescent="0.25">
      <c r="B7" s="322">
        <f t="shared" ref="B7:B61" ca="1" si="0">OFFSET( B7, -1, 0 ) + 1</f>
        <v>1</v>
      </c>
      <c r="C7" s="323" t="s">
        <v>217</v>
      </c>
      <c r="D7" s="324" t="s">
        <v>218</v>
      </c>
      <c r="E7" s="325" t="s">
        <v>204</v>
      </c>
      <c r="F7" s="317">
        <v>0.78714515701738286</v>
      </c>
    </row>
    <row r="8" spans="1:6" s="161" customFormat="1" x14ac:dyDescent="0.25">
      <c r="B8" s="322">
        <f t="shared" ca="1" si="0"/>
        <v>2</v>
      </c>
      <c r="C8" s="323" t="s">
        <v>219</v>
      </c>
      <c r="D8" s="324" t="s">
        <v>220</v>
      </c>
      <c r="E8" s="325" t="s">
        <v>203</v>
      </c>
      <c r="F8" s="317">
        <v>0.89239067802035976</v>
      </c>
    </row>
    <row r="9" spans="1:6" s="161" customFormat="1" x14ac:dyDescent="0.25">
      <c r="B9" s="322">
        <f t="shared" ca="1" si="0"/>
        <v>3</v>
      </c>
      <c r="C9" s="323" t="s">
        <v>225</v>
      </c>
      <c r="D9" s="324" t="s">
        <v>226</v>
      </c>
      <c r="E9" s="325" t="s">
        <v>203</v>
      </c>
      <c r="F9" s="317">
        <v>1</v>
      </c>
    </row>
    <row r="10" spans="1:6" s="161" customFormat="1" x14ac:dyDescent="0.25">
      <c r="B10" s="322">
        <f t="shared" ca="1" si="0"/>
        <v>4</v>
      </c>
      <c r="C10" s="323" t="s">
        <v>222</v>
      </c>
      <c r="D10" s="324" t="s">
        <v>223</v>
      </c>
      <c r="E10" s="325" t="s">
        <v>203</v>
      </c>
      <c r="F10" s="317">
        <v>0.89886208702221515</v>
      </c>
    </row>
    <row r="11" spans="1:6" s="161" customFormat="1" x14ac:dyDescent="0.25">
      <c r="B11" s="322">
        <f t="shared" ca="1" si="0"/>
        <v>5</v>
      </c>
      <c r="C11" s="323" t="s">
        <v>233</v>
      </c>
      <c r="D11" s="324" t="s">
        <v>234</v>
      </c>
      <c r="E11" s="325" t="s">
        <v>204</v>
      </c>
      <c r="F11" s="317">
        <v>0.55099999999999993</v>
      </c>
    </row>
    <row r="12" spans="1:6" s="161" customFormat="1" x14ac:dyDescent="0.25">
      <c r="B12" s="322">
        <f t="shared" ca="1" si="0"/>
        <v>6</v>
      </c>
      <c r="C12" s="323" t="s">
        <v>238</v>
      </c>
      <c r="D12" s="324" t="s">
        <v>239</v>
      </c>
      <c r="E12" s="325" t="s">
        <v>203</v>
      </c>
      <c r="F12" s="317">
        <v>0.99200961796941245</v>
      </c>
    </row>
    <row r="13" spans="1:6" s="161" customFormat="1" x14ac:dyDescent="0.25">
      <c r="B13" s="322">
        <f t="shared" ca="1" si="0"/>
        <v>7</v>
      </c>
      <c r="C13" s="323" t="s">
        <v>245</v>
      </c>
      <c r="D13" s="324" t="s">
        <v>246</v>
      </c>
      <c r="E13" s="325" t="s">
        <v>203</v>
      </c>
      <c r="F13" s="317">
        <v>0.80003806249853648</v>
      </c>
    </row>
    <row r="14" spans="1:6" s="161" customFormat="1" x14ac:dyDescent="0.25">
      <c r="B14" s="322">
        <f t="shared" ca="1" si="0"/>
        <v>8</v>
      </c>
      <c r="C14" s="323" t="s">
        <v>249</v>
      </c>
      <c r="D14" s="324" t="s">
        <v>250</v>
      </c>
      <c r="E14" s="325" t="s">
        <v>204</v>
      </c>
      <c r="F14" s="317">
        <v>0.74153804494990516</v>
      </c>
    </row>
    <row r="15" spans="1:6" s="161" customFormat="1" x14ac:dyDescent="0.25">
      <c r="B15" s="322">
        <f t="shared" ca="1" si="0"/>
        <v>9</v>
      </c>
      <c r="C15" s="323" t="s">
        <v>254</v>
      </c>
      <c r="D15" s="324" t="s">
        <v>378</v>
      </c>
      <c r="E15" s="325" t="s">
        <v>203</v>
      </c>
      <c r="F15" s="317">
        <v>0.9791788967546956</v>
      </c>
    </row>
    <row r="16" spans="1:6" s="161" customFormat="1" x14ac:dyDescent="0.25">
      <c r="B16" s="322">
        <f t="shared" ca="1" si="0"/>
        <v>10</v>
      </c>
      <c r="C16" s="323" t="s">
        <v>256</v>
      </c>
      <c r="D16" s="324" t="s">
        <v>257</v>
      </c>
      <c r="E16" s="325" t="s">
        <v>203</v>
      </c>
      <c r="F16" s="317">
        <v>0.91415929203539825</v>
      </c>
    </row>
    <row r="17" spans="2:6" s="161" customFormat="1" x14ac:dyDescent="0.25">
      <c r="B17" s="322">
        <f t="shared" ca="1" si="0"/>
        <v>11</v>
      </c>
      <c r="C17" s="323" t="s">
        <v>227</v>
      </c>
      <c r="D17" s="324" t="s">
        <v>228</v>
      </c>
      <c r="E17" s="325" t="s">
        <v>203</v>
      </c>
      <c r="F17" s="317">
        <v>0.88287103983173398</v>
      </c>
    </row>
    <row r="18" spans="2:6" s="161" customFormat="1" x14ac:dyDescent="0.25">
      <c r="B18" s="322">
        <f t="shared" ca="1" si="0"/>
        <v>12</v>
      </c>
      <c r="C18" s="323" t="s">
        <v>361</v>
      </c>
      <c r="D18" s="324" t="s">
        <v>194</v>
      </c>
      <c r="E18" s="325" t="s">
        <v>204</v>
      </c>
      <c r="F18" s="317">
        <v>0.6468401360544217</v>
      </c>
    </row>
    <row r="19" spans="2:6" s="161" customFormat="1" x14ac:dyDescent="0.25">
      <c r="B19" s="322">
        <f t="shared" ca="1" si="0"/>
        <v>13</v>
      </c>
      <c r="C19" s="323" t="s">
        <v>261</v>
      </c>
      <c r="D19" s="324" t="s">
        <v>262</v>
      </c>
      <c r="E19" s="325" t="s">
        <v>203</v>
      </c>
      <c r="F19" s="317">
        <v>0.82952291470925987</v>
      </c>
    </row>
    <row r="20" spans="2:6" s="161" customFormat="1" x14ac:dyDescent="0.25">
      <c r="B20" s="322">
        <f t="shared" ca="1" si="0"/>
        <v>14</v>
      </c>
      <c r="C20" s="323" t="s">
        <v>263</v>
      </c>
      <c r="D20" s="324" t="s">
        <v>264</v>
      </c>
      <c r="E20" s="325" t="s">
        <v>203</v>
      </c>
      <c r="F20" s="317">
        <v>0.92081283634322686</v>
      </c>
    </row>
    <row r="21" spans="2:6" s="161" customFormat="1" x14ac:dyDescent="0.25">
      <c r="B21" s="322">
        <f t="shared" ca="1" si="0"/>
        <v>15</v>
      </c>
      <c r="C21" s="323" t="s">
        <v>265</v>
      </c>
      <c r="D21" s="324" t="s">
        <v>266</v>
      </c>
      <c r="E21" s="325" t="s">
        <v>203</v>
      </c>
      <c r="F21" s="317">
        <v>1</v>
      </c>
    </row>
    <row r="22" spans="2:6" s="161" customFormat="1" x14ac:dyDescent="0.25">
      <c r="B22" s="322">
        <f t="shared" ca="1" si="0"/>
        <v>16</v>
      </c>
      <c r="C22" s="323" t="s">
        <v>328</v>
      </c>
      <c r="D22" s="324" t="s">
        <v>331</v>
      </c>
      <c r="E22" s="325" t="s">
        <v>203</v>
      </c>
      <c r="F22" s="317">
        <v>1</v>
      </c>
    </row>
    <row r="23" spans="2:6" s="161" customFormat="1" x14ac:dyDescent="0.25">
      <c r="B23" s="322">
        <f t="shared" ca="1" si="0"/>
        <v>17</v>
      </c>
      <c r="C23" s="323" t="s">
        <v>367</v>
      </c>
      <c r="D23" s="324" t="s">
        <v>368</v>
      </c>
      <c r="E23" s="325" t="s">
        <v>203</v>
      </c>
      <c r="F23" s="317">
        <v>1.0050576242524851</v>
      </c>
    </row>
    <row r="24" spans="2:6" s="161" customFormat="1" x14ac:dyDescent="0.25">
      <c r="B24" s="322">
        <f t="shared" ca="1" si="0"/>
        <v>18</v>
      </c>
      <c r="C24" s="323" t="s">
        <v>267</v>
      </c>
      <c r="D24" s="324" t="s">
        <v>268</v>
      </c>
      <c r="E24" s="325" t="s">
        <v>203</v>
      </c>
      <c r="F24" s="317">
        <v>0.85910186466347471</v>
      </c>
    </row>
    <row r="25" spans="2:6" s="161" customFormat="1" x14ac:dyDescent="0.25">
      <c r="B25" s="322">
        <f t="shared" ca="1" si="0"/>
        <v>19</v>
      </c>
      <c r="C25" s="323" t="s">
        <v>235</v>
      </c>
      <c r="D25" s="324" t="s">
        <v>236</v>
      </c>
      <c r="E25" s="325" t="s">
        <v>203</v>
      </c>
      <c r="F25" s="317">
        <v>0.95175979306939418</v>
      </c>
    </row>
    <row r="26" spans="2:6" s="161" customFormat="1" x14ac:dyDescent="0.25">
      <c r="B26" s="322">
        <f t="shared" ca="1" si="0"/>
        <v>20</v>
      </c>
      <c r="C26" s="323" t="s">
        <v>269</v>
      </c>
      <c r="D26" s="324" t="s">
        <v>270</v>
      </c>
      <c r="E26" s="325" t="s">
        <v>194</v>
      </c>
      <c r="F26" s="317">
        <v>0.47381112136207332</v>
      </c>
    </row>
    <row r="27" spans="2:6" s="161" customFormat="1" x14ac:dyDescent="0.25">
      <c r="B27" s="322">
        <f t="shared" ca="1" si="0"/>
        <v>21</v>
      </c>
      <c r="C27" s="323" t="s">
        <v>275</v>
      </c>
      <c r="D27" s="324" t="s">
        <v>276</v>
      </c>
      <c r="E27" s="325" t="s">
        <v>204</v>
      </c>
      <c r="F27" s="317">
        <v>0.67670109414221935</v>
      </c>
    </row>
    <row r="28" spans="2:6" s="161" customFormat="1" x14ac:dyDescent="0.25">
      <c r="B28" s="322">
        <f t="shared" ca="1" si="0"/>
        <v>22</v>
      </c>
      <c r="C28" s="323" t="s">
        <v>352</v>
      </c>
      <c r="D28" s="324" t="s">
        <v>353</v>
      </c>
      <c r="E28" s="325" t="s">
        <v>203</v>
      </c>
      <c r="F28" s="317">
        <v>1.0285791443949863</v>
      </c>
    </row>
    <row r="29" spans="2:6" s="161" customFormat="1" x14ac:dyDescent="0.25">
      <c r="B29" s="322">
        <f t="shared" ca="1" si="0"/>
        <v>23</v>
      </c>
      <c r="C29" s="323" t="s">
        <v>279</v>
      </c>
      <c r="D29" s="324" t="s">
        <v>280</v>
      </c>
      <c r="E29" s="325" t="s">
        <v>194</v>
      </c>
      <c r="F29" s="317">
        <v>0.48176077819232183</v>
      </c>
    </row>
    <row r="30" spans="2:6" s="161" customFormat="1" x14ac:dyDescent="0.25">
      <c r="B30" s="322">
        <f t="shared" ca="1" si="0"/>
        <v>24</v>
      </c>
      <c r="C30" s="323" t="s">
        <v>283</v>
      </c>
      <c r="D30" s="324" t="s">
        <v>284</v>
      </c>
      <c r="E30" s="325" t="s">
        <v>203</v>
      </c>
      <c r="F30" s="317">
        <v>0.99095531131201209</v>
      </c>
    </row>
    <row r="31" spans="2:6" s="161" customFormat="1" x14ac:dyDescent="0.25">
      <c r="B31" s="322">
        <f t="shared" ca="1" si="0"/>
        <v>25</v>
      </c>
      <c r="C31" s="323" t="s">
        <v>271</v>
      </c>
      <c r="D31" s="324" t="s">
        <v>272</v>
      </c>
      <c r="E31" s="325" t="s">
        <v>204</v>
      </c>
      <c r="F31" s="317">
        <v>0.50850668898945151</v>
      </c>
    </row>
    <row r="32" spans="2:6" s="161" customFormat="1" x14ac:dyDescent="0.25">
      <c r="B32" s="322">
        <f t="shared" ca="1" si="0"/>
        <v>26</v>
      </c>
      <c r="C32" s="323" t="s">
        <v>308</v>
      </c>
      <c r="D32" s="324" t="s">
        <v>461</v>
      </c>
      <c r="E32" s="325" t="s">
        <v>204</v>
      </c>
      <c r="F32" s="317">
        <v>0.77746229357018903</v>
      </c>
    </row>
    <row r="33" spans="2:6" s="161" customFormat="1" x14ac:dyDescent="0.25">
      <c r="B33" s="322">
        <f t="shared" ca="1" si="0"/>
        <v>27</v>
      </c>
      <c r="C33" s="323" t="s">
        <v>240</v>
      </c>
      <c r="D33" s="324" t="s">
        <v>241</v>
      </c>
      <c r="E33" s="325" t="s">
        <v>204</v>
      </c>
      <c r="F33" s="317">
        <v>0.51556153687605333</v>
      </c>
    </row>
    <row r="34" spans="2:6" s="161" customFormat="1" x14ac:dyDescent="0.25">
      <c r="B34" s="322">
        <f t="shared" ca="1" si="0"/>
        <v>28</v>
      </c>
      <c r="C34" s="323" t="s">
        <v>273</v>
      </c>
      <c r="D34" s="324" t="s">
        <v>274</v>
      </c>
      <c r="E34" s="325" t="s">
        <v>203</v>
      </c>
      <c r="F34" s="317">
        <v>0.87807917679005287</v>
      </c>
    </row>
    <row r="35" spans="2:6" s="161" customFormat="1" x14ac:dyDescent="0.25">
      <c r="B35" s="322">
        <f t="shared" ca="1" si="0"/>
        <v>29</v>
      </c>
      <c r="C35" s="323" t="s">
        <v>297</v>
      </c>
      <c r="D35" s="324" t="s">
        <v>298</v>
      </c>
      <c r="E35" s="325" t="s">
        <v>203</v>
      </c>
      <c r="F35" s="317">
        <v>0.99859509267538604</v>
      </c>
    </row>
    <row r="36" spans="2:6" s="161" customFormat="1" x14ac:dyDescent="0.25">
      <c r="B36" s="322">
        <f t="shared" ca="1" si="0"/>
        <v>30</v>
      </c>
      <c r="C36" s="323" t="s">
        <v>277</v>
      </c>
      <c r="D36" s="324" t="s">
        <v>278</v>
      </c>
      <c r="E36" s="325" t="s">
        <v>203</v>
      </c>
      <c r="F36" s="317">
        <v>0.89001187821701711</v>
      </c>
    </row>
    <row r="37" spans="2:6" s="161" customFormat="1" x14ac:dyDescent="0.25">
      <c r="B37" s="322">
        <f t="shared" ca="1" si="0"/>
        <v>31</v>
      </c>
      <c r="C37" s="323" t="s">
        <v>299</v>
      </c>
      <c r="D37" s="324" t="s">
        <v>300</v>
      </c>
      <c r="E37" s="325" t="s">
        <v>203</v>
      </c>
      <c r="F37" s="317">
        <v>0.83639005680694867</v>
      </c>
    </row>
    <row r="38" spans="2:6" s="161" customFormat="1" x14ac:dyDescent="0.25">
      <c r="B38" s="322">
        <f t="shared" ca="1" si="0"/>
        <v>32</v>
      </c>
      <c r="C38" s="323" t="s">
        <v>301</v>
      </c>
      <c r="D38" s="324" t="s">
        <v>302</v>
      </c>
      <c r="E38" s="325" t="s">
        <v>203</v>
      </c>
      <c r="F38" s="317">
        <v>1</v>
      </c>
    </row>
    <row r="39" spans="2:6" s="161" customFormat="1" x14ac:dyDescent="0.25">
      <c r="B39" s="322">
        <f t="shared" ca="1" si="0"/>
        <v>33</v>
      </c>
      <c r="C39" s="323" t="s">
        <v>281</v>
      </c>
      <c r="D39" s="324" t="s">
        <v>282</v>
      </c>
      <c r="E39" s="325" t="s">
        <v>203</v>
      </c>
      <c r="F39" s="317">
        <v>0.99693404252176143</v>
      </c>
    </row>
    <row r="40" spans="2:6" s="161" customFormat="1" x14ac:dyDescent="0.25">
      <c r="B40" s="322">
        <f t="shared" ca="1" si="0"/>
        <v>34</v>
      </c>
      <c r="C40" s="323" t="s">
        <v>303</v>
      </c>
      <c r="D40" s="324" t="s">
        <v>304</v>
      </c>
      <c r="E40" s="325" t="s">
        <v>203</v>
      </c>
      <c r="F40" s="317">
        <v>1</v>
      </c>
    </row>
    <row r="41" spans="2:6" s="161" customFormat="1" x14ac:dyDescent="0.25">
      <c r="B41" s="322">
        <f t="shared" ca="1" si="0"/>
        <v>35</v>
      </c>
      <c r="C41" s="323" t="s">
        <v>285</v>
      </c>
      <c r="D41" s="324" t="s">
        <v>286</v>
      </c>
      <c r="E41" s="325" t="s">
        <v>203</v>
      </c>
      <c r="F41" s="317">
        <v>1</v>
      </c>
    </row>
    <row r="42" spans="2:6" s="161" customFormat="1" x14ac:dyDescent="0.25">
      <c r="B42" s="322">
        <f t="shared" ca="1" si="0"/>
        <v>36</v>
      </c>
      <c r="C42" s="323" t="s">
        <v>243</v>
      </c>
      <c r="D42" s="324" t="s">
        <v>244</v>
      </c>
      <c r="E42" s="325" t="s">
        <v>203</v>
      </c>
      <c r="F42" s="317">
        <v>0.99071270451133564</v>
      </c>
    </row>
    <row r="43" spans="2:6" s="161" customFormat="1" x14ac:dyDescent="0.25">
      <c r="B43" s="322">
        <f t="shared" ca="1" si="0"/>
        <v>37</v>
      </c>
      <c r="C43" s="323" t="s">
        <v>289</v>
      </c>
      <c r="D43" s="324" t="s">
        <v>290</v>
      </c>
      <c r="E43" s="325" t="s">
        <v>204</v>
      </c>
      <c r="F43" s="317">
        <v>0.63079792193952311</v>
      </c>
    </row>
    <row r="44" spans="2:6" s="161" customFormat="1" x14ac:dyDescent="0.25">
      <c r="B44" s="322">
        <f t="shared" ca="1" si="0"/>
        <v>38</v>
      </c>
      <c r="C44" s="323" t="s">
        <v>347</v>
      </c>
      <c r="D44" s="324" t="s">
        <v>348</v>
      </c>
      <c r="E44" s="325" t="s">
        <v>204</v>
      </c>
      <c r="F44" s="317">
        <v>0.7867141024145573</v>
      </c>
    </row>
    <row r="45" spans="2:6" s="161" customFormat="1" x14ac:dyDescent="0.25">
      <c r="B45" s="322">
        <f t="shared" ca="1" si="0"/>
        <v>39</v>
      </c>
      <c r="C45" s="323" t="s">
        <v>291</v>
      </c>
      <c r="D45" s="324" t="s">
        <v>292</v>
      </c>
      <c r="E45" s="325" t="s">
        <v>204</v>
      </c>
      <c r="F45" s="317">
        <v>0.78586206561360905</v>
      </c>
    </row>
    <row r="46" spans="2:6" s="161" customFormat="1" x14ac:dyDescent="0.25">
      <c r="B46" s="322">
        <f t="shared" ca="1" si="0"/>
        <v>40</v>
      </c>
      <c r="C46" s="323" t="s">
        <v>293</v>
      </c>
      <c r="D46" s="324" t="s">
        <v>294</v>
      </c>
      <c r="E46" s="325" t="s">
        <v>203</v>
      </c>
      <c r="F46" s="317">
        <v>0.88168747925125768</v>
      </c>
    </row>
    <row r="47" spans="2:6" s="161" customFormat="1" x14ac:dyDescent="0.25">
      <c r="B47" s="322">
        <f t="shared" ca="1" si="0"/>
        <v>41</v>
      </c>
      <c r="C47" s="323" t="s">
        <v>369</v>
      </c>
      <c r="D47" s="324" t="s">
        <v>375</v>
      </c>
      <c r="E47" s="325" t="s">
        <v>203</v>
      </c>
      <c r="F47" s="317">
        <v>1.0477954715380926</v>
      </c>
    </row>
    <row r="48" spans="2:6" s="161" customFormat="1" x14ac:dyDescent="0.25">
      <c r="B48" s="322">
        <f t="shared" ca="1" si="0"/>
        <v>42</v>
      </c>
      <c r="C48" s="323" t="s">
        <v>295</v>
      </c>
      <c r="D48" s="324" t="s">
        <v>296</v>
      </c>
      <c r="E48" s="325" t="s">
        <v>203</v>
      </c>
      <c r="F48" s="317">
        <v>0.96855886850152895</v>
      </c>
    </row>
    <row r="49" spans="2:6" s="161" customFormat="1" x14ac:dyDescent="0.25">
      <c r="B49" s="322">
        <f t="shared" ca="1" si="0"/>
        <v>43</v>
      </c>
      <c r="C49" s="323" t="s">
        <v>345</v>
      </c>
      <c r="D49" s="324" t="s">
        <v>346</v>
      </c>
      <c r="E49" s="325" t="s">
        <v>203</v>
      </c>
      <c r="F49" s="317">
        <v>0.82990443446274409</v>
      </c>
    </row>
    <row r="50" spans="2:6" s="161" customFormat="1" x14ac:dyDescent="0.25">
      <c r="B50" s="322">
        <f t="shared" ca="1" si="0"/>
        <v>44</v>
      </c>
      <c r="C50" s="323" t="s">
        <v>595</v>
      </c>
      <c r="D50" s="324" t="s">
        <v>248</v>
      </c>
      <c r="E50" s="325" t="s">
        <v>203</v>
      </c>
      <c r="F50" s="317">
        <v>1</v>
      </c>
    </row>
    <row r="51" spans="2:6" s="161" customFormat="1" x14ac:dyDescent="0.25">
      <c r="B51" s="322">
        <f t="shared" ca="1" si="0"/>
        <v>45</v>
      </c>
      <c r="C51" s="323" t="s">
        <v>354</v>
      </c>
      <c r="D51" s="324" t="s">
        <v>355</v>
      </c>
      <c r="E51" s="325" t="s">
        <v>203</v>
      </c>
      <c r="F51" s="317">
        <v>0.98699999999999999</v>
      </c>
    </row>
    <row r="52" spans="2:6" s="161" customFormat="1" x14ac:dyDescent="0.25">
      <c r="B52" s="322">
        <f t="shared" ca="1" si="0"/>
        <v>46</v>
      </c>
      <c r="C52" s="323" t="s">
        <v>251</v>
      </c>
      <c r="D52" s="324" t="s">
        <v>252</v>
      </c>
      <c r="E52" s="325" t="s">
        <v>203</v>
      </c>
      <c r="F52" s="317">
        <v>1.0439999999999998</v>
      </c>
    </row>
    <row r="53" spans="2:6" s="161" customFormat="1" x14ac:dyDescent="0.25">
      <c r="B53" s="322"/>
      <c r="C53" s="323"/>
      <c r="D53" s="324"/>
      <c r="E53" s="325"/>
      <c r="F53" s="317"/>
    </row>
    <row r="54" spans="2:6" s="161" customFormat="1" x14ac:dyDescent="0.25">
      <c r="B54" s="322"/>
      <c r="C54" s="323"/>
      <c r="D54" s="324"/>
      <c r="E54" s="325"/>
      <c r="F54" s="317"/>
    </row>
    <row r="55" spans="2:6" s="161" customFormat="1" x14ac:dyDescent="0.25">
      <c r="B55" s="322"/>
      <c r="C55" s="323"/>
      <c r="D55" s="324"/>
      <c r="E55" s="325"/>
      <c r="F55" s="317"/>
    </row>
    <row r="56" spans="2:6" s="161" customFormat="1" x14ac:dyDescent="0.25">
      <c r="B56" s="322"/>
      <c r="C56" s="323"/>
      <c r="D56" s="324"/>
      <c r="E56" s="325"/>
      <c r="F56" s="317"/>
    </row>
    <row r="57" spans="2:6" s="161" customFormat="1" x14ac:dyDescent="0.25">
      <c r="B57" s="322">
        <f t="shared" ca="1" si="0"/>
        <v>1</v>
      </c>
      <c r="C57" s="323" t="s">
        <v>597</v>
      </c>
      <c r="D57" s="324" t="s">
        <v>260</v>
      </c>
      <c r="E57" s="325" t="s">
        <v>204</v>
      </c>
      <c r="F57" s="317">
        <v>1.0074832375478926</v>
      </c>
    </row>
    <row r="58" spans="2:6" s="161" customFormat="1" x14ac:dyDescent="0.25">
      <c r="B58" s="322">
        <f t="shared" ca="1" si="0"/>
        <v>2</v>
      </c>
      <c r="C58" s="323" t="s">
        <v>601</v>
      </c>
      <c r="D58" s="324" t="s">
        <v>359</v>
      </c>
      <c r="E58" s="325" t="s">
        <v>203</v>
      </c>
      <c r="F58" s="317">
        <v>0.25970852978997</v>
      </c>
    </row>
    <row r="59" spans="2:6" s="161" customFormat="1" x14ac:dyDescent="0.25">
      <c r="B59" s="322">
        <f t="shared" ca="1" si="0"/>
        <v>3</v>
      </c>
      <c r="C59" s="323" t="s">
        <v>598</v>
      </c>
      <c r="D59" s="324" t="s">
        <v>288</v>
      </c>
      <c r="E59" s="325" t="s">
        <v>203</v>
      </c>
      <c r="F59" s="317">
        <v>1</v>
      </c>
    </row>
    <row r="60" spans="2:6" s="161" customFormat="1" x14ac:dyDescent="0.25">
      <c r="B60" s="322">
        <f t="shared" ca="1" si="0"/>
        <v>4</v>
      </c>
      <c r="C60" s="323" t="s">
        <v>599</v>
      </c>
      <c r="D60" s="324" t="s">
        <v>216</v>
      </c>
      <c r="E60" s="325" t="s">
        <v>203</v>
      </c>
      <c r="F60" s="317">
        <v>0.81867540481714463</v>
      </c>
    </row>
    <row r="61" spans="2:6" s="161" customFormat="1" x14ac:dyDescent="0.25">
      <c r="B61" s="322">
        <f t="shared" ca="1" si="0"/>
        <v>5</v>
      </c>
      <c r="C61" s="323" t="s">
        <v>600</v>
      </c>
      <c r="D61" s="324" t="s">
        <v>306</v>
      </c>
      <c r="E61" s="325" t="s">
        <v>203</v>
      </c>
      <c r="F61" s="317">
        <v>0.95299999999999996</v>
      </c>
    </row>
    <row r="62" spans="2:6" s="161" customFormat="1" x14ac:dyDescent="0.25">
      <c r="B62" s="162"/>
      <c r="D62" s="163"/>
      <c r="E62" s="164"/>
      <c r="F62" s="317"/>
    </row>
    <row r="63" spans="2:6" s="161" customFormat="1" x14ac:dyDescent="0.25">
      <c r="B63" s="162"/>
      <c r="D63" s="163"/>
      <c r="E63" s="164"/>
      <c r="F63" s="317"/>
    </row>
    <row r="64" spans="2:6" s="161" customFormat="1" x14ac:dyDescent="0.25">
      <c r="B64" s="162"/>
      <c r="D64" s="163"/>
      <c r="E64" s="164"/>
      <c r="F64" s="317"/>
    </row>
    <row r="65" spans="2:6" s="161" customFormat="1" x14ac:dyDescent="0.25">
      <c r="B65" s="162"/>
      <c r="D65" s="163"/>
      <c r="E65" s="164"/>
      <c r="F65" s="317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99"/>
  </sheetPr>
  <dimension ref="A1:F65"/>
  <sheetViews>
    <sheetView showGridLines="0" zoomScale="80" zoomScaleNormal="80" workbookViewId="0">
      <pane xSplit="4" ySplit="5" topLeftCell="E6" activePane="bottomRight" state="frozen"/>
      <selection activeCell="E6" sqref="E6"/>
      <selection pane="topRight" activeCell="E6" sqref="E6"/>
      <selection pane="bottomLeft" activeCell="E6" sqref="E6"/>
      <selection pane="bottomRight" activeCell="E6" sqref="E6"/>
    </sheetView>
  </sheetViews>
  <sheetFormatPr defaultColWidth="9.109375" defaultRowHeight="13.8" x14ac:dyDescent="0.25"/>
  <cols>
    <col min="1" max="1" width="2.6640625" style="153" customWidth="1"/>
    <col min="2" max="2" width="4.6640625" style="153" customWidth="1"/>
    <col min="3" max="3" width="42.88671875" style="153" customWidth="1"/>
    <col min="4" max="4" width="9.6640625" style="155" customWidth="1"/>
    <col min="5" max="5" width="14" style="155" customWidth="1"/>
    <col min="6" max="16384" width="9.109375" style="153"/>
  </cols>
  <sheetData>
    <row r="1" spans="1:6" ht="18" x14ac:dyDescent="0.25">
      <c r="A1" s="153" t="s">
        <v>592</v>
      </c>
      <c r="C1" s="154"/>
    </row>
    <row r="3" spans="1:6" x14ac:dyDescent="0.25">
      <c r="E3" s="165">
        <v>42004</v>
      </c>
    </row>
    <row r="5" spans="1:6" s="156" customFormat="1" ht="27.6" x14ac:dyDescent="0.25">
      <c r="C5" s="157" t="s">
        <v>212</v>
      </c>
      <c r="D5" s="158" t="s">
        <v>593</v>
      </c>
      <c r="E5" s="159" t="s">
        <v>594</v>
      </c>
    </row>
    <row r="6" spans="1:6" x14ac:dyDescent="0.25">
      <c r="E6" s="160"/>
    </row>
    <row r="7" spans="1:6" s="161" customFormat="1" x14ac:dyDescent="0.25">
      <c r="B7" s="162">
        <v>1</v>
      </c>
      <c r="C7" s="161" t="s">
        <v>217</v>
      </c>
      <c r="D7" s="163" t="s">
        <v>218</v>
      </c>
      <c r="E7" s="164" t="s">
        <v>203</v>
      </c>
      <c r="F7" s="317">
        <v>0.85066960190790675</v>
      </c>
    </row>
    <row r="8" spans="1:6" s="161" customFormat="1" x14ac:dyDescent="0.25">
      <c r="B8" s="162">
        <v>2</v>
      </c>
      <c r="C8" s="161" t="s">
        <v>219</v>
      </c>
      <c r="D8" s="163" t="s">
        <v>220</v>
      </c>
      <c r="E8" s="164" t="s">
        <v>203</v>
      </c>
      <c r="F8" s="317">
        <v>0.87489553943024512</v>
      </c>
    </row>
    <row r="9" spans="1:6" s="161" customFormat="1" x14ac:dyDescent="0.25">
      <c r="B9" s="162">
        <v>3</v>
      </c>
      <c r="C9" s="161" t="s">
        <v>225</v>
      </c>
      <c r="D9" s="163" t="s">
        <v>226</v>
      </c>
      <c r="E9" s="164" t="s">
        <v>203</v>
      </c>
      <c r="F9" s="317">
        <v>1</v>
      </c>
    </row>
    <row r="10" spans="1:6" s="161" customFormat="1" x14ac:dyDescent="0.25">
      <c r="B10" s="162">
        <v>4</v>
      </c>
      <c r="C10" s="161" t="s">
        <v>222</v>
      </c>
      <c r="D10" s="163" t="s">
        <v>223</v>
      </c>
      <c r="E10" s="164" t="s">
        <v>203</v>
      </c>
      <c r="F10" s="317">
        <v>0.86898193953012592</v>
      </c>
    </row>
    <row r="11" spans="1:6" s="161" customFormat="1" x14ac:dyDescent="0.25">
      <c r="B11" s="162">
        <v>5</v>
      </c>
      <c r="C11" s="161" t="s">
        <v>238</v>
      </c>
      <c r="D11" s="163" t="s">
        <v>239</v>
      </c>
      <c r="E11" s="164" t="s">
        <v>203</v>
      </c>
      <c r="F11" s="317">
        <v>0.98297869992579046</v>
      </c>
    </row>
    <row r="12" spans="1:6" s="161" customFormat="1" x14ac:dyDescent="0.25">
      <c r="B12" s="162">
        <v>6</v>
      </c>
      <c r="C12" s="161" t="s">
        <v>245</v>
      </c>
      <c r="D12" s="163" t="s">
        <v>246</v>
      </c>
      <c r="E12" s="164" t="s">
        <v>203</v>
      </c>
      <c r="F12" s="317">
        <v>0.85415133302771207</v>
      </c>
    </row>
    <row r="13" spans="1:6" s="161" customFormat="1" x14ac:dyDescent="0.25">
      <c r="B13" s="162">
        <v>7</v>
      </c>
      <c r="C13" s="161" t="s">
        <v>249</v>
      </c>
      <c r="D13" s="163" t="s">
        <v>250</v>
      </c>
      <c r="E13" s="164" t="s">
        <v>204</v>
      </c>
      <c r="F13" s="317">
        <v>0.65802997858672374</v>
      </c>
    </row>
    <row r="14" spans="1:6" s="161" customFormat="1" x14ac:dyDescent="0.25">
      <c r="B14" s="162">
        <v>8</v>
      </c>
      <c r="C14" s="161" t="s">
        <v>254</v>
      </c>
      <c r="D14" s="163" t="s">
        <v>378</v>
      </c>
      <c r="E14" s="164" t="s">
        <v>203</v>
      </c>
      <c r="F14" s="317">
        <v>0.9689233314904776</v>
      </c>
    </row>
    <row r="15" spans="1:6" s="161" customFormat="1" x14ac:dyDescent="0.25">
      <c r="B15" s="162">
        <v>9</v>
      </c>
      <c r="C15" s="161" t="s">
        <v>256</v>
      </c>
      <c r="D15" s="163" t="s">
        <v>257</v>
      </c>
      <c r="E15" s="164" t="s">
        <v>203</v>
      </c>
      <c r="F15" s="317">
        <v>0.88470158978368518</v>
      </c>
    </row>
    <row r="16" spans="1:6" s="161" customFormat="1" x14ac:dyDescent="0.25">
      <c r="B16" s="162">
        <v>10</v>
      </c>
      <c r="C16" s="161" t="s">
        <v>227</v>
      </c>
      <c r="D16" s="163" t="s">
        <v>228</v>
      </c>
      <c r="E16" s="164" t="s">
        <v>203</v>
      </c>
      <c r="F16" s="317">
        <v>0.89796425024826221</v>
      </c>
    </row>
    <row r="17" spans="2:6" s="161" customFormat="1" x14ac:dyDescent="0.25">
      <c r="B17" s="162">
        <v>11</v>
      </c>
      <c r="C17" s="161" t="s">
        <v>361</v>
      </c>
      <c r="D17" s="163" t="s">
        <v>194</v>
      </c>
      <c r="E17" s="164" t="s">
        <v>204</v>
      </c>
      <c r="F17" s="317">
        <v>0.60541110175358148</v>
      </c>
    </row>
    <row r="18" spans="2:6" s="161" customFormat="1" x14ac:dyDescent="0.25">
      <c r="B18" s="162">
        <v>12</v>
      </c>
      <c r="C18" s="161" t="s">
        <v>261</v>
      </c>
      <c r="D18" s="163" t="s">
        <v>262</v>
      </c>
      <c r="E18" s="164" t="s">
        <v>203</v>
      </c>
      <c r="F18" s="317">
        <v>0.82212054050189465</v>
      </c>
    </row>
    <row r="19" spans="2:6" s="161" customFormat="1" x14ac:dyDescent="0.25">
      <c r="B19" s="162">
        <v>13</v>
      </c>
      <c r="C19" s="161" t="s">
        <v>263</v>
      </c>
      <c r="D19" s="163" t="s">
        <v>264</v>
      </c>
      <c r="E19" s="164" t="s">
        <v>203</v>
      </c>
      <c r="F19" s="317">
        <v>0.88358780206943976</v>
      </c>
    </row>
    <row r="20" spans="2:6" s="161" customFormat="1" x14ac:dyDescent="0.25">
      <c r="B20" s="162">
        <v>14</v>
      </c>
      <c r="C20" s="161" t="s">
        <v>265</v>
      </c>
      <c r="D20" s="163" t="s">
        <v>266</v>
      </c>
      <c r="E20" s="164" t="s">
        <v>203</v>
      </c>
      <c r="F20" s="317">
        <v>1</v>
      </c>
    </row>
    <row r="21" spans="2:6" s="161" customFormat="1" x14ac:dyDescent="0.25">
      <c r="B21" s="162">
        <v>15</v>
      </c>
      <c r="C21" s="161" t="s">
        <v>328</v>
      </c>
      <c r="D21" s="163" t="s">
        <v>331</v>
      </c>
      <c r="E21" s="164" t="s">
        <v>203</v>
      </c>
      <c r="F21" s="317">
        <v>1</v>
      </c>
    </row>
    <row r="22" spans="2:6" s="161" customFormat="1" x14ac:dyDescent="0.25">
      <c r="B22" s="162">
        <v>16</v>
      </c>
      <c r="C22" s="161" t="s">
        <v>367</v>
      </c>
      <c r="D22" s="163" t="s">
        <v>368</v>
      </c>
      <c r="E22" s="164" t="s">
        <v>203</v>
      </c>
      <c r="F22" s="317">
        <v>1.0050785355208813</v>
      </c>
    </row>
    <row r="23" spans="2:6" s="161" customFormat="1" x14ac:dyDescent="0.25">
      <c r="B23" s="162">
        <v>17</v>
      </c>
      <c r="C23" s="161" t="s">
        <v>267</v>
      </c>
      <c r="D23" s="163" t="s">
        <v>268</v>
      </c>
      <c r="E23" s="164" t="s">
        <v>203</v>
      </c>
      <c r="F23" s="317">
        <v>0.82306200926438611</v>
      </c>
    </row>
    <row r="24" spans="2:6" s="161" customFormat="1" x14ac:dyDescent="0.25">
      <c r="B24" s="162">
        <v>18</v>
      </c>
      <c r="C24" s="161" t="s">
        <v>269</v>
      </c>
      <c r="D24" s="163" t="s">
        <v>270</v>
      </c>
      <c r="E24" s="164" t="s">
        <v>204</v>
      </c>
      <c r="F24" s="317">
        <v>0.50006911327666048</v>
      </c>
    </row>
    <row r="25" spans="2:6" s="161" customFormat="1" x14ac:dyDescent="0.25">
      <c r="B25" s="162">
        <v>19</v>
      </c>
      <c r="C25" s="161" t="s">
        <v>275</v>
      </c>
      <c r="D25" s="163" t="s">
        <v>276</v>
      </c>
      <c r="E25" s="164" t="s">
        <v>204</v>
      </c>
      <c r="F25" s="317">
        <v>0.66296054901660084</v>
      </c>
    </row>
    <row r="26" spans="2:6" s="161" customFormat="1" x14ac:dyDescent="0.25">
      <c r="B26" s="162">
        <v>20</v>
      </c>
      <c r="C26" s="161" t="s">
        <v>352</v>
      </c>
      <c r="D26" s="163" t="s">
        <v>353</v>
      </c>
      <c r="E26" s="164" t="s">
        <v>203</v>
      </c>
      <c r="F26" s="317">
        <v>1.0258121175673225</v>
      </c>
    </row>
    <row r="27" spans="2:6" s="161" customFormat="1" x14ac:dyDescent="0.25">
      <c r="B27" s="162">
        <v>21</v>
      </c>
      <c r="C27" s="161" t="s">
        <v>279</v>
      </c>
      <c r="D27" s="163" t="s">
        <v>280</v>
      </c>
      <c r="E27" s="164" t="s">
        <v>194</v>
      </c>
      <c r="F27" s="317">
        <v>0.49985483935719455</v>
      </c>
    </row>
    <row r="28" spans="2:6" s="161" customFormat="1" x14ac:dyDescent="0.25">
      <c r="B28" s="162">
        <v>22</v>
      </c>
      <c r="C28" s="161" t="s">
        <v>283</v>
      </c>
      <c r="D28" s="163" t="s">
        <v>284</v>
      </c>
      <c r="E28" s="164" t="s">
        <v>203</v>
      </c>
      <c r="F28" s="317">
        <v>0.98311466116060708</v>
      </c>
    </row>
    <row r="29" spans="2:6" s="161" customFormat="1" x14ac:dyDescent="0.25">
      <c r="B29" s="162">
        <v>23</v>
      </c>
      <c r="C29" s="161" t="s">
        <v>395</v>
      </c>
      <c r="D29" s="163" t="s">
        <v>396</v>
      </c>
      <c r="E29" s="164" t="s">
        <v>203</v>
      </c>
      <c r="F29" s="317">
        <v>0.91615848253855703</v>
      </c>
    </row>
    <row r="30" spans="2:6" s="161" customFormat="1" x14ac:dyDescent="0.25">
      <c r="B30" s="162">
        <v>24</v>
      </c>
      <c r="C30" s="161" t="s">
        <v>271</v>
      </c>
      <c r="D30" s="163" t="s">
        <v>272</v>
      </c>
      <c r="E30" s="164" t="s">
        <v>194</v>
      </c>
      <c r="F30" s="317">
        <v>0.3793248841417991</v>
      </c>
    </row>
    <row r="31" spans="2:6" s="161" customFormat="1" x14ac:dyDescent="0.25">
      <c r="B31" s="162">
        <v>25</v>
      </c>
      <c r="C31" s="161" t="s">
        <v>308</v>
      </c>
      <c r="D31" s="163" t="s">
        <v>461</v>
      </c>
      <c r="E31" s="164" t="s">
        <v>204</v>
      </c>
      <c r="F31" s="317">
        <v>0.78015169061523282</v>
      </c>
    </row>
    <row r="32" spans="2:6" s="161" customFormat="1" x14ac:dyDescent="0.25">
      <c r="B32" s="162">
        <v>26</v>
      </c>
      <c r="C32" s="161" t="s">
        <v>240</v>
      </c>
      <c r="D32" s="163" t="s">
        <v>241</v>
      </c>
      <c r="E32" s="164" t="s">
        <v>204</v>
      </c>
      <c r="F32" s="317">
        <v>0.52458994514807356</v>
      </c>
    </row>
    <row r="33" spans="2:6" s="161" customFormat="1" x14ac:dyDescent="0.25">
      <c r="B33" s="162">
        <v>27</v>
      </c>
      <c r="C33" s="161" t="s">
        <v>273</v>
      </c>
      <c r="D33" s="163" t="s">
        <v>274</v>
      </c>
      <c r="E33" s="164" t="s">
        <v>204</v>
      </c>
      <c r="F33" s="317">
        <v>0.58274049617353607</v>
      </c>
    </row>
    <row r="34" spans="2:6" s="161" customFormat="1" x14ac:dyDescent="0.25">
      <c r="B34" s="162">
        <v>28</v>
      </c>
      <c r="C34" s="161" t="s">
        <v>235</v>
      </c>
      <c r="D34" s="163" t="s">
        <v>236</v>
      </c>
      <c r="E34" s="164" t="s">
        <v>203</v>
      </c>
      <c r="F34" s="317">
        <v>0.9476761367452482</v>
      </c>
    </row>
    <row r="35" spans="2:6" s="161" customFormat="1" x14ac:dyDescent="0.25">
      <c r="B35" s="162">
        <v>29</v>
      </c>
      <c r="C35" s="161" t="s">
        <v>297</v>
      </c>
      <c r="D35" s="163" t="s">
        <v>298</v>
      </c>
      <c r="E35" s="164" t="s">
        <v>203</v>
      </c>
      <c r="F35" s="317">
        <v>0.99831481784170029</v>
      </c>
    </row>
    <row r="36" spans="2:6" s="161" customFormat="1" x14ac:dyDescent="0.25">
      <c r="B36" s="162">
        <v>30</v>
      </c>
      <c r="C36" s="161" t="s">
        <v>277</v>
      </c>
      <c r="D36" s="163" t="s">
        <v>278</v>
      </c>
      <c r="E36" s="164" t="s">
        <v>203</v>
      </c>
      <c r="F36" s="317">
        <v>0.8675874808455255</v>
      </c>
    </row>
    <row r="37" spans="2:6" s="161" customFormat="1" x14ac:dyDescent="0.25">
      <c r="B37" s="162">
        <v>31</v>
      </c>
      <c r="C37" s="161" t="s">
        <v>299</v>
      </c>
      <c r="D37" s="163" t="s">
        <v>300</v>
      </c>
      <c r="E37" s="164" t="s">
        <v>203</v>
      </c>
      <c r="F37" s="317">
        <v>0.82212039553860683</v>
      </c>
    </row>
    <row r="38" spans="2:6" s="161" customFormat="1" x14ac:dyDescent="0.25">
      <c r="B38" s="162">
        <v>32</v>
      </c>
      <c r="C38" s="161" t="s">
        <v>382</v>
      </c>
      <c r="D38" s="163" t="s">
        <v>383</v>
      </c>
      <c r="E38" s="164" t="s">
        <v>203</v>
      </c>
      <c r="F38" s="317">
        <v>0.87566221995276694</v>
      </c>
    </row>
    <row r="39" spans="2:6" s="161" customFormat="1" x14ac:dyDescent="0.25">
      <c r="B39" s="162">
        <v>33</v>
      </c>
      <c r="C39" s="161" t="s">
        <v>301</v>
      </c>
      <c r="D39" s="163" t="s">
        <v>302</v>
      </c>
      <c r="E39" s="164" t="s">
        <v>203</v>
      </c>
      <c r="F39" s="317">
        <v>1</v>
      </c>
    </row>
    <row r="40" spans="2:6" s="161" customFormat="1" x14ac:dyDescent="0.25">
      <c r="B40" s="162">
        <v>34</v>
      </c>
      <c r="C40" s="161" t="s">
        <v>281</v>
      </c>
      <c r="D40" s="163" t="s">
        <v>282</v>
      </c>
      <c r="E40" s="164" t="s">
        <v>203</v>
      </c>
      <c r="F40" s="317">
        <v>1</v>
      </c>
    </row>
    <row r="41" spans="2:6" s="161" customFormat="1" x14ac:dyDescent="0.25">
      <c r="B41" s="162">
        <v>35</v>
      </c>
      <c r="C41" s="161" t="s">
        <v>303</v>
      </c>
      <c r="D41" s="163" t="s">
        <v>304</v>
      </c>
      <c r="E41" s="164" t="s">
        <v>203</v>
      </c>
      <c r="F41" s="317">
        <v>0.9801980503746146</v>
      </c>
    </row>
    <row r="42" spans="2:6" s="161" customFormat="1" x14ac:dyDescent="0.25">
      <c r="B42" s="162">
        <v>36</v>
      </c>
      <c r="C42" s="161" t="s">
        <v>285</v>
      </c>
      <c r="D42" s="163" t="s">
        <v>286</v>
      </c>
      <c r="E42" s="164" t="s">
        <v>203</v>
      </c>
      <c r="F42" s="317">
        <v>1</v>
      </c>
    </row>
    <row r="43" spans="2:6" s="161" customFormat="1" x14ac:dyDescent="0.25">
      <c r="B43" s="162">
        <v>37</v>
      </c>
      <c r="C43" s="161" t="s">
        <v>243</v>
      </c>
      <c r="D43" s="163" t="s">
        <v>244</v>
      </c>
      <c r="E43" s="164" t="s">
        <v>204</v>
      </c>
      <c r="F43" s="317">
        <v>0.74817741739001753</v>
      </c>
    </row>
    <row r="44" spans="2:6" s="161" customFormat="1" x14ac:dyDescent="0.25">
      <c r="B44" s="162">
        <v>38</v>
      </c>
      <c r="C44" s="161" t="s">
        <v>289</v>
      </c>
      <c r="D44" s="163" t="s">
        <v>290</v>
      </c>
      <c r="E44" s="164" t="s">
        <v>204</v>
      </c>
      <c r="F44" s="317">
        <v>0.62895876376192228</v>
      </c>
    </row>
    <row r="45" spans="2:6" s="161" customFormat="1" x14ac:dyDescent="0.25">
      <c r="B45" s="162">
        <v>39</v>
      </c>
      <c r="C45" s="161" t="s">
        <v>347</v>
      </c>
      <c r="D45" s="163" t="s">
        <v>348</v>
      </c>
      <c r="E45" s="164" t="s">
        <v>204</v>
      </c>
      <c r="F45" s="317">
        <v>0.75178020413007363</v>
      </c>
    </row>
    <row r="46" spans="2:6" s="161" customFormat="1" x14ac:dyDescent="0.25">
      <c r="B46" s="162">
        <v>40</v>
      </c>
      <c r="C46" s="161" t="s">
        <v>291</v>
      </c>
      <c r="D46" s="163" t="s">
        <v>292</v>
      </c>
      <c r="E46" s="164" t="s">
        <v>204</v>
      </c>
      <c r="F46" s="317">
        <v>0.75848182824927013</v>
      </c>
    </row>
    <row r="47" spans="2:6" s="161" customFormat="1" x14ac:dyDescent="0.25">
      <c r="B47" s="162">
        <v>41</v>
      </c>
      <c r="C47" s="161" t="s">
        <v>293</v>
      </c>
      <c r="D47" s="163" t="s">
        <v>294</v>
      </c>
      <c r="E47" s="164" t="s">
        <v>203</v>
      </c>
      <c r="F47" s="317">
        <v>0.911467366016666</v>
      </c>
    </row>
    <row r="48" spans="2:6" s="161" customFormat="1" x14ac:dyDescent="0.25">
      <c r="B48" s="162">
        <v>42</v>
      </c>
      <c r="C48" s="161" t="s">
        <v>369</v>
      </c>
      <c r="D48" s="163" t="s">
        <v>375</v>
      </c>
      <c r="E48" s="164" t="s">
        <v>203</v>
      </c>
      <c r="F48" s="317">
        <v>1.0182439091471658</v>
      </c>
    </row>
    <row r="49" spans="2:6" s="161" customFormat="1" x14ac:dyDescent="0.25">
      <c r="B49" s="162">
        <v>43</v>
      </c>
      <c r="C49" s="161" t="s">
        <v>389</v>
      </c>
      <c r="D49" s="163" t="s">
        <v>390</v>
      </c>
      <c r="E49" s="164" t="s">
        <v>203</v>
      </c>
      <c r="F49" s="317">
        <v>0.97107572768433081</v>
      </c>
    </row>
    <row r="50" spans="2:6" s="161" customFormat="1" x14ac:dyDescent="0.25">
      <c r="B50" s="162">
        <v>44</v>
      </c>
      <c r="C50" s="161" t="s">
        <v>295</v>
      </c>
      <c r="D50" s="163" t="s">
        <v>296</v>
      </c>
      <c r="E50" s="164" t="s">
        <v>203</v>
      </c>
      <c r="F50" s="317">
        <v>0.98020395920815839</v>
      </c>
    </row>
    <row r="51" spans="2:6" s="161" customFormat="1" x14ac:dyDescent="0.25">
      <c r="B51" s="162">
        <v>45</v>
      </c>
      <c r="C51" s="161" t="s">
        <v>345</v>
      </c>
      <c r="D51" s="163" t="s">
        <v>346</v>
      </c>
      <c r="E51" s="164" t="s">
        <v>204</v>
      </c>
      <c r="F51" s="317">
        <v>0.82606590085814458</v>
      </c>
    </row>
    <row r="52" spans="2:6" s="161" customFormat="1" x14ac:dyDescent="0.25">
      <c r="B52" s="162">
        <v>46</v>
      </c>
      <c r="C52" s="161" t="s">
        <v>354</v>
      </c>
      <c r="D52" s="163" t="s">
        <v>355</v>
      </c>
      <c r="E52" s="164" t="s">
        <v>203</v>
      </c>
      <c r="F52" s="317">
        <v>1</v>
      </c>
    </row>
    <row r="53" spans="2:6" s="161" customFormat="1" x14ac:dyDescent="0.25">
      <c r="B53" s="162">
        <v>47</v>
      </c>
      <c r="C53" s="161" t="s">
        <v>247</v>
      </c>
      <c r="D53" s="163" t="s">
        <v>248</v>
      </c>
      <c r="E53" s="164" t="s">
        <v>203</v>
      </c>
      <c r="F53" s="317">
        <v>0.98347336349367565</v>
      </c>
    </row>
    <row r="54" spans="2:6" s="161" customFormat="1" x14ac:dyDescent="0.25">
      <c r="B54" s="162">
        <v>48</v>
      </c>
      <c r="C54" s="161" t="s">
        <v>251</v>
      </c>
      <c r="D54" s="163" t="s">
        <v>252</v>
      </c>
      <c r="E54" s="164" t="s">
        <v>203</v>
      </c>
      <c r="F54" s="317">
        <v>0.99337195892319707</v>
      </c>
    </row>
    <row r="55" spans="2:6" s="161" customFormat="1" x14ac:dyDescent="0.25">
      <c r="B55" s="162"/>
      <c r="D55" s="163"/>
      <c r="E55" s="164"/>
      <c r="F55" s="317"/>
    </row>
    <row r="56" spans="2:6" s="161" customFormat="1" x14ac:dyDescent="0.25">
      <c r="B56" s="162">
        <v>1</v>
      </c>
      <c r="C56" s="320" t="s">
        <v>381</v>
      </c>
      <c r="D56" s="321" t="s">
        <v>234</v>
      </c>
      <c r="E56" s="164" t="s">
        <v>203</v>
      </c>
      <c r="F56" s="317">
        <v>1</v>
      </c>
    </row>
    <row r="57" spans="2:6" s="161" customFormat="1" x14ac:dyDescent="0.25">
      <c r="B57" s="162">
        <v>2</v>
      </c>
      <c r="C57" s="161" t="s">
        <v>597</v>
      </c>
      <c r="D57" s="163" t="s">
        <v>260</v>
      </c>
      <c r="E57" s="164" t="s">
        <v>203</v>
      </c>
      <c r="F57" s="317">
        <v>1</v>
      </c>
    </row>
    <row r="58" spans="2:6" s="161" customFormat="1" x14ac:dyDescent="0.25">
      <c r="B58" s="162">
        <v>3</v>
      </c>
      <c r="C58" s="161" t="s">
        <v>601</v>
      </c>
      <c r="D58" s="163" t="s">
        <v>359</v>
      </c>
      <c r="E58" s="164" t="s">
        <v>194</v>
      </c>
      <c r="F58" s="317">
        <v>0.20685175054704596</v>
      </c>
    </row>
    <row r="59" spans="2:6" s="161" customFormat="1" x14ac:dyDescent="0.25">
      <c r="B59" s="162">
        <v>4</v>
      </c>
      <c r="C59" s="161" t="s">
        <v>598</v>
      </c>
      <c r="D59" s="163" t="s">
        <v>288</v>
      </c>
      <c r="E59" s="164" t="s">
        <v>203</v>
      </c>
      <c r="F59" s="317">
        <v>1</v>
      </c>
    </row>
    <row r="60" spans="2:6" s="161" customFormat="1" x14ac:dyDescent="0.25">
      <c r="B60" s="162">
        <v>5</v>
      </c>
      <c r="C60" s="161" t="s">
        <v>599</v>
      </c>
      <c r="D60" s="163" t="s">
        <v>216</v>
      </c>
      <c r="E60" s="164" t="s">
        <v>204</v>
      </c>
      <c r="F60" s="317">
        <v>0.78488758123806135</v>
      </c>
    </row>
    <row r="61" spans="2:6" s="161" customFormat="1" x14ac:dyDescent="0.25">
      <c r="B61" s="162">
        <v>6</v>
      </c>
      <c r="C61" s="161" t="s">
        <v>600</v>
      </c>
      <c r="D61" s="163" t="s">
        <v>306</v>
      </c>
      <c r="E61" s="164" t="s">
        <v>203</v>
      </c>
      <c r="F61" s="317">
        <v>0.95403000000000004</v>
      </c>
    </row>
    <row r="62" spans="2:6" s="161" customFormat="1" x14ac:dyDescent="0.25">
      <c r="B62" s="162"/>
      <c r="D62" s="163"/>
      <c r="E62" s="164"/>
      <c r="F62" s="317"/>
    </row>
    <row r="63" spans="2:6" s="161" customFormat="1" x14ac:dyDescent="0.25">
      <c r="B63" s="162">
        <v>1</v>
      </c>
      <c r="C63" s="161" t="s">
        <v>418</v>
      </c>
      <c r="D63" s="163" t="s">
        <v>453</v>
      </c>
      <c r="E63" s="164"/>
    </row>
    <row r="64" spans="2:6" s="161" customFormat="1" x14ac:dyDescent="0.25">
      <c r="B64" s="162">
        <v>2</v>
      </c>
      <c r="C64" s="161" t="s">
        <v>411</v>
      </c>
      <c r="D64" s="163" t="s">
        <v>412</v>
      </c>
      <c r="E64" s="164"/>
    </row>
    <row r="65" spans="2:6" s="161" customFormat="1" x14ac:dyDescent="0.25">
      <c r="B65" s="162"/>
      <c r="D65" s="163"/>
      <c r="E65" s="164"/>
      <c r="F65" s="317"/>
    </row>
  </sheetData>
  <pageMargins left="0.21" right="0.75" top="0.27" bottom="0.28999999999999998" header="0.2" footer="0.21"/>
  <pageSetup scale="85" orientation="portrait" r:id="rId1"/>
  <headerFooter alignWithMargins="0"/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F65"/>
  <sheetViews>
    <sheetView showGridLines="0" zoomScale="80" zoomScaleNormal="80" workbookViewId="0">
      <pane xSplit="4" ySplit="5" topLeftCell="E6" activePane="bottomRight" state="frozen"/>
      <selection activeCell="E6" sqref="E6"/>
      <selection pane="topRight" activeCell="E6" sqref="E6"/>
      <selection pane="bottomLeft" activeCell="E6" sqref="E6"/>
      <selection pane="bottomRight" activeCell="E6" sqref="E6"/>
    </sheetView>
  </sheetViews>
  <sheetFormatPr defaultColWidth="9.109375" defaultRowHeight="13.8" x14ac:dyDescent="0.25"/>
  <cols>
    <col min="1" max="1" width="2.6640625" style="153" customWidth="1"/>
    <col min="2" max="2" width="4.6640625" style="153" customWidth="1"/>
    <col min="3" max="3" width="42.88671875" style="153" customWidth="1"/>
    <col min="4" max="4" width="9.6640625" style="155" customWidth="1"/>
    <col min="5" max="5" width="14" style="155" customWidth="1"/>
    <col min="6" max="16384" width="9.109375" style="153"/>
  </cols>
  <sheetData>
    <row r="1" spans="1:6" ht="18" x14ac:dyDescent="0.25">
      <c r="A1" s="153" t="s">
        <v>592</v>
      </c>
      <c r="C1" s="154"/>
    </row>
    <row r="3" spans="1:6" x14ac:dyDescent="0.25">
      <c r="E3" s="165">
        <v>41639</v>
      </c>
    </row>
    <row r="5" spans="1:6" s="156" customFormat="1" ht="27.6" x14ac:dyDescent="0.25">
      <c r="C5" s="157" t="s">
        <v>212</v>
      </c>
      <c r="D5" s="158" t="s">
        <v>593</v>
      </c>
      <c r="E5" s="159" t="s">
        <v>594</v>
      </c>
    </row>
    <row r="6" spans="1:6" x14ac:dyDescent="0.25">
      <c r="E6" s="160"/>
    </row>
    <row r="7" spans="1:6" s="161" customFormat="1" x14ac:dyDescent="0.25">
      <c r="B7" s="162">
        <f t="shared" ref="B7:B62" ca="1" si="0">OFFSET( B7, -1, 0 ) + 1</f>
        <v>1</v>
      </c>
      <c r="C7" s="161" t="s">
        <v>217</v>
      </c>
      <c r="D7" s="163" t="s">
        <v>218</v>
      </c>
      <c r="E7" s="164" t="s">
        <v>203</v>
      </c>
      <c r="F7" s="317">
        <v>0.90911182696732629</v>
      </c>
    </row>
    <row r="8" spans="1:6" s="161" customFormat="1" x14ac:dyDescent="0.25">
      <c r="B8" s="162">
        <f t="shared" ca="1" si="0"/>
        <v>2</v>
      </c>
      <c r="C8" s="161" t="s">
        <v>219</v>
      </c>
      <c r="D8" s="163" t="s">
        <v>220</v>
      </c>
      <c r="E8" s="164" t="s">
        <v>203</v>
      </c>
      <c r="F8" s="317">
        <v>0.88890788668514453</v>
      </c>
    </row>
    <row r="9" spans="1:6" s="161" customFormat="1" x14ac:dyDescent="0.25">
      <c r="B9" s="162">
        <f t="shared" ca="1" si="0"/>
        <v>3</v>
      </c>
      <c r="C9" s="161" t="s">
        <v>225</v>
      </c>
      <c r="D9" s="163" t="s">
        <v>226</v>
      </c>
      <c r="E9" s="164" t="s">
        <v>203</v>
      </c>
      <c r="F9" s="317">
        <v>0.97514010633711745</v>
      </c>
    </row>
    <row r="10" spans="1:6" s="161" customFormat="1" x14ac:dyDescent="0.25">
      <c r="B10" s="162">
        <f t="shared" ca="1" si="0"/>
        <v>4</v>
      </c>
      <c r="C10" s="161" t="s">
        <v>222</v>
      </c>
      <c r="D10" s="163" t="s">
        <v>223</v>
      </c>
      <c r="E10" s="164" t="s">
        <v>203</v>
      </c>
      <c r="F10" s="317">
        <v>0.8323465806360123</v>
      </c>
    </row>
    <row r="11" spans="1:6" s="161" customFormat="1" x14ac:dyDescent="0.25">
      <c r="B11" s="162">
        <f t="shared" ca="1" si="0"/>
        <v>5</v>
      </c>
      <c r="C11" s="161" t="s">
        <v>238</v>
      </c>
      <c r="D11" s="163" t="s">
        <v>239</v>
      </c>
      <c r="E11" s="164" t="s">
        <v>203</v>
      </c>
      <c r="F11" s="317">
        <v>0.9035001305616811</v>
      </c>
    </row>
    <row r="12" spans="1:6" s="161" customFormat="1" x14ac:dyDescent="0.25">
      <c r="B12" s="162">
        <f t="shared" ca="1" si="0"/>
        <v>6</v>
      </c>
      <c r="C12" s="161" t="s">
        <v>245</v>
      </c>
      <c r="D12" s="163" t="s">
        <v>246</v>
      </c>
      <c r="E12" s="164" t="s">
        <v>203</v>
      </c>
      <c r="F12" s="317">
        <v>0.85971896000648229</v>
      </c>
    </row>
    <row r="13" spans="1:6" s="161" customFormat="1" x14ac:dyDescent="0.25">
      <c r="B13" s="162">
        <f t="shared" ca="1" si="0"/>
        <v>7</v>
      </c>
      <c r="C13" s="161" t="s">
        <v>249</v>
      </c>
      <c r="D13" s="163" t="s">
        <v>250</v>
      </c>
      <c r="E13" s="164" t="s">
        <v>204</v>
      </c>
      <c r="F13" s="317">
        <v>0.66671239140374938</v>
      </c>
    </row>
    <row r="14" spans="1:6" s="161" customFormat="1" x14ac:dyDescent="0.25">
      <c r="B14" s="162">
        <f t="shared" ca="1" si="0"/>
        <v>8</v>
      </c>
      <c r="C14" s="161" t="s">
        <v>254</v>
      </c>
      <c r="D14" s="163" t="s">
        <v>378</v>
      </c>
      <c r="E14" s="164" t="s">
        <v>203</v>
      </c>
      <c r="F14" s="317">
        <v>0.93557933053746112</v>
      </c>
    </row>
    <row r="15" spans="1:6" s="161" customFormat="1" x14ac:dyDescent="0.25">
      <c r="B15" s="162">
        <f t="shared" ca="1" si="0"/>
        <v>9</v>
      </c>
      <c r="C15" s="161" t="s">
        <v>256</v>
      </c>
      <c r="D15" s="163" t="s">
        <v>257</v>
      </c>
      <c r="E15" s="164" t="s">
        <v>203</v>
      </c>
      <c r="F15" s="317">
        <v>0.87683739090491497</v>
      </c>
    </row>
    <row r="16" spans="1:6" s="161" customFormat="1" x14ac:dyDescent="0.25">
      <c r="B16" s="162">
        <f t="shared" ca="1" si="0"/>
        <v>10</v>
      </c>
      <c r="C16" s="161" t="s">
        <v>227</v>
      </c>
      <c r="D16" s="163" t="s">
        <v>228</v>
      </c>
      <c r="E16" s="164" t="s">
        <v>203</v>
      </c>
      <c r="F16" s="317">
        <v>0.89118508130981378</v>
      </c>
    </row>
    <row r="17" spans="2:6" s="161" customFormat="1" x14ac:dyDescent="0.25">
      <c r="B17" s="162">
        <f t="shared" ca="1" si="0"/>
        <v>11</v>
      </c>
      <c r="C17" s="161" t="s">
        <v>361</v>
      </c>
      <c r="D17" s="163" t="s">
        <v>194</v>
      </c>
      <c r="E17" s="164" t="s">
        <v>204</v>
      </c>
      <c r="F17" s="317">
        <v>0.6031767271522398</v>
      </c>
    </row>
    <row r="18" spans="2:6" s="161" customFormat="1" x14ac:dyDescent="0.25">
      <c r="B18" s="162">
        <f t="shared" ca="1" si="0"/>
        <v>12</v>
      </c>
      <c r="C18" s="161" t="s">
        <v>261</v>
      </c>
      <c r="D18" s="163" t="s">
        <v>262</v>
      </c>
      <c r="E18" s="164" t="s">
        <v>203</v>
      </c>
      <c r="F18" s="317">
        <v>0.82691343743975321</v>
      </c>
    </row>
    <row r="19" spans="2:6" s="161" customFormat="1" x14ac:dyDescent="0.25">
      <c r="B19" s="162">
        <f t="shared" ca="1" si="0"/>
        <v>13</v>
      </c>
      <c r="C19" s="161" t="s">
        <v>263</v>
      </c>
      <c r="D19" s="163" t="s">
        <v>264</v>
      </c>
      <c r="E19" s="164" t="s">
        <v>203</v>
      </c>
      <c r="F19" s="317">
        <v>0.87022887461992182</v>
      </c>
    </row>
    <row r="20" spans="2:6" s="161" customFormat="1" x14ac:dyDescent="0.25">
      <c r="B20" s="162">
        <f t="shared" ca="1" si="0"/>
        <v>14</v>
      </c>
      <c r="C20" s="161" t="s">
        <v>265</v>
      </c>
      <c r="D20" s="163" t="s">
        <v>266</v>
      </c>
      <c r="E20" s="164" t="s">
        <v>203</v>
      </c>
      <c r="F20" s="317">
        <v>1</v>
      </c>
    </row>
    <row r="21" spans="2:6" s="161" customFormat="1" x14ac:dyDescent="0.25">
      <c r="B21" s="162">
        <f t="shared" ca="1" si="0"/>
        <v>15</v>
      </c>
      <c r="C21" s="161" t="s">
        <v>328</v>
      </c>
      <c r="D21" s="163" t="s">
        <v>331</v>
      </c>
      <c r="E21" s="164" t="s">
        <v>203</v>
      </c>
      <c r="F21" s="317">
        <v>1</v>
      </c>
    </row>
    <row r="22" spans="2:6" s="161" customFormat="1" x14ac:dyDescent="0.25">
      <c r="B22" s="162">
        <f t="shared" ca="1" si="0"/>
        <v>16</v>
      </c>
      <c r="C22" s="161" t="s">
        <v>367</v>
      </c>
      <c r="D22" s="163" t="s">
        <v>368</v>
      </c>
      <c r="E22" s="164" t="s">
        <v>203</v>
      </c>
      <c r="F22" s="317">
        <v>1.0060255146162436</v>
      </c>
    </row>
    <row r="23" spans="2:6" s="161" customFormat="1" x14ac:dyDescent="0.25">
      <c r="B23" s="162">
        <f t="shared" ca="1" si="0"/>
        <v>17</v>
      </c>
      <c r="C23" s="161" t="s">
        <v>267</v>
      </c>
      <c r="D23" s="163" t="s">
        <v>268</v>
      </c>
      <c r="E23" s="164" t="s">
        <v>203</v>
      </c>
      <c r="F23" s="317">
        <v>0.81876283997081911</v>
      </c>
    </row>
    <row r="24" spans="2:6" s="161" customFormat="1" x14ac:dyDescent="0.25">
      <c r="B24" s="162">
        <f t="shared" ca="1" si="0"/>
        <v>18</v>
      </c>
      <c r="C24" s="161" t="s">
        <v>269</v>
      </c>
      <c r="D24" s="163" t="s">
        <v>270</v>
      </c>
      <c r="E24" s="164" t="s">
        <v>204</v>
      </c>
      <c r="F24" s="317">
        <v>0.52044442220109099</v>
      </c>
    </row>
    <row r="25" spans="2:6" s="161" customFormat="1" x14ac:dyDescent="0.25">
      <c r="B25" s="162">
        <f t="shared" ca="1" si="0"/>
        <v>19</v>
      </c>
      <c r="C25" s="161" t="s">
        <v>275</v>
      </c>
      <c r="D25" s="163" t="s">
        <v>276</v>
      </c>
      <c r="E25" s="164" t="s">
        <v>204</v>
      </c>
      <c r="F25" s="317">
        <v>0.65306203395208628</v>
      </c>
    </row>
    <row r="26" spans="2:6" s="161" customFormat="1" x14ac:dyDescent="0.25">
      <c r="B26" s="162">
        <f t="shared" ca="1" si="0"/>
        <v>20</v>
      </c>
      <c r="C26" s="161" t="s">
        <v>352</v>
      </c>
      <c r="D26" s="163" t="s">
        <v>353</v>
      </c>
      <c r="E26" s="164" t="s">
        <v>203</v>
      </c>
      <c r="F26" s="317">
        <v>1.0228882945055842</v>
      </c>
    </row>
    <row r="27" spans="2:6" s="161" customFormat="1" x14ac:dyDescent="0.25">
      <c r="B27" s="162">
        <f t="shared" ca="1" si="0"/>
        <v>21</v>
      </c>
      <c r="C27" s="161" t="s">
        <v>279</v>
      </c>
      <c r="D27" s="163" t="s">
        <v>280</v>
      </c>
      <c r="E27" s="164" t="s">
        <v>194</v>
      </c>
      <c r="F27" s="317">
        <v>0.49198330297240517</v>
      </c>
    </row>
    <row r="28" spans="2:6" s="161" customFormat="1" x14ac:dyDescent="0.25">
      <c r="B28" s="162">
        <f t="shared" ca="1" si="0"/>
        <v>22</v>
      </c>
      <c r="C28" s="161" t="s">
        <v>283</v>
      </c>
      <c r="D28" s="163" t="s">
        <v>284</v>
      </c>
      <c r="E28" s="164" t="s">
        <v>203</v>
      </c>
      <c r="F28" s="317">
        <v>0.98170363550581841</v>
      </c>
    </row>
    <row r="29" spans="2:6" s="161" customFormat="1" x14ac:dyDescent="0.25">
      <c r="B29" s="162">
        <f t="shared" ca="1" si="0"/>
        <v>23</v>
      </c>
      <c r="C29" s="161" t="s">
        <v>395</v>
      </c>
      <c r="D29" s="163" t="s">
        <v>396</v>
      </c>
      <c r="E29" s="164" t="s">
        <v>203</v>
      </c>
      <c r="F29" s="317">
        <v>0.86226708765064253</v>
      </c>
    </row>
    <row r="30" spans="2:6" s="161" customFormat="1" x14ac:dyDescent="0.25">
      <c r="B30" s="162">
        <f t="shared" ca="1" si="0"/>
        <v>24</v>
      </c>
      <c r="C30" s="161" t="s">
        <v>271</v>
      </c>
      <c r="D30" s="163" t="s">
        <v>272</v>
      </c>
      <c r="E30" s="164" t="s">
        <v>194</v>
      </c>
      <c r="F30" s="317">
        <v>0.37816533764451238</v>
      </c>
    </row>
    <row r="31" spans="2:6" s="161" customFormat="1" x14ac:dyDescent="0.25">
      <c r="B31" s="162">
        <f t="shared" ca="1" si="0"/>
        <v>25</v>
      </c>
      <c r="C31" s="161" t="s">
        <v>308</v>
      </c>
      <c r="D31" s="163" t="s">
        <v>461</v>
      </c>
      <c r="E31" s="164" t="s">
        <v>204</v>
      </c>
      <c r="F31" s="317">
        <v>0.77859929325041477</v>
      </c>
    </row>
    <row r="32" spans="2:6" s="161" customFormat="1" x14ac:dyDescent="0.25">
      <c r="B32" s="162">
        <f t="shared" ca="1" si="0"/>
        <v>26</v>
      </c>
      <c r="C32" s="161" t="s">
        <v>240</v>
      </c>
      <c r="D32" s="163" t="s">
        <v>241</v>
      </c>
      <c r="E32" s="164" t="s">
        <v>204</v>
      </c>
      <c r="F32" s="317">
        <v>0.52647678411681531</v>
      </c>
    </row>
    <row r="33" spans="2:6" s="161" customFormat="1" x14ac:dyDescent="0.25">
      <c r="B33" s="162">
        <f t="shared" ca="1" si="0"/>
        <v>27</v>
      </c>
      <c r="C33" s="161" t="s">
        <v>273</v>
      </c>
      <c r="D33" s="163" t="s">
        <v>274</v>
      </c>
      <c r="E33" s="164" t="s">
        <v>204</v>
      </c>
      <c r="F33" s="317">
        <v>0.57990014964310777</v>
      </c>
    </row>
    <row r="34" spans="2:6" s="161" customFormat="1" x14ac:dyDescent="0.25">
      <c r="B34" s="162">
        <f t="shared" ca="1" si="0"/>
        <v>28</v>
      </c>
      <c r="C34" s="161" t="s">
        <v>394</v>
      </c>
      <c r="D34" s="163" t="s">
        <v>236</v>
      </c>
      <c r="E34" s="164" t="s">
        <v>203</v>
      </c>
      <c r="F34" s="317">
        <v>0.96294364195643178</v>
      </c>
    </row>
    <row r="35" spans="2:6" s="161" customFormat="1" x14ac:dyDescent="0.25">
      <c r="B35" s="162">
        <f t="shared" ca="1" si="0"/>
        <v>29</v>
      </c>
      <c r="C35" s="161" t="s">
        <v>297</v>
      </c>
      <c r="D35" s="163" t="s">
        <v>298</v>
      </c>
      <c r="E35" s="164" t="s">
        <v>203</v>
      </c>
      <c r="F35" s="317">
        <v>0.99627347749551853</v>
      </c>
    </row>
    <row r="36" spans="2:6" s="161" customFormat="1" x14ac:dyDescent="0.25">
      <c r="B36" s="162">
        <f t="shared" ca="1" si="0"/>
        <v>30</v>
      </c>
      <c r="C36" s="161" t="s">
        <v>277</v>
      </c>
      <c r="D36" s="163" t="s">
        <v>278</v>
      </c>
      <c r="E36" s="164" t="s">
        <v>203</v>
      </c>
      <c r="F36" s="317">
        <v>0.84238124952105697</v>
      </c>
    </row>
    <row r="37" spans="2:6" s="161" customFormat="1" x14ac:dyDescent="0.25">
      <c r="B37" s="162">
        <f t="shared" ca="1" si="0"/>
        <v>31</v>
      </c>
      <c r="C37" s="161" t="s">
        <v>299</v>
      </c>
      <c r="D37" s="163" t="s">
        <v>300</v>
      </c>
      <c r="E37" s="164" t="s">
        <v>203</v>
      </c>
      <c r="F37" s="317">
        <v>0.80852170306243221</v>
      </c>
    </row>
    <row r="38" spans="2:6" s="161" customFormat="1" x14ac:dyDescent="0.25">
      <c r="B38" s="162">
        <f t="shared" ca="1" si="0"/>
        <v>32</v>
      </c>
      <c r="C38" s="161" t="s">
        <v>382</v>
      </c>
      <c r="D38" s="163" t="s">
        <v>383</v>
      </c>
      <c r="E38" s="164" t="s">
        <v>203</v>
      </c>
      <c r="F38" s="317">
        <v>0.87741631305987744</v>
      </c>
    </row>
    <row r="39" spans="2:6" s="161" customFormat="1" x14ac:dyDescent="0.25">
      <c r="B39" s="162">
        <f t="shared" ca="1" si="0"/>
        <v>33</v>
      </c>
      <c r="C39" s="161" t="s">
        <v>301</v>
      </c>
      <c r="D39" s="163" t="s">
        <v>302</v>
      </c>
      <c r="E39" s="164" t="s">
        <v>203</v>
      </c>
      <c r="F39" s="317">
        <v>1</v>
      </c>
    </row>
    <row r="40" spans="2:6" s="161" customFormat="1" x14ac:dyDescent="0.25">
      <c r="B40" s="162">
        <f t="shared" ca="1" si="0"/>
        <v>34</v>
      </c>
      <c r="C40" s="161" t="s">
        <v>281</v>
      </c>
      <c r="D40" s="163" t="s">
        <v>282</v>
      </c>
      <c r="E40" s="164" t="s">
        <v>203</v>
      </c>
      <c r="F40" s="317">
        <v>1</v>
      </c>
    </row>
    <row r="41" spans="2:6" s="161" customFormat="1" x14ac:dyDescent="0.25">
      <c r="B41" s="162">
        <f t="shared" ca="1" si="0"/>
        <v>35</v>
      </c>
      <c r="C41" s="161" t="s">
        <v>303</v>
      </c>
      <c r="D41" s="163" t="s">
        <v>304</v>
      </c>
      <c r="E41" s="164" t="s">
        <v>203</v>
      </c>
      <c r="F41" s="317">
        <v>0.97997112837509848</v>
      </c>
    </row>
    <row r="42" spans="2:6" s="161" customFormat="1" x14ac:dyDescent="0.25">
      <c r="B42" s="162">
        <f t="shared" ca="1" si="0"/>
        <v>36</v>
      </c>
      <c r="C42" s="161" t="s">
        <v>285</v>
      </c>
      <c r="D42" s="163" t="s">
        <v>286</v>
      </c>
      <c r="E42" s="164" t="s">
        <v>203</v>
      </c>
      <c r="F42" s="317">
        <v>1</v>
      </c>
    </row>
    <row r="43" spans="2:6" s="161" customFormat="1" x14ac:dyDescent="0.25">
      <c r="B43" s="162">
        <f t="shared" ca="1" si="0"/>
        <v>37</v>
      </c>
      <c r="C43" s="161" t="s">
        <v>243</v>
      </c>
      <c r="D43" s="163" t="s">
        <v>244</v>
      </c>
      <c r="E43" s="164" t="s">
        <v>204</v>
      </c>
      <c r="F43" s="317">
        <v>0.74506486245544123</v>
      </c>
    </row>
    <row r="44" spans="2:6" s="161" customFormat="1" x14ac:dyDescent="0.25">
      <c r="B44" s="162">
        <f t="shared" ca="1" si="0"/>
        <v>38</v>
      </c>
      <c r="C44" s="161" t="s">
        <v>289</v>
      </c>
      <c r="D44" s="163" t="s">
        <v>290</v>
      </c>
      <c r="E44" s="164" t="s">
        <v>204</v>
      </c>
      <c r="F44" s="317">
        <v>0.60635877252321502</v>
      </c>
    </row>
    <row r="45" spans="2:6" s="161" customFormat="1" x14ac:dyDescent="0.25">
      <c r="B45" s="162">
        <f t="shared" ca="1" si="0"/>
        <v>39</v>
      </c>
      <c r="C45" s="161" t="s">
        <v>347</v>
      </c>
      <c r="D45" s="163" t="s">
        <v>348</v>
      </c>
      <c r="E45" s="164" t="s">
        <v>204</v>
      </c>
      <c r="F45" s="317">
        <v>0.78000527565286204</v>
      </c>
    </row>
    <row r="46" spans="2:6" s="161" customFormat="1" x14ac:dyDescent="0.25">
      <c r="B46" s="162">
        <f t="shared" ca="1" si="0"/>
        <v>40</v>
      </c>
      <c r="C46" s="161" t="s">
        <v>291</v>
      </c>
      <c r="D46" s="163" t="s">
        <v>292</v>
      </c>
      <c r="E46" s="164" t="s">
        <v>204</v>
      </c>
      <c r="F46" s="317">
        <v>0.75327569541402639</v>
      </c>
    </row>
    <row r="47" spans="2:6" s="161" customFormat="1" x14ac:dyDescent="0.25">
      <c r="B47" s="162">
        <f t="shared" ca="1" si="0"/>
        <v>41</v>
      </c>
      <c r="C47" s="161" t="s">
        <v>293</v>
      </c>
      <c r="D47" s="163" t="s">
        <v>294</v>
      </c>
      <c r="E47" s="164" t="s">
        <v>203</v>
      </c>
      <c r="F47" s="317">
        <v>0.92100207603879403</v>
      </c>
    </row>
    <row r="48" spans="2:6" s="161" customFormat="1" x14ac:dyDescent="0.25">
      <c r="B48" s="162">
        <f t="shared" ca="1" si="0"/>
        <v>42</v>
      </c>
      <c r="C48" s="161" t="s">
        <v>369</v>
      </c>
      <c r="D48" s="163" t="s">
        <v>375</v>
      </c>
      <c r="E48" s="164" t="s">
        <v>203</v>
      </c>
      <c r="F48" s="317">
        <v>0.95973415682062291</v>
      </c>
    </row>
    <row r="49" spans="2:6" s="161" customFormat="1" x14ac:dyDescent="0.25">
      <c r="B49" s="162">
        <f t="shared" ca="1" si="0"/>
        <v>43</v>
      </c>
      <c r="C49" s="161" t="s">
        <v>389</v>
      </c>
      <c r="D49" s="163" t="s">
        <v>390</v>
      </c>
      <c r="E49" s="164" t="s">
        <v>203</v>
      </c>
      <c r="F49" s="317">
        <v>0.96437419083942755</v>
      </c>
    </row>
    <row r="50" spans="2:6" s="161" customFormat="1" x14ac:dyDescent="0.25">
      <c r="B50" s="162">
        <f t="shared" ca="1" si="0"/>
        <v>44</v>
      </c>
      <c r="C50" s="161" t="s">
        <v>295</v>
      </c>
      <c r="D50" s="163" t="s">
        <v>296</v>
      </c>
      <c r="E50" s="164" t="s">
        <v>203</v>
      </c>
      <c r="F50" s="317">
        <v>0.98316315446447966</v>
      </c>
    </row>
    <row r="51" spans="2:6" s="161" customFormat="1" x14ac:dyDescent="0.25">
      <c r="B51" s="162">
        <f t="shared" ca="1" si="0"/>
        <v>45</v>
      </c>
      <c r="C51" s="161" t="s">
        <v>402</v>
      </c>
      <c r="D51" s="163" t="s">
        <v>459</v>
      </c>
      <c r="E51" s="164" t="s">
        <v>203</v>
      </c>
      <c r="F51" s="317">
        <v>0.99953194476948282</v>
      </c>
    </row>
    <row r="52" spans="2:6" s="161" customFormat="1" x14ac:dyDescent="0.25">
      <c r="B52" s="162">
        <f t="shared" ca="1" si="0"/>
        <v>46</v>
      </c>
      <c r="C52" s="161" t="s">
        <v>345</v>
      </c>
      <c r="D52" s="163" t="s">
        <v>346</v>
      </c>
      <c r="E52" s="164" t="s">
        <v>204</v>
      </c>
      <c r="F52" s="317">
        <v>0.77742719397953985</v>
      </c>
    </row>
    <row r="53" spans="2:6" s="161" customFormat="1" x14ac:dyDescent="0.25">
      <c r="B53" s="162">
        <f t="shared" ca="1" si="0"/>
        <v>47</v>
      </c>
      <c r="C53" s="161" t="s">
        <v>354</v>
      </c>
      <c r="D53" s="163" t="s">
        <v>355</v>
      </c>
      <c r="E53" s="164" t="s">
        <v>203</v>
      </c>
      <c r="F53" s="317">
        <v>1</v>
      </c>
    </row>
    <row r="54" spans="2:6" s="161" customFormat="1" x14ac:dyDescent="0.25">
      <c r="B54" s="162">
        <f t="shared" ca="1" si="0"/>
        <v>48</v>
      </c>
      <c r="C54" s="161" t="s">
        <v>247</v>
      </c>
      <c r="D54" s="163" t="s">
        <v>248</v>
      </c>
      <c r="E54" s="164" t="s">
        <v>203</v>
      </c>
      <c r="F54" s="317">
        <v>0.97907836472707066</v>
      </c>
    </row>
    <row r="55" spans="2:6" s="161" customFormat="1" x14ac:dyDescent="0.25">
      <c r="B55" s="162">
        <f t="shared" ca="1" si="0"/>
        <v>49</v>
      </c>
      <c r="C55" s="161" t="s">
        <v>251</v>
      </c>
      <c r="D55" s="163" t="s">
        <v>252</v>
      </c>
      <c r="E55" s="164" t="s">
        <v>203</v>
      </c>
      <c r="F55" s="317">
        <v>0.99302150358307584</v>
      </c>
    </row>
    <row r="56" spans="2:6" s="161" customFormat="1" x14ac:dyDescent="0.25">
      <c r="B56" s="162"/>
      <c r="D56" s="163"/>
      <c r="E56" s="164"/>
      <c r="F56" s="317"/>
    </row>
    <row r="57" spans="2:6" s="161" customFormat="1" x14ac:dyDescent="0.25">
      <c r="B57" s="162">
        <f t="shared" ca="1" si="0"/>
        <v>1</v>
      </c>
      <c r="C57" s="161" t="s">
        <v>387</v>
      </c>
      <c r="D57" s="163" t="s">
        <v>388</v>
      </c>
      <c r="E57" s="164" t="s">
        <v>203</v>
      </c>
      <c r="F57" s="317">
        <v>1</v>
      </c>
    </row>
    <row r="58" spans="2:6" s="161" customFormat="1" x14ac:dyDescent="0.25">
      <c r="B58" s="162">
        <f t="shared" ca="1" si="0"/>
        <v>2</v>
      </c>
      <c r="C58" s="161" t="s">
        <v>259</v>
      </c>
      <c r="D58" s="163" t="s">
        <v>260</v>
      </c>
      <c r="E58" s="164" t="s">
        <v>203</v>
      </c>
      <c r="F58" s="317">
        <v>1</v>
      </c>
    </row>
    <row r="59" spans="2:6" s="161" customFormat="1" x14ac:dyDescent="0.25">
      <c r="B59" s="162">
        <f t="shared" ca="1" si="0"/>
        <v>3</v>
      </c>
      <c r="C59" s="161" t="s">
        <v>371</v>
      </c>
      <c r="D59" s="163" t="s">
        <v>359</v>
      </c>
      <c r="E59" s="164" t="s">
        <v>194</v>
      </c>
      <c r="F59" s="317">
        <v>0.14258999999999999</v>
      </c>
    </row>
    <row r="60" spans="2:6" s="161" customFormat="1" x14ac:dyDescent="0.25">
      <c r="B60" s="162">
        <f t="shared" ca="1" si="0"/>
        <v>4</v>
      </c>
      <c r="C60" s="161" t="s">
        <v>287</v>
      </c>
      <c r="D60" s="163" t="s">
        <v>288</v>
      </c>
      <c r="E60" s="164" t="s">
        <v>203</v>
      </c>
      <c r="F60" s="317">
        <v>1</v>
      </c>
    </row>
    <row r="61" spans="2:6" s="161" customFormat="1" x14ac:dyDescent="0.25">
      <c r="B61" s="162">
        <f t="shared" ca="1" si="0"/>
        <v>5</v>
      </c>
      <c r="C61" s="161" t="s">
        <v>408</v>
      </c>
      <c r="D61" s="163" t="s">
        <v>216</v>
      </c>
      <c r="E61" s="164" t="s">
        <v>204</v>
      </c>
      <c r="F61" s="317">
        <v>0.77944722987807114</v>
      </c>
    </row>
    <row r="62" spans="2:6" s="161" customFormat="1" x14ac:dyDescent="0.25">
      <c r="B62" s="162">
        <f t="shared" ca="1" si="0"/>
        <v>6</v>
      </c>
      <c r="C62" s="161" t="s">
        <v>305</v>
      </c>
      <c r="D62" s="163" t="s">
        <v>306</v>
      </c>
      <c r="E62" s="164" t="s">
        <v>203</v>
      </c>
      <c r="F62" s="317">
        <v>0.94986000000000004</v>
      </c>
    </row>
    <row r="63" spans="2:6" s="161" customFormat="1" x14ac:dyDescent="0.25">
      <c r="B63" s="162"/>
      <c r="D63" s="163"/>
      <c r="E63" s="164"/>
    </row>
    <row r="64" spans="2:6" s="161" customFormat="1" x14ac:dyDescent="0.25">
      <c r="B64" s="162">
        <f t="shared" ref="B64" ca="1" si="1">OFFSET( B64, -1, 0 ) + 1</f>
        <v>1</v>
      </c>
      <c r="C64" s="161" t="s">
        <v>418</v>
      </c>
      <c r="D64" s="163" t="s">
        <v>453</v>
      </c>
      <c r="E64" s="164"/>
    </row>
    <row r="65" spans="2:6" s="161" customFormat="1" x14ac:dyDescent="0.25">
      <c r="B65" s="162">
        <f ca="1">OFFSET( B65, -1, 0 ) + 1</f>
        <v>2</v>
      </c>
      <c r="C65" s="161" t="s">
        <v>411</v>
      </c>
      <c r="D65" s="163" t="s">
        <v>412</v>
      </c>
      <c r="E65" s="164"/>
      <c r="F65" s="317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E65"/>
  <sheetViews>
    <sheetView showGridLines="0" zoomScale="80" zoomScaleNormal="80" workbookViewId="0">
      <pane xSplit="4" ySplit="5" topLeftCell="E6" activePane="bottomRight" state="frozen"/>
      <selection activeCell="E6" sqref="E6"/>
      <selection pane="topRight" activeCell="E6" sqref="E6"/>
      <selection pane="bottomLeft" activeCell="E6" sqref="E6"/>
      <selection pane="bottomRight" activeCell="E6" sqref="E6"/>
    </sheetView>
  </sheetViews>
  <sheetFormatPr defaultColWidth="9.109375" defaultRowHeight="13.8" x14ac:dyDescent="0.25"/>
  <cols>
    <col min="1" max="1" width="2.6640625" style="153" customWidth="1"/>
    <col min="2" max="2" width="4.6640625" style="153" customWidth="1"/>
    <col min="3" max="3" width="42.88671875" style="153" customWidth="1"/>
    <col min="4" max="4" width="9.6640625" style="155" customWidth="1"/>
    <col min="5" max="5" width="14" style="155" customWidth="1"/>
    <col min="6" max="16384" width="9.109375" style="153"/>
  </cols>
  <sheetData>
    <row r="1" spans="1:5" ht="18" x14ac:dyDescent="0.25">
      <c r="A1" s="153" t="s">
        <v>592</v>
      </c>
      <c r="C1" s="154"/>
    </row>
    <row r="3" spans="1:5" x14ac:dyDescent="0.25">
      <c r="E3" s="165">
        <v>41274</v>
      </c>
    </row>
    <row r="5" spans="1:5" s="156" customFormat="1" ht="27.6" x14ac:dyDescent="0.25">
      <c r="C5" s="157" t="s">
        <v>212</v>
      </c>
      <c r="D5" s="158" t="s">
        <v>593</v>
      </c>
      <c r="E5" s="159" t="s">
        <v>594</v>
      </c>
    </row>
    <row r="6" spans="1:5" x14ac:dyDescent="0.25">
      <c r="E6" s="160"/>
    </row>
    <row r="7" spans="1:5" s="161" customFormat="1" x14ac:dyDescent="0.25">
      <c r="B7" s="162">
        <f t="shared" ref="B7:B63" ca="1" si="0">OFFSET( B7, -1, 0 ) + 1</f>
        <v>1</v>
      </c>
      <c r="C7" s="161" t="s">
        <v>217</v>
      </c>
      <c r="D7" s="163" t="s">
        <v>218</v>
      </c>
      <c r="E7" s="164" t="s">
        <v>203</v>
      </c>
    </row>
    <row r="8" spans="1:5" s="161" customFormat="1" x14ac:dyDescent="0.25">
      <c r="B8" s="162">
        <f t="shared" ca="1" si="0"/>
        <v>2</v>
      </c>
      <c r="C8" s="161" t="s">
        <v>219</v>
      </c>
      <c r="D8" s="163" t="s">
        <v>220</v>
      </c>
      <c r="E8" s="164" t="s">
        <v>203</v>
      </c>
    </row>
    <row r="9" spans="1:5" s="161" customFormat="1" x14ac:dyDescent="0.25">
      <c r="B9" s="162">
        <f t="shared" ca="1" si="0"/>
        <v>3</v>
      </c>
      <c r="C9" s="161" t="s">
        <v>225</v>
      </c>
      <c r="D9" s="163" t="s">
        <v>226</v>
      </c>
      <c r="E9" s="164" t="s">
        <v>203</v>
      </c>
    </row>
    <row r="10" spans="1:5" s="161" customFormat="1" x14ac:dyDescent="0.25">
      <c r="B10" s="162">
        <f t="shared" ca="1" si="0"/>
        <v>4</v>
      </c>
      <c r="C10" s="161" t="s">
        <v>222</v>
      </c>
      <c r="D10" s="163" t="s">
        <v>223</v>
      </c>
      <c r="E10" s="164" t="s">
        <v>203</v>
      </c>
    </row>
    <row r="11" spans="1:5" s="161" customFormat="1" x14ac:dyDescent="0.25">
      <c r="B11" s="162">
        <f t="shared" ca="1" si="0"/>
        <v>5</v>
      </c>
      <c r="C11" s="161" t="s">
        <v>238</v>
      </c>
      <c r="D11" s="163" t="s">
        <v>239</v>
      </c>
      <c r="E11" s="164" t="s">
        <v>203</v>
      </c>
    </row>
    <row r="12" spans="1:5" s="161" customFormat="1" x14ac:dyDescent="0.25">
      <c r="B12" s="162">
        <f t="shared" ca="1" si="0"/>
        <v>6</v>
      </c>
      <c r="C12" s="161" t="s">
        <v>245</v>
      </c>
      <c r="D12" s="163" t="s">
        <v>246</v>
      </c>
      <c r="E12" s="164" t="s">
        <v>203</v>
      </c>
    </row>
    <row r="13" spans="1:5" s="161" customFormat="1" x14ac:dyDescent="0.25">
      <c r="B13" s="162">
        <f t="shared" ca="1" si="0"/>
        <v>7</v>
      </c>
      <c r="C13" s="161" t="s">
        <v>249</v>
      </c>
      <c r="D13" s="163" t="s">
        <v>250</v>
      </c>
      <c r="E13" s="164" t="s">
        <v>204</v>
      </c>
    </row>
    <row r="14" spans="1:5" s="161" customFormat="1" x14ac:dyDescent="0.25">
      <c r="B14" s="162">
        <f t="shared" ca="1" si="0"/>
        <v>8</v>
      </c>
      <c r="C14" s="161" t="s">
        <v>254</v>
      </c>
      <c r="D14" s="163" t="s">
        <v>378</v>
      </c>
      <c r="E14" s="164" t="s">
        <v>203</v>
      </c>
    </row>
    <row r="15" spans="1:5" s="161" customFormat="1" x14ac:dyDescent="0.25">
      <c r="B15" s="162">
        <f t="shared" ca="1" si="0"/>
        <v>9</v>
      </c>
      <c r="C15" s="161" t="s">
        <v>256</v>
      </c>
      <c r="D15" s="163" t="s">
        <v>257</v>
      </c>
      <c r="E15" s="164" t="s">
        <v>203</v>
      </c>
    </row>
    <row r="16" spans="1:5" s="161" customFormat="1" x14ac:dyDescent="0.25">
      <c r="B16" s="162">
        <f t="shared" ca="1" si="0"/>
        <v>10</v>
      </c>
      <c r="C16" s="161" t="s">
        <v>227</v>
      </c>
      <c r="D16" s="163" t="s">
        <v>228</v>
      </c>
      <c r="E16" s="164" t="s">
        <v>203</v>
      </c>
    </row>
    <row r="17" spans="2:5" s="161" customFormat="1" x14ac:dyDescent="0.25">
      <c r="B17" s="162">
        <f t="shared" ca="1" si="0"/>
        <v>11</v>
      </c>
      <c r="C17" s="161" t="s">
        <v>361</v>
      </c>
      <c r="D17" s="163" t="s">
        <v>194</v>
      </c>
      <c r="E17" s="164" t="s">
        <v>204</v>
      </c>
    </row>
    <row r="18" spans="2:5" s="161" customFormat="1" x14ac:dyDescent="0.25">
      <c r="B18" s="162">
        <f t="shared" ca="1" si="0"/>
        <v>12</v>
      </c>
      <c r="C18" s="161" t="s">
        <v>261</v>
      </c>
      <c r="D18" s="163" t="s">
        <v>262</v>
      </c>
      <c r="E18" s="164" t="s">
        <v>203</v>
      </c>
    </row>
    <row r="19" spans="2:5" s="161" customFormat="1" x14ac:dyDescent="0.25">
      <c r="B19" s="162">
        <f t="shared" ca="1" si="0"/>
        <v>13</v>
      </c>
      <c r="C19" s="161" t="s">
        <v>263</v>
      </c>
      <c r="D19" s="163" t="s">
        <v>264</v>
      </c>
      <c r="E19" s="164" t="s">
        <v>203</v>
      </c>
    </row>
    <row r="20" spans="2:5" s="161" customFormat="1" x14ac:dyDescent="0.25">
      <c r="B20" s="162">
        <f t="shared" ca="1" si="0"/>
        <v>14</v>
      </c>
      <c r="C20" s="161" t="s">
        <v>265</v>
      </c>
      <c r="D20" s="163" t="s">
        <v>266</v>
      </c>
      <c r="E20" s="164" t="s">
        <v>203</v>
      </c>
    </row>
    <row r="21" spans="2:5" s="161" customFormat="1" x14ac:dyDescent="0.25">
      <c r="B21" s="162">
        <f t="shared" ca="1" si="0"/>
        <v>15</v>
      </c>
      <c r="C21" s="161" t="s">
        <v>328</v>
      </c>
      <c r="D21" s="163" t="s">
        <v>331</v>
      </c>
      <c r="E21" s="164" t="s">
        <v>203</v>
      </c>
    </row>
    <row r="22" spans="2:5" s="161" customFormat="1" x14ac:dyDescent="0.25">
      <c r="B22" s="162">
        <f t="shared" ca="1" si="0"/>
        <v>16</v>
      </c>
      <c r="C22" s="161" t="s">
        <v>367</v>
      </c>
      <c r="D22" s="163" t="s">
        <v>368</v>
      </c>
      <c r="E22" s="164" t="s">
        <v>203</v>
      </c>
    </row>
    <row r="23" spans="2:5" s="161" customFormat="1" x14ac:dyDescent="0.25">
      <c r="B23" s="162">
        <f t="shared" ca="1" si="0"/>
        <v>17</v>
      </c>
      <c r="C23" s="161" t="s">
        <v>267</v>
      </c>
      <c r="D23" s="163" t="s">
        <v>268</v>
      </c>
      <c r="E23" s="164" t="s">
        <v>203</v>
      </c>
    </row>
    <row r="24" spans="2:5" s="161" customFormat="1" x14ac:dyDescent="0.25">
      <c r="B24" s="162">
        <f t="shared" ca="1" si="0"/>
        <v>18</v>
      </c>
      <c r="C24" s="161" t="s">
        <v>269</v>
      </c>
      <c r="D24" s="163" t="s">
        <v>270</v>
      </c>
      <c r="E24" s="164" t="s">
        <v>204</v>
      </c>
    </row>
    <row r="25" spans="2:5" s="161" customFormat="1" x14ac:dyDescent="0.25">
      <c r="B25" s="162">
        <f t="shared" ca="1" si="0"/>
        <v>19</v>
      </c>
      <c r="C25" s="161" t="s">
        <v>275</v>
      </c>
      <c r="D25" s="163" t="s">
        <v>276</v>
      </c>
      <c r="E25" s="164" t="s">
        <v>204</v>
      </c>
    </row>
    <row r="26" spans="2:5" s="161" customFormat="1" x14ac:dyDescent="0.25">
      <c r="B26" s="162">
        <f t="shared" ca="1" si="0"/>
        <v>20</v>
      </c>
      <c r="C26" s="161" t="s">
        <v>352</v>
      </c>
      <c r="D26" s="163" t="s">
        <v>353</v>
      </c>
      <c r="E26" s="164" t="s">
        <v>203</v>
      </c>
    </row>
    <row r="27" spans="2:5" s="161" customFormat="1" x14ac:dyDescent="0.25">
      <c r="B27" s="162">
        <f t="shared" ca="1" si="0"/>
        <v>21</v>
      </c>
      <c r="C27" s="161" t="s">
        <v>279</v>
      </c>
      <c r="D27" s="163" t="s">
        <v>280</v>
      </c>
      <c r="E27" s="164" t="s">
        <v>204</v>
      </c>
    </row>
    <row r="28" spans="2:5" s="161" customFormat="1" x14ac:dyDescent="0.25">
      <c r="B28" s="162">
        <f t="shared" ca="1" si="0"/>
        <v>22</v>
      </c>
      <c r="C28" s="161" t="s">
        <v>283</v>
      </c>
      <c r="D28" s="163" t="s">
        <v>284</v>
      </c>
      <c r="E28" s="164" t="s">
        <v>203</v>
      </c>
    </row>
    <row r="29" spans="2:5" s="161" customFormat="1" x14ac:dyDescent="0.25">
      <c r="B29" s="162">
        <f t="shared" ca="1" si="0"/>
        <v>23</v>
      </c>
      <c r="C29" s="161" t="s">
        <v>395</v>
      </c>
      <c r="D29" s="163" t="s">
        <v>396</v>
      </c>
      <c r="E29" s="164" t="s">
        <v>203</v>
      </c>
    </row>
    <row r="30" spans="2:5" s="161" customFormat="1" x14ac:dyDescent="0.25">
      <c r="B30" s="162">
        <f t="shared" ca="1" si="0"/>
        <v>24</v>
      </c>
      <c r="C30" s="161" t="s">
        <v>271</v>
      </c>
      <c r="D30" s="163" t="s">
        <v>272</v>
      </c>
      <c r="E30" s="164" t="s">
        <v>194</v>
      </c>
    </row>
    <row r="31" spans="2:5" s="161" customFormat="1" x14ac:dyDescent="0.25">
      <c r="B31" s="162">
        <f t="shared" ca="1" si="0"/>
        <v>25</v>
      </c>
      <c r="C31" s="161" t="s">
        <v>308</v>
      </c>
      <c r="D31" s="163" t="s">
        <v>461</v>
      </c>
      <c r="E31" s="164" t="s">
        <v>204</v>
      </c>
    </row>
    <row r="32" spans="2:5" s="161" customFormat="1" x14ac:dyDescent="0.25">
      <c r="B32" s="162">
        <f t="shared" ca="1" si="0"/>
        <v>26</v>
      </c>
      <c r="C32" s="161" t="s">
        <v>240</v>
      </c>
      <c r="D32" s="163" t="s">
        <v>241</v>
      </c>
      <c r="E32" s="164" t="s">
        <v>204</v>
      </c>
    </row>
    <row r="33" spans="2:5" s="161" customFormat="1" x14ac:dyDescent="0.25">
      <c r="B33" s="162">
        <f t="shared" ca="1" si="0"/>
        <v>27</v>
      </c>
      <c r="C33" s="161" t="s">
        <v>273</v>
      </c>
      <c r="D33" s="163" t="s">
        <v>274</v>
      </c>
      <c r="E33" s="164" t="s">
        <v>204</v>
      </c>
    </row>
    <row r="34" spans="2:5" s="161" customFormat="1" x14ac:dyDescent="0.25">
      <c r="B34" s="162">
        <f t="shared" ca="1" si="0"/>
        <v>28</v>
      </c>
      <c r="C34" s="161" t="s">
        <v>394</v>
      </c>
      <c r="D34" s="163" t="s">
        <v>236</v>
      </c>
      <c r="E34" s="164" t="s">
        <v>203</v>
      </c>
    </row>
    <row r="35" spans="2:5" s="161" customFormat="1" x14ac:dyDescent="0.25">
      <c r="B35" s="162">
        <f t="shared" ca="1" si="0"/>
        <v>29</v>
      </c>
      <c r="C35" s="161" t="s">
        <v>297</v>
      </c>
      <c r="D35" s="163" t="s">
        <v>298</v>
      </c>
      <c r="E35" s="164" t="s">
        <v>203</v>
      </c>
    </row>
    <row r="36" spans="2:5" s="161" customFormat="1" x14ac:dyDescent="0.25">
      <c r="B36" s="162">
        <f t="shared" ca="1" si="0"/>
        <v>30</v>
      </c>
      <c r="C36" s="161" t="s">
        <v>411</v>
      </c>
      <c r="D36" s="163" t="s">
        <v>412</v>
      </c>
      <c r="E36" s="164" t="s">
        <v>203</v>
      </c>
    </row>
    <row r="37" spans="2:5" s="161" customFormat="1" x14ac:dyDescent="0.25">
      <c r="B37" s="162">
        <f t="shared" ca="1" si="0"/>
        <v>31</v>
      </c>
      <c r="C37" s="161" t="s">
        <v>277</v>
      </c>
      <c r="D37" s="163" t="s">
        <v>278</v>
      </c>
      <c r="E37" s="164" t="s">
        <v>204</v>
      </c>
    </row>
    <row r="38" spans="2:5" s="161" customFormat="1" x14ac:dyDescent="0.25">
      <c r="B38" s="162">
        <f t="shared" ca="1" si="0"/>
        <v>32</v>
      </c>
      <c r="C38" s="161" t="s">
        <v>299</v>
      </c>
      <c r="D38" s="163" t="s">
        <v>300</v>
      </c>
      <c r="E38" s="164" t="s">
        <v>204</v>
      </c>
    </row>
    <row r="39" spans="2:5" s="161" customFormat="1" x14ac:dyDescent="0.25">
      <c r="B39" s="162">
        <f t="shared" ca="1" si="0"/>
        <v>33</v>
      </c>
      <c r="C39" s="161" t="s">
        <v>382</v>
      </c>
      <c r="D39" s="163" t="s">
        <v>383</v>
      </c>
      <c r="E39" s="164" t="s">
        <v>204</v>
      </c>
    </row>
    <row r="40" spans="2:5" s="161" customFormat="1" x14ac:dyDescent="0.25">
      <c r="B40" s="162">
        <f t="shared" ca="1" si="0"/>
        <v>34</v>
      </c>
      <c r="C40" s="161" t="s">
        <v>301</v>
      </c>
      <c r="D40" s="163" t="s">
        <v>302</v>
      </c>
      <c r="E40" s="164" t="s">
        <v>203</v>
      </c>
    </row>
    <row r="41" spans="2:5" s="161" customFormat="1" x14ac:dyDescent="0.25">
      <c r="B41" s="162">
        <f t="shared" ca="1" si="0"/>
        <v>35</v>
      </c>
      <c r="C41" s="161" t="s">
        <v>281</v>
      </c>
      <c r="D41" s="163" t="s">
        <v>282</v>
      </c>
      <c r="E41" s="164" t="s">
        <v>203</v>
      </c>
    </row>
    <row r="42" spans="2:5" s="161" customFormat="1" x14ac:dyDescent="0.25">
      <c r="B42" s="162">
        <f t="shared" ca="1" si="0"/>
        <v>36</v>
      </c>
      <c r="C42" s="161" t="s">
        <v>303</v>
      </c>
      <c r="D42" s="163" t="s">
        <v>304</v>
      </c>
      <c r="E42" s="164" t="s">
        <v>203</v>
      </c>
    </row>
    <row r="43" spans="2:5" s="161" customFormat="1" x14ac:dyDescent="0.25">
      <c r="B43" s="162">
        <f t="shared" ca="1" si="0"/>
        <v>37</v>
      </c>
      <c r="C43" s="161" t="s">
        <v>285</v>
      </c>
      <c r="D43" s="163" t="s">
        <v>286</v>
      </c>
      <c r="E43" s="164" t="s">
        <v>203</v>
      </c>
    </row>
    <row r="44" spans="2:5" s="161" customFormat="1" x14ac:dyDescent="0.25">
      <c r="B44" s="162">
        <f t="shared" ca="1" si="0"/>
        <v>38</v>
      </c>
      <c r="C44" s="161" t="s">
        <v>243</v>
      </c>
      <c r="D44" s="163" t="s">
        <v>244</v>
      </c>
      <c r="E44" s="164" t="s">
        <v>204</v>
      </c>
    </row>
    <row r="45" spans="2:5" s="161" customFormat="1" x14ac:dyDescent="0.25">
      <c r="B45" s="162">
        <f t="shared" ca="1" si="0"/>
        <v>39</v>
      </c>
      <c r="C45" s="161" t="s">
        <v>289</v>
      </c>
      <c r="D45" s="163" t="s">
        <v>290</v>
      </c>
      <c r="E45" s="164" t="s">
        <v>204</v>
      </c>
    </row>
    <row r="46" spans="2:5" s="161" customFormat="1" x14ac:dyDescent="0.25">
      <c r="B46" s="162">
        <f t="shared" ca="1" si="0"/>
        <v>40</v>
      </c>
      <c r="C46" s="161" t="s">
        <v>347</v>
      </c>
      <c r="D46" s="163" t="s">
        <v>348</v>
      </c>
      <c r="E46" s="164" t="s">
        <v>204</v>
      </c>
    </row>
    <row r="47" spans="2:5" s="161" customFormat="1" x14ac:dyDescent="0.25">
      <c r="B47" s="162">
        <f t="shared" ca="1" si="0"/>
        <v>41</v>
      </c>
      <c r="C47" s="161" t="s">
        <v>291</v>
      </c>
      <c r="D47" s="163" t="s">
        <v>292</v>
      </c>
      <c r="E47" s="164" t="s">
        <v>204</v>
      </c>
    </row>
    <row r="48" spans="2:5" s="161" customFormat="1" x14ac:dyDescent="0.25">
      <c r="B48" s="162">
        <f t="shared" ca="1" si="0"/>
        <v>42</v>
      </c>
      <c r="C48" s="161" t="s">
        <v>293</v>
      </c>
      <c r="D48" s="163" t="s">
        <v>294</v>
      </c>
      <c r="E48" s="164" t="s">
        <v>203</v>
      </c>
    </row>
    <row r="49" spans="2:5" s="161" customFormat="1" x14ac:dyDescent="0.25">
      <c r="B49" s="162">
        <f t="shared" ca="1" si="0"/>
        <v>43</v>
      </c>
      <c r="C49" s="161" t="s">
        <v>369</v>
      </c>
      <c r="D49" s="163" t="s">
        <v>375</v>
      </c>
      <c r="E49" s="164" t="s">
        <v>203</v>
      </c>
    </row>
    <row r="50" spans="2:5" s="161" customFormat="1" x14ac:dyDescent="0.25">
      <c r="B50" s="162">
        <f t="shared" ca="1" si="0"/>
        <v>44</v>
      </c>
      <c r="C50" s="161" t="s">
        <v>389</v>
      </c>
      <c r="D50" s="163" t="s">
        <v>390</v>
      </c>
      <c r="E50" s="164" t="s">
        <v>203</v>
      </c>
    </row>
    <row r="51" spans="2:5" s="161" customFormat="1" x14ac:dyDescent="0.25">
      <c r="B51" s="162">
        <f t="shared" ca="1" si="0"/>
        <v>45</v>
      </c>
      <c r="C51" s="161" t="s">
        <v>295</v>
      </c>
      <c r="D51" s="163" t="s">
        <v>296</v>
      </c>
      <c r="E51" s="164" t="s">
        <v>203</v>
      </c>
    </row>
    <row r="52" spans="2:5" s="161" customFormat="1" x14ac:dyDescent="0.25">
      <c r="B52" s="162">
        <f t="shared" ca="1" si="0"/>
        <v>46</v>
      </c>
      <c r="C52" s="161" t="s">
        <v>402</v>
      </c>
      <c r="D52" s="163" t="s">
        <v>459</v>
      </c>
      <c r="E52" s="164" t="s">
        <v>203</v>
      </c>
    </row>
    <row r="53" spans="2:5" s="161" customFormat="1" x14ac:dyDescent="0.25">
      <c r="B53" s="162">
        <f t="shared" ca="1" si="0"/>
        <v>47</v>
      </c>
      <c r="C53" s="161" t="s">
        <v>345</v>
      </c>
      <c r="D53" s="163" t="s">
        <v>346</v>
      </c>
      <c r="E53" s="164" t="s">
        <v>204</v>
      </c>
    </row>
    <row r="54" spans="2:5" s="161" customFormat="1" x14ac:dyDescent="0.25">
      <c r="B54" s="162">
        <f t="shared" ca="1" si="0"/>
        <v>48</v>
      </c>
      <c r="C54" s="161" t="s">
        <v>354</v>
      </c>
      <c r="D54" s="163" t="s">
        <v>355</v>
      </c>
      <c r="E54" s="164" t="s">
        <v>203</v>
      </c>
    </row>
    <row r="55" spans="2:5" s="161" customFormat="1" x14ac:dyDescent="0.25">
      <c r="B55" s="162">
        <f t="shared" ca="1" si="0"/>
        <v>49</v>
      </c>
      <c r="C55" s="161" t="s">
        <v>247</v>
      </c>
      <c r="D55" s="163" t="s">
        <v>248</v>
      </c>
      <c r="E55" s="164" t="s">
        <v>203</v>
      </c>
    </row>
    <row r="56" spans="2:5" s="161" customFormat="1" x14ac:dyDescent="0.25">
      <c r="B56" s="162">
        <f t="shared" ca="1" si="0"/>
        <v>50</v>
      </c>
      <c r="C56" s="161" t="s">
        <v>251</v>
      </c>
      <c r="D56" s="163" t="s">
        <v>252</v>
      </c>
      <c r="E56" s="164" t="s">
        <v>203</v>
      </c>
    </row>
    <row r="57" spans="2:5" s="161" customFormat="1" x14ac:dyDescent="0.25">
      <c r="B57" s="162"/>
      <c r="D57" s="163"/>
      <c r="E57" s="164"/>
    </row>
    <row r="58" spans="2:5" s="161" customFormat="1" x14ac:dyDescent="0.25">
      <c r="B58" s="162">
        <f t="shared" ca="1" si="0"/>
        <v>1</v>
      </c>
      <c r="C58" s="161" t="s">
        <v>387</v>
      </c>
      <c r="D58" s="163" t="s">
        <v>388</v>
      </c>
      <c r="E58" s="164" t="s">
        <v>203</v>
      </c>
    </row>
    <row r="59" spans="2:5" s="161" customFormat="1" x14ac:dyDescent="0.25">
      <c r="B59" s="162">
        <f t="shared" ca="1" si="0"/>
        <v>2</v>
      </c>
      <c r="C59" s="161" t="s">
        <v>259</v>
      </c>
      <c r="D59" s="163" t="s">
        <v>260</v>
      </c>
      <c r="E59" s="164" t="s">
        <v>203</v>
      </c>
    </row>
    <row r="60" spans="2:5" s="161" customFormat="1" x14ac:dyDescent="0.25">
      <c r="B60" s="162">
        <f t="shared" ca="1" si="0"/>
        <v>3</v>
      </c>
      <c r="C60" s="161" t="s">
        <v>371</v>
      </c>
      <c r="D60" s="163" t="s">
        <v>359</v>
      </c>
      <c r="E60" s="164" t="s">
        <v>194</v>
      </c>
    </row>
    <row r="61" spans="2:5" s="161" customFormat="1" x14ac:dyDescent="0.25">
      <c r="B61" s="162">
        <f t="shared" ca="1" si="0"/>
        <v>4</v>
      </c>
      <c r="C61" s="161" t="s">
        <v>287</v>
      </c>
      <c r="D61" s="163" t="s">
        <v>288</v>
      </c>
      <c r="E61" s="164" t="s">
        <v>203</v>
      </c>
    </row>
    <row r="62" spans="2:5" s="161" customFormat="1" x14ac:dyDescent="0.25">
      <c r="B62" s="162">
        <f t="shared" ca="1" si="0"/>
        <v>5</v>
      </c>
      <c r="C62" s="161" t="s">
        <v>408</v>
      </c>
      <c r="D62" s="163" t="s">
        <v>216</v>
      </c>
      <c r="E62" s="164" t="s">
        <v>204</v>
      </c>
    </row>
    <row r="63" spans="2:5" s="161" customFormat="1" x14ac:dyDescent="0.25">
      <c r="B63" s="162">
        <f t="shared" ca="1" si="0"/>
        <v>6</v>
      </c>
      <c r="C63" s="161" t="s">
        <v>305</v>
      </c>
      <c r="D63" s="163" t="s">
        <v>306</v>
      </c>
      <c r="E63" s="164" t="s">
        <v>203</v>
      </c>
    </row>
    <row r="64" spans="2:5" s="161" customFormat="1" x14ac:dyDescent="0.25">
      <c r="B64" s="162"/>
      <c r="D64" s="163"/>
      <c r="E64" s="164"/>
    </row>
    <row r="65" spans="2:5" s="161" customFormat="1" x14ac:dyDescent="0.25">
      <c r="B65" s="162">
        <f t="shared" ref="B65" ca="1" si="1">OFFSET( B65, -1, 0 ) + 1</f>
        <v>1</v>
      </c>
      <c r="C65" s="161" t="s">
        <v>418</v>
      </c>
      <c r="D65" s="163" t="s">
        <v>453</v>
      </c>
      <c r="E65" s="164" t="s">
        <v>203</v>
      </c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FF99"/>
  </sheetPr>
  <dimension ref="A1:E70"/>
  <sheetViews>
    <sheetView showGridLines="0" zoomScale="80" zoomScaleNormal="80" workbookViewId="0">
      <pane xSplit="4" ySplit="5" topLeftCell="E6" activePane="bottomRight" state="frozen"/>
      <selection activeCell="E6" sqref="E6"/>
      <selection pane="topRight" activeCell="E6" sqref="E6"/>
      <selection pane="bottomLeft" activeCell="E6" sqref="E6"/>
      <selection pane="bottomRight" activeCell="E6" sqref="E6"/>
    </sheetView>
  </sheetViews>
  <sheetFormatPr defaultColWidth="9.109375" defaultRowHeight="13.8" x14ac:dyDescent="0.25"/>
  <cols>
    <col min="1" max="1" width="2.6640625" style="153" customWidth="1"/>
    <col min="2" max="2" width="4.6640625" style="153" customWidth="1"/>
    <col min="3" max="3" width="42.88671875" style="153" customWidth="1"/>
    <col min="4" max="4" width="9.6640625" style="155" customWidth="1"/>
    <col min="5" max="5" width="14" style="155" customWidth="1"/>
    <col min="6" max="16384" width="9.109375" style="153"/>
  </cols>
  <sheetData>
    <row r="1" spans="1:5" ht="18" x14ac:dyDescent="0.25">
      <c r="A1" s="153" t="s">
        <v>592</v>
      </c>
      <c r="C1" s="154"/>
    </row>
    <row r="3" spans="1:5" x14ac:dyDescent="0.25">
      <c r="E3" s="165">
        <v>40908</v>
      </c>
    </row>
    <row r="5" spans="1:5" s="156" customFormat="1" ht="27.6" x14ac:dyDescent="0.25">
      <c r="C5" s="157" t="s">
        <v>212</v>
      </c>
      <c r="D5" s="158" t="s">
        <v>593</v>
      </c>
      <c r="E5" s="159" t="s">
        <v>594</v>
      </c>
    </row>
    <row r="6" spans="1:5" x14ac:dyDescent="0.25">
      <c r="E6" s="160"/>
    </row>
    <row r="7" spans="1:5" s="161" customFormat="1" x14ac:dyDescent="0.25">
      <c r="B7" s="162">
        <f t="shared" ref="B7:B68" ca="1" si="0">OFFSET( B7, -1, 0 ) + 1</f>
        <v>1</v>
      </c>
      <c r="C7" s="161" t="s">
        <v>217</v>
      </c>
      <c r="D7" s="163" t="s">
        <v>218</v>
      </c>
      <c r="E7" s="164" t="s">
        <v>203</v>
      </c>
    </row>
    <row r="8" spans="1:5" s="161" customFormat="1" x14ac:dyDescent="0.25">
      <c r="B8" s="162">
        <f t="shared" ca="1" si="0"/>
        <v>2</v>
      </c>
      <c r="C8" s="161" t="s">
        <v>219</v>
      </c>
      <c r="D8" s="163" t="s">
        <v>220</v>
      </c>
      <c r="E8" s="164" t="s">
        <v>203</v>
      </c>
    </row>
    <row r="9" spans="1:5" s="161" customFormat="1" x14ac:dyDescent="0.25">
      <c r="B9" s="162">
        <f t="shared" ca="1" si="0"/>
        <v>3</v>
      </c>
      <c r="C9" s="161" t="s">
        <v>225</v>
      </c>
      <c r="D9" s="163" t="s">
        <v>226</v>
      </c>
      <c r="E9" s="164" t="s">
        <v>203</v>
      </c>
    </row>
    <row r="10" spans="1:5" s="161" customFormat="1" x14ac:dyDescent="0.25">
      <c r="B10" s="162">
        <f t="shared" ca="1" si="0"/>
        <v>4</v>
      </c>
      <c r="C10" s="161" t="s">
        <v>222</v>
      </c>
      <c r="D10" s="163" t="s">
        <v>223</v>
      </c>
      <c r="E10" s="164" t="s">
        <v>203</v>
      </c>
    </row>
    <row r="11" spans="1:5" s="161" customFormat="1" x14ac:dyDescent="0.25">
      <c r="B11" s="162">
        <f t="shared" ca="1" si="0"/>
        <v>5</v>
      </c>
      <c r="C11" s="161" t="s">
        <v>238</v>
      </c>
      <c r="D11" s="163" t="s">
        <v>239</v>
      </c>
      <c r="E11" s="164" t="s">
        <v>203</v>
      </c>
    </row>
    <row r="12" spans="1:5" s="161" customFormat="1" x14ac:dyDescent="0.25">
      <c r="B12" s="162">
        <f t="shared" ca="1" si="0"/>
        <v>6</v>
      </c>
      <c r="C12" s="161" t="s">
        <v>245</v>
      </c>
      <c r="D12" s="163" t="s">
        <v>246</v>
      </c>
      <c r="E12" s="164" t="s">
        <v>204</v>
      </c>
    </row>
    <row r="13" spans="1:5" s="161" customFormat="1" x14ac:dyDescent="0.25">
      <c r="B13" s="162">
        <f t="shared" ca="1" si="0"/>
        <v>7</v>
      </c>
      <c r="C13" s="161" t="s">
        <v>249</v>
      </c>
      <c r="D13" s="163" t="s">
        <v>250</v>
      </c>
      <c r="E13" s="164" t="s">
        <v>204</v>
      </c>
    </row>
    <row r="14" spans="1:5" s="161" customFormat="1" x14ac:dyDescent="0.25">
      <c r="B14" s="162">
        <f t="shared" ca="1" si="0"/>
        <v>8</v>
      </c>
      <c r="C14" s="161" t="s">
        <v>424</v>
      </c>
      <c r="D14" s="163" t="s">
        <v>425</v>
      </c>
      <c r="E14" s="164" t="s">
        <v>203</v>
      </c>
    </row>
    <row r="15" spans="1:5" s="161" customFormat="1" x14ac:dyDescent="0.25">
      <c r="B15" s="162">
        <f t="shared" ca="1" si="0"/>
        <v>9</v>
      </c>
      <c r="C15" s="161" t="s">
        <v>418</v>
      </c>
      <c r="D15" s="163" t="s">
        <v>453</v>
      </c>
      <c r="E15" s="164" t="s">
        <v>203</v>
      </c>
    </row>
    <row r="16" spans="1:5" s="161" customFormat="1" x14ac:dyDescent="0.25">
      <c r="B16" s="162">
        <f t="shared" ca="1" si="0"/>
        <v>10</v>
      </c>
      <c r="C16" s="161" t="s">
        <v>254</v>
      </c>
      <c r="D16" s="163" t="s">
        <v>378</v>
      </c>
      <c r="E16" s="164" t="s">
        <v>203</v>
      </c>
    </row>
    <row r="17" spans="2:5" s="161" customFormat="1" x14ac:dyDescent="0.25">
      <c r="B17" s="162">
        <f t="shared" ca="1" si="0"/>
        <v>11</v>
      </c>
      <c r="C17" s="161" t="s">
        <v>256</v>
      </c>
      <c r="D17" s="163" t="s">
        <v>257</v>
      </c>
      <c r="E17" s="164" t="s">
        <v>203</v>
      </c>
    </row>
    <row r="18" spans="2:5" s="161" customFormat="1" x14ac:dyDescent="0.25">
      <c r="B18" s="162">
        <f t="shared" ca="1" si="0"/>
        <v>12</v>
      </c>
      <c r="C18" s="161" t="s">
        <v>227</v>
      </c>
      <c r="D18" s="163" t="s">
        <v>228</v>
      </c>
      <c r="E18" s="164" t="s">
        <v>203</v>
      </c>
    </row>
    <row r="19" spans="2:5" s="161" customFormat="1" x14ac:dyDescent="0.25">
      <c r="B19" s="162">
        <f t="shared" ca="1" si="0"/>
        <v>13</v>
      </c>
      <c r="C19" s="161" t="s">
        <v>463</v>
      </c>
      <c r="D19" s="163" t="s">
        <v>452</v>
      </c>
      <c r="E19" s="164" t="s">
        <v>194</v>
      </c>
    </row>
    <row r="20" spans="2:5" s="161" customFormat="1" x14ac:dyDescent="0.25">
      <c r="B20" s="162">
        <f t="shared" ca="1" si="0"/>
        <v>14</v>
      </c>
      <c r="C20" s="161" t="s">
        <v>361</v>
      </c>
      <c r="D20" s="163" t="s">
        <v>194</v>
      </c>
      <c r="E20" s="164" t="s">
        <v>204</v>
      </c>
    </row>
    <row r="21" spans="2:5" s="161" customFormat="1" x14ac:dyDescent="0.25">
      <c r="B21" s="162">
        <f t="shared" ca="1" si="0"/>
        <v>15</v>
      </c>
      <c r="C21" s="161" t="s">
        <v>261</v>
      </c>
      <c r="D21" s="163" t="s">
        <v>262</v>
      </c>
      <c r="E21" s="164" t="s">
        <v>203</v>
      </c>
    </row>
    <row r="22" spans="2:5" s="161" customFormat="1" x14ac:dyDescent="0.25">
      <c r="B22" s="162">
        <f t="shared" ca="1" si="0"/>
        <v>16</v>
      </c>
      <c r="C22" s="161" t="s">
        <v>263</v>
      </c>
      <c r="D22" s="163" t="s">
        <v>264</v>
      </c>
      <c r="E22" s="164" t="s">
        <v>204</v>
      </c>
    </row>
    <row r="23" spans="2:5" s="161" customFormat="1" x14ac:dyDescent="0.25">
      <c r="B23" s="162">
        <f t="shared" ca="1" si="0"/>
        <v>17</v>
      </c>
      <c r="C23" s="161" t="s">
        <v>265</v>
      </c>
      <c r="D23" s="163" t="s">
        <v>266</v>
      </c>
      <c r="E23" s="164" t="s">
        <v>203</v>
      </c>
    </row>
    <row r="24" spans="2:5" s="161" customFormat="1" x14ac:dyDescent="0.25">
      <c r="B24" s="162">
        <f t="shared" ca="1" si="0"/>
        <v>18</v>
      </c>
      <c r="C24" s="161" t="s">
        <v>328</v>
      </c>
      <c r="D24" s="163" t="s">
        <v>331</v>
      </c>
      <c r="E24" s="164" t="s">
        <v>203</v>
      </c>
    </row>
    <row r="25" spans="2:5" s="161" customFormat="1" x14ac:dyDescent="0.25">
      <c r="B25" s="162">
        <f t="shared" ca="1" si="0"/>
        <v>19</v>
      </c>
      <c r="C25" s="161" t="s">
        <v>367</v>
      </c>
      <c r="D25" s="163" t="s">
        <v>368</v>
      </c>
      <c r="E25" s="164" t="s">
        <v>203</v>
      </c>
    </row>
    <row r="26" spans="2:5" s="161" customFormat="1" x14ac:dyDescent="0.25">
      <c r="B26" s="162">
        <f t="shared" ca="1" si="0"/>
        <v>20</v>
      </c>
      <c r="C26" s="161" t="s">
        <v>267</v>
      </c>
      <c r="D26" s="163" t="s">
        <v>268</v>
      </c>
      <c r="E26" s="164" t="s">
        <v>203</v>
      </c>
    </row>
    <row r="27" spans="2:5" s="161" customFormat="1" x14ac:dyDescent="0.25">
      <c r="B27" s="162">
        <f t="shared" ca="1" si="0"/>
        <v>21</v>
      </c>
      <c r="C27" s="161" t="s">
        <v>269</v>
      </c>
      <c r="D27" s="163" t="s">
        <v>270</v>
      </c>
      <c r="E27" s="164" t="s">
        <v>204</v>
      </c>
    </row>
    <row r="28" spans="2:5" s="161" customFormat="1" x14ac:dyDescent="0.25">
      <c r="B28" s="162">
        <f t="shared" ca="1" si="0"/>
        <v>22</v>
      </c>
      <c r="C28" s="161" t="s">
        <v>275</v>
      </c>
      <c r="D28" s="163" t="s">
        <v>276</v>
      </c>
      <c r="E28" s="164" t="s">
        <v>204</v>
      </c>
    </row>
    <row r="29" spans="2:5" s="161" customFormat="1" x14ac:dyDescent="0.25">
      <c r="B29" s="162">
        <f t="shared" ca="1" si="0"/>
        <v>23</v>
      </c>
      <c r="C29" s="161" t="s">
        <v>352</v>
      </c>
      <c r="D29" s="163" t="s">
        <v>353</v>
      </c>
      <c r="E29" s="164" t="s">
        <v>203</v>
      </c>
    </row>
    <row r="30" spans="2:5" s="161" customFormat="1" x14ac:dyDescent="0.25">
      <c r="B30" s="162">
        <f t="shared" ca="1" si="0"/>
        <v>24</v>
      </c>
      <c r="C30" s="161" t="s">
        <v>279</v>
      </c>
      <c r="D30" s="163" t="s">
        <v>280</v>
      </c>
      <c r="E30" s="164" t="s">
        <v>194</v>
      </c>
    </row>
    <row r="31" spans="2:5" s="161" customFormat="1" x14ac:dyDescent="0.25">
      <c r="B31" s="162">
        <f t="shared" ca="1" si="0"/>
        <v>25</v>
      </c>
      <c r="C31" s="161" t="s">
        <v>283</v>
      </c>
      <c r="D31" s="163" t="s">
        <v>284</v>
      </c>
      <c r="E31" s="164" t="s">
        <v>203</v>
      </c>
    </row>
    <row r="32" spans="2:5" s="161" customFormat="1" x14ac:dyDescent="0.25">
      <c r="B32" s="162">
        <f t="shared" ca="1" si="0"/>
        <v>26</v>
      </c>
      <c r="C32" s="161" t="s">
        <v>395</v>
      </c>
      <c r="D32" s="163" t="s">
        <v>396</v>
      </c>
      <c r="E32" s="164" t="s">
        <v>203</v>
      </c>
    </row>
    <row r="33" spans="2:5" s="161" customFormat="1" x14ac:dyDescent="0.25">
      <c r="B33" s="162">
        <f t="shared" ca="1" si="0"/>
        <v>27</v>
      </c>
      <c r="C33" s="161" t="s">
        <v>271</v>
      </c>
      <c r="D33" s="163" t="s">
        <v>272</v>
      </c>
      <c r="E33" s="164" t="s">
        <v>194</v>
      </c>
    </row>
    <row r="34" spans="2:5" s="161" customFormat="1" x14ac:dyDescent="0.25">
      <c r="B34" s="162">
        <f t="shared" ca="1" si="0"/>
        <v>28</v>
      </c>
      <c r="C34" s="161" t="s">
        <v>308</v>
      </c>
      <c r="D34" s="163" t="s">
        <v>461</v>
      </c>
      <c r="E34" s="164" t="s">
        <v>204</v>
      </c>
    </row>
    <row r="35" spans="2:5" s="161" customFormat="1" x14ac:dyDescent="0.25">
      <c r="B35" s="162">
        <f t="shared" ca="1" si="0"/>
        <v>29</v>
      </c>
      <c r="C35" s="161" t="s">
        <v>240</v>
      </c>
      <c r="D35" s="163" t="s">
        <v>241</v>
      </c>
      <c r="E35" s="164" t="s">
        <v>204</v>
      </c>
    </row>
    <row r="36" spans="2:5" s="161" customFormat="1" x14ac:dyDescent="0.25">
      <c r="B36" s="162">
        <f t="shared" ca="1" si="0"/>
        <v>30</v>
      </c>
      <c r="C36" s="161" t="s">
        <v>273</v>
      </c>
      <c r="D36" s="163" t="s">
        <v>274</v>
      </c>
      <c r="E36" s="164" t="s">
        <v>204</v>
      </c>
    </row>
    <row r="37" spans="2:5" s="161" customFormat="1" x14ac:dyDescent="0.25">
      <c r="B37" s="162">
        <f t="shared" ca="1" si="0"/>
        <v>31</v>
      </c>
      <c r="C37" s="161" t="s">
        <v>394</v>
      </c>
      <c r="D37" s="163" t="s">
        <v>236</v>
      </c>
      <c r="E37" s="164" t="s">
        <v>203</v>
      </c>
    </row>
    <row r="38" spans="2:5" s="161" customFormat="1" x14ac:dyDescent="0.25">
      <c r="B38" s="162">
        <f t="shared" ca="1" si="0"/>
        <v>32</v>
      </c>
      <c r="C38" s="161" t="s">
        <v>297</v>
      </c>
      <c r="D38" s="163" t="s">
        <v>298</v>
      </c>
      <c r="E38" s="164" t="s">
        <v>203</v>
      </c>
    </row>
    <row r="39" spans="2:5" s="161" customFormat="1" x14ac:dyDescent="0.25">
      <c r="B39" s="162">
        <f t="shared" ca="1" si="0"/>
        <v>33</v>
      </c>
      <c r="C39" s="161" t="s">
        <v>431</v>
      </c>
      <c r="D39" s="163" t="s">
        <v>432</v>
      </c>
      <c r="E39" s="164" t="s">
        <v>203</v>
      </c>
    </row>
    <row r="40" spans="2:5" s="161" customFormat="1" x14ac:dyDescent="0.25">
      <c r="B40" s="162">
        <f t="shared" ca="1" si="0"/>
        <v>34</v>
      </c>
      <c r="C40" s="161" t="s">
        <v>411</v>
      </c>
      <c r="D40" s="163" t="s">
        <v>412</v>
      </c>
      <c r="E40" s="164" t="s">
        <v>203</v>
      </c>
    </row>
    <row r="41" spans="2:5" s="161" customFormat="1" x14ac:dyDescent="0.25">
      <c r="B41" s="162">
        <f t="shared" ca="1" si="0"/>
        <v>35</v>
      </c>
      <c r="C41" s="161" t="s">
        <v>277</v>
      </c>
      <c r="D41" s="163" t="s">
        <v>278</v>
      </c>
      <c r="E41" s="164" t="s">
        <v>204</v>
      </c>
    </row>
    <row r="42" spans="2:5" s="161" customFormat="1" x14ac:dyDescent="0.25">
      <c r="B42" s="162">
        <f t="shared" ca="1" si="0"/>
        <v>36</v>
      </c>
      <c r="C42" s="161" t="s">
        <v>299</v>
      </c>
      <c r="D42" s="163" t="s">
        <v>300</v>
      </c>
      <c r="E42" s="164" t="s">
        <v>204</v>
      </c>
    </row>
    <row r="43" spans="2:5" s="161" customFormat="1" x14ac:dyDescent="0.25">
      <c r="B43" s="162">
        <f t="shared" ca="1" si="0"/>
        <v>37</v>
      </c>
      <c r="C43" s="161" t="s">
        <v>382</v>
      </c>
      <c r="D43" s="163" t="s">
        <v>383</v>
      </c>
      <c r="E43" s="164" t="s">
        <v>204</v>
      </c>
    </row>
    <row r="44" spans="2:5" s="161" customFormat="1" x14ac:dyDescent="0.25">
      <c r="B44" s="162">
        <f t="shared" ca="1" si="0"/>
        <v>38</v>
      </c>
      <c r="C44" s="161" t="s">
        <v>301</v>
      </c>
      <c r="D44" s="163" t="s">
        <v>302</v>
      </c>
      <c r="E44" s="164" t="s">
        <v>203</v>
      </c>
    </row>
    <row r="45" spans="2:5" s="161" customFormat="1" x14ac:dyDescent="0.25">
      <c r="B45" s="162">
        <f t="shared" ca="1" si="0"/>
        <v>39</v>
      </c>
      <c r="C45" s="161" t="s">
        <v>281</v>
      </c>
      <c r="D45" s="163" t="s">
        <v>282</v>
      </c>
      <c r="E45" s="164" t="s">
        <v>203</v>
      </c>
    </row>
    <row r="46" spans="2:5" s="161" customFormat="1" x14ac:dyDescent="0.25">
      <c r="B46" s="162">
        <f t="shared" ca="1" si="0"/>
        <v>40</v>
      </c>
      <c r="C46" s="161" t="s">
        <v>303</v>
      </c>
      <c r="D46" s="163" t="s">
        <v>304</v>
      </c>
      <c r="E46" s="164" t="s">
        <v>203</v>
      </c>
    </row>
    <row r="47" spans="2:5" s="161" customFormat="1" x14ac:dyDescent="0.25">
      <c r="B47" s="162">
        <f t="shared" ca="1" si="0"/>
        <v>41</v>
      </c>
      <c r="C47" s="161" t="s">
        <v>285</v>
      </c>
      <c r="D47" s="163" t="s">
        <v>286</v>
      </c>
      <c r="E47" s="164" t="s">
        <v>203</v>
      </c>
    </row>
    <row r="48" spans="2:5" s="161" customFormat="1" x14ac:dyDescent="0.25">
      <c r="B48" s="162">
        <f t="shared" ca="1" si="0"/>
        <v>42</v>
      </c>
      <c r="C48" s="161" t="s">
        <v>243</v>
      </c>
      <c r="D48" s="163" t="s">
        <v>244</v>
      </c>
      <c r="E48" s="164" t="s">
        <v>204</v>
      </c>
    </row>
    <row r="49" spans="2:5" s="161" customFormat="1" x14ac:dyDescent="0.25">
      <c r="B49" s="162">
        <f t="shared" ca="1" si="0"/>
        <v>43</v>
      </c>
      <c r="C49" s="161" t="s">
        <v>427</v>
      </c>
      <c r="D49" s="163" t="s">
        <v>428</v>
      </c>
      <c r="E49" s="164" t="s">
        <v>203</v>
      </c>
    </row>
    <row r="50" spans="2:5" s="161" customFormat="1" x14ac:dyDescent="0.25">
      <c r="B50" s="162">
        <f t="shared" ca="1" si="0"/>
        <v>44</v>
      </c>
      <c r="C50" s="161" t="s">
        <v>289</v>
      </c>
      <c r="D50" s="163" t="s">
        <v>290</v>
      </c>
      <c r="E50" s="164" t="s">
        <v>204</v>
      </c>
    </row>
    <row r="51" spans="2:5" s="161" customFormat="1" x14ac:dyDescent="0.25">
      <c r="B51" s="162">
        <f t="shared" ca="1" si="0"/>
        <v>45</v>
      </c>
      <c r="C51" s="161" t="s">
        <v>347</v>
      </c>
      <c r="D51" s="163" t="s">
        <v>348</v>
      </c>
      <c r="E51" s="164" t="s">
        <v>204</v>
      </c>
    </row>
    <row r="52" spans="2:5" s="161" customFormat="1" x14ac:dyDescent="0.25">
      <c r="B52" s="162">
        <f t="shared" ca="1" si="0"/>
        <v>46</v>
      </c>
      <c r="C52" s="161" t="s">
        <v>291</v>
      </c>
      <c r="D52" s="163" t="s">
        <v>292</v>
      </c>
      <c r="E52" s="164" t="s">
        <v>204</v>
      </c>
    </row>
    <row r="53" spans="2:5" s="161" customFormat="1" x14ac:dyDescent="0.25">
      <c r="B53" s="162">
        <f t="shared" ca="1" si="0"/>
        <v>47</v>
      </c>
      <c r="C53" s="161" t="s">
        <v>293</v>
      </c>
      <c r="D53" s="163" t="s">
        <v>294</v>
      </c>
      <c r="E53" s="164" t="s">
        <v>203</v>
      </c>
    </row>
    <row r="54" spans="2:5" s="161" customFormat="1" x14ac:dyDescent="0.25">
      <c r="B54" s="162">
        <f t="shared" ca="1" si="0"/>
        <v>48</v>
      </c>
      <c r="C54" s="161" t="s">
        <v>369</v>
      </c>
      <c r="D54" s="163" t="s">
        <v>375</v>
      </c>
      <c r="E54" s="164" t="s">
        <v>203</v>
      </c>
    </row>
    <row r="55" spans="2:5" s="161" customFormat="1" x14ac:dyDescent="0.25">
      <c r="B55" s="162">
        <f t="shared" ca="1" si="0"/>
        <v>49</v>
      </c>
      <c r="C55" s="161" t="s">
        <v>389</v>
      </c>
      <c r="D55" s="163" t="s">
        <v>390</v>
      </c>
      <c r="E55" s="164" t="s">
        <v>203</v>
      </c>
    </row>
    <row r="56" spans="2:5" s="161" customFormat="1" x14ac:dyDescent="0.25">
      <c r="B56" s="162">
        <f t="shared" ca="1" si="0"/>
        <v>50</v>
      </c>
      <c r="C56" s="161" t="s">
        <v>295</v>
      </c>
      <c r="D56" s="163" t="s">
        <v>296</v>
      </c>
      <c r="E56" s="164" t="s">
        <v>203</v>
      </c>
    </row>
    <row r="57" spans="2:5" s="161" customFormat="1" x14ac:dyDescent="0.25">
      <c r="B57" s="162">
        <f t="shared" ca="1" si="0"/>
        <v>51</v>
      </c>
      <c r="C57" s="161" t="s">
        <v>402</v>
      </c>
      <c r="D57" s="163" t="s">
        <v>459</v>
      </c>
      <c r="E57" s="164" t="s">
        <v>203</v>
      </c>
    </row>
    <row r="58" spans="2:5" s="161" customFormat="1" x14ac:dyDescent="0.25">
      <c r="B58" s="162">
        <f t="shared" ca="1" si="0"/>
        <v>52</v>
      </c>
      <c r="C58" s="161" t="s">
        <v>345</v>
      </c>
      <c r="D58" s="163" t="s">
        <v>346</v>
      </c>
      <c r="E58" s="164" t="s">
        <v>203</v>
      </c>
    </row>
    <row r="59" spans="2:5" s="161" customFormat="1" x14ac:dyDescent="0.25">
      <c r="B59" s="162">
        <f t="shared" ca="1" si="0"/>
        <v>53</v>
      </c>
      <c r="C59" s="161" t="s">
        <v>354</v>
      </c>
      <c r="D59" s="163" t="s">
        <v>355</v>
      </c>
      <c r="E59" s="164" t="s">
        <v>203</v>
      </c>
    </row>
    <row r="60" spans="2:5" s="161" customFormat="1" x14ac:dyDescent="0.25">
      <c r="B60" s="162">
        <f t="shared" ca="1" si="0"/>
        <v>54</v>
      </c>
      <c r="C60" s="161" t="s">
        <v>247</v>
      </c>
      <c r="D60" s="163" t="s">
        <v>248</v>
      </c>
      <c r="E60" s="164" t="s">
        <v>203</v>
      </c>
    </row>
    <row r="61" spans="2:5" s="161" customFormat="1" x14ac:dyDescent="0.25">
      <c r="B61" s="162">
        <f t="shared" ca="1" si="0"/>
        <v>55</v>
      </c>
      <c r="C61" s="161" t="s">
        <v>251</v>
      </c>
      <c r="D61" s="163" t="s">
        <v>252</v>
      </c>
      <c r="E61" s="164" t="s">
        <v>203</v>
      </c>
    </row>
    <row r="62" spans="2:5" s="161" customFormat="1" x14ac:dyDescent="0.25">
      <c r="B62" s="162"/>
      <c r="D62" s="163"/>
      <c r="E62" s="164"/>
    </row>
    <row r="63" spans="2:5" s="161" customFormat="1" x14ac:dyDescent="0.25">
      <c r="B63" s="162">
        <f t="shared" ca="1" si="0"/>
        <v>1</v>
      </c>
      <c r="C63" s="161" t="s">
        <v>460</v>
      </c>
      <c r="D63" s="163" t="s">
        <v>388</v>
      </c>
      <c r="E63" s="164" t="s">
        <v>203</v>
      </c>
    </row>
    <row r="64" spans="2:5" s="161" customFormat="1" x14ac:dyDescent="0.25">
      <c r="B64" s="162">
        <f t="shared" ca="1" si="0"/>
        <v>2</v>
      </c>
      <c r="C64" s="161" t="s">
        <v>259</v>
      </c>
      <c r="D64" s="163" t="s">
        <v>260</v>
      </c>
      <c r="E64" s="164" t="s">
        <v>203</v>
      </c>
    </row>
    <row r="65" spans="2:5" s="161" customFormat="1" x14ac:dyDescent="0.25">
      <c r="B65" s="162">
        <f t="shared" ca="1" si="0"/>
        <v>3</v>
      </c>
      <c r="C65" s="161" t="s">
        <v>371</v>
      </c>
      <c r="D65" s="163" t="s">
        <v>359</v>
      </c>
      <c r="E65" s="164" t="s">
        <v>194</v>
      </c>
    </row>
    <row r="66" spans="2:5" s="161" customFormat="1" x14ac:dyDescent="0.25">
      <c r="B66" s="162">
        <f t="shared" ca="1" si="0"/>
        <v>4</v>
      </c>
      <c r="C66" s="161" t="s">
        <v>287</v>
      </c>
      <c r="D66" s="163" t="s">
        <v>288</v>
      </c>
      <c r="E66" s="164" t="s">
        <v>203</v>
      </c>
    </row>
    <row r="67" spans="2:5" s="161" customFormat="1" x14ac:dyDescent="0.25">
      <c r="B67" s="162">
        <f t="shared" ca="1" si="0"/>
        <v>5</v>
      </c>
      <c r="C67" s="161" t="s">
        <v>408</v>
      </c>
      <c r="D67" s="163" t="s">
        <v>216</v>
      </c>
      <c r="E67" s="164" t="s">
        <v>204</v>
      </c>
    </row>
    <row r="68" spans="2:5" s="161" customFormat="1" x14ac:dyDescent="0.25">
      <c r="B68" s="162">
        <f t="shared" ca="1" si="0"/>
        <v>6</v>
      </c>
      <c r="C68" s="161" t="s">
        <v>305</v>
      </c>
      <c r="D68" s="163" t="s">
        <v>306</v>
      </c>
      <c r="E68" s="164" t="s">
        <v>203</v>
      </c>
    </row>
    <row r="69" spans="2:5" s="161" customFormat="1" x14ac:dyDescent="0.25">
      <c r="B69" s="162"/>
      <c r="D69" s="163"/>
      <c r="E69" s="164"/>
    </row>
    <row r="70" spans="2:5" s="161" customFormat="1" x14ac:dyDescent="0.25">
      <c r="B70" s="162"/>
      <c r="D70" s="163"/>
      <c r="E70" s="164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E70"/>
  <sheetViews>
    <sheetView showGridLines="0" zoomScale="80" zoomScaleNormal="80" workbookViewId="0">
      <pane xSplit="4" ySplit="5" topLeftCell="E6" activePane="bottomRight" state="frozen"/>
      <selection activeCell="E6" sqref="E6"/>
      <selection pane="topRight" activeCell="E6" sqref="E6"/>
      <selection pane="bottomLeft" activeCell="E6" sqref="E6"/>
      <selection pane="bottomRight" activeCell="E6" sqref="E6"/>
    </sheetView>
  </sheetViews>
  <sheetFormatPr defaultColWidth="9.109375" defaultRowHeight="13.8" x14ac:dyDescent="0.25"/>
  <cols>
    <col min="1" max="1" width="2.6640625" style="153" customWidth="1"/>
    <col min="2" max="2" width="4.6640625" style="153" customWidth="1"/>
    <col min="3" max="3" width="42.88671875" style="153" customWidth="1"/>
    <col min="4" max="4" width="9.6640625" style="155" customWidth="1"/>
    <col min="5" max="5" width="14" style="155" customWidth="1"/>
    <col min="6" max="16384" width="9.109375" style="153"/>
  </cols>
  <sheetData>
    <row r="1" spans="1:5" ht="18" x14ac:dyDescent="0.25">
      <c r="A1" s="153" t="s">
        <v>592</v>
      </c>
      <c r="C1" s="154"/>
    </row>
    <row r="3" spans="1:5" x14ac:dyDescent="0.25">
      <c r="E3" s="165">
        <v>40543</v>
      </c>
    </row>
    <row r="5" spans="1:5" s="156" customFormat="1" ht="27.6" x14ac:dyDescent="0.25">
      <c r="C5" s="157" t="s">
        <v>212</v>
      </c>
      <c r="D5" s="158" t="s">
        <v>593</v>
      </c>
      <c r="E5" s="159" t="s">
        <v>594</v>
      </c>
    </row>
    <row r="6" spans="1:5" x14ac:dyDescent="0.25">
      <c r="E6" s="160"/>
    </row>
    <row r="7" spans="1:5" s="161" customFormat="1" x14ac:dyDescent="0.25">
      <c r="B7" s="162">
        <f t="shared" ref="B7:B68" ca="1" si="0">OFFSET( B7, -1, 0 ) + 1</f>
        <v>1</v>
      </c>
      <c r="C7" s="161" t="s">
        <v>217</v>
      </c>
      <c r="D7" s="163" t="s">
        <v>218</v>
      </c>
      <c r="E7" s="164" t="s">
        <v>203</v>
      </c>
    </row>
    <row r="8" spans="1:5" s="161" customFormat="1" x14ac:dyDescent="0.25">
      <c r="B8" s="162">
        <f t="shared" ca="1" si="0"/>
        <v>2</v>
      </c>
      <c r="C8" s="161" t="s">
        <v>219</v>
      </c>
      <c r="D8" s="163" t="s">
        <v>220</v>
      </c>
      <c r="E8" s="164" t="s">
        <v>203</v>
      </c>
    </row>
    <row r="9" spans="1:5" s="161" customFormat="1" x14ac:dyDescent="0.25">
      <c r="B9" s="162">
        <f t="shared" ca="1" si="0"/>
        <v>3</v>
      </c>
      <c r="C9" s="161" t="s">
        <v>225</v>
      </c>
      <c r="D9" s="163" t="s">
        <v>226</v>
      </c>
      <c r="E9" s="164" t="s">
        <v>203</v>
      </c>
    </row>
    <row r="10" spans="1:5" s="161" customFormat="1" x14ac:dyDescent="0.25">
      <c r="B10" s="162">
        <f t="shared" ca="1" si="0"/>
        <v>4</v>
      </c>
      <c r="C10" s="161" t="s">
        <v>222</v>
      </c>
      <c r="D10" s="163" t="s">
        <v>223</v>
      </c>
      <c r="E10" s="164" t="s">
        <v>203</v>
      </c>
    </row>
    <row r="11" spans="1:5" s="161" customFormat="1" x14ac:dyDescent="0.25">
      <c r="B11" s="162">
        <f t="shared" ca="1" si="0"/>
        <v>5</v>
      </c>
      <c r="C11" s="161" t="s">
        <v>238</v>
      </c>
      <c r="D11" s="163" t="s">
        <v>239</v>
      </c>
      <c r="E11" s="164" t="s">
        <v>203</v>
      </c>
    </row>
    <row r="12" spans="1:5" s="161" customFormat="1" x14ac:dyDescent="0.25">
      <c r="B12" s="162">
        <f t="shared" ca="1" si="0"/>
        <v>6</v>
      </c>
      <c r="C12" s="161" t="s">
        <v>245</v>
      </c>
      <c r="D12" s="163" t="s">
        <v>246</v>
      </c>
      <c r="E12" s="164" t="s">
        <v>204</v>
      </c>
    </row>
    <row r="13" spans="1:5" s="161" customFormat="1" x14ac:dyDescent="0.25">
      <c r="B13" s="162">
        <f t="shared" ca="1" si="0"/>
        <v>7</v>
      </c>
      <c r="C13" s="161" t="s">
        <v>249</v>
      </c>
      <c r="D13" s="163" t="s">
        <v>250</v>
      </c>
      <c r="E13" s="164" t="s">
        <v>204</v>
      </c>
    </row>
    <row r="14" spans="1:5" s="161" customFormat="1" x14ac:dyDescent="0.25">
      <c r="B14" s="162">
        <f t="shared" ca="1" si="0"/>
        <v>8</v>
      </c>
      <c r="C14" s="161" t="s">
        <v>424</v>
      </c>
      <c r="D14" s="163" t="s">
        <v>425</v>
      </c>
      <c r="E14" s="164" t="s">
        <v>203</v>
      </c>
    </row>
    <row r="15" spans="1:5" s="161" customFormat="1" x14ac:dyDescent="0.25">
      <c r="B15" s="162">
        <f t="shared" ca="1" si="0"/>
        <v>9</v>
      </c>
      <c r="C15" s="161" t="s">
        <v>418</v>
      </c>
      <c r="D15" s="163" t="s">
        <v>453</v>
      </c>
      <c r="E15" s="164" t="s">
        <v>203</v>
      </c>
    </row>
    <row r="16" spans="1:5" s="161" customFormat="1" x14ac:dyDescent="0.25">
      <c r="B16" s="162">
        <f t="shared" ca="1" si="0"/>
        <v>10</v>
      </c>
      <c r="C16" s="161" t="s">
        <v>254</v>
      </c>
      <c r="D16" s="163" t="s">
        <v>378</v>
      </c>
      <c r="E16" s="164" t="s">
        <v>203</v>
      </c>
    </row>
    <row r="17" spans="2:5" s="161" customFormat="1" x14ac:dyDescent="0.25">
      <c r="B17" s="162">
        <f t="shared" ca="1" si="0"/>
        <v>11</v>
      </c>
      <c r="C17" s="161" t="s">
        <v>256</v>
      </c>
      <c r="D17" s="163" t="s">
        <v>257</v>
      </c>
      <c r="E17" s="164" t="s">
        <v>203</v>
      </c>
    </row>
    <row r="18" spans="2:5" s="161" customFormat="1" x14ac:dyDescent="0.25">
      <c r="B18" s="162">
        <f t="shared" ca="1" si="0"/>
        <v>12</v>
      </c>
      <c r="C18" s="161" t="s">
        <v>227</v>
      </c>
      <c r="D18" s="163" t="s">
        <v>228</v>
      </c>
      <c r="E18" s="164" t="s">
        <v>203</v>
      </c>
    </row>
    <row r="19" spans="2:5" s="161" customFormat="1" x14ac:dyDescent="0.25">
      <c r="B19" s="162">
        <f t="shared" ca="1" si="0"/>
        <v>13</v>
      </c>
      <c r="C19" s="161" t="s">
        <v>463</v>
      </c>
      <c r="D19" s="163" t="s">
        <v>452</v>
      </c>
      <c r="E19" s="164" t="s">
        <v>194</v>
      </c>
    </row>
    <row r="20" spans="2:5" s="161" customFormat="1" x14ac:dyDescent="0.25">
      <c r="B20" s="162">
        <f t="shared" ca="1" si="0"/>
        <v>14</v>
      </c>
      <c r="C20" s="161" t="s">
        <v>361</v>
      </c>
      <c r="D20" s="163" t="s">
        <v>194</v>
      </c>
      <c r="E20" s="164" t="s">
        <v>204</v>
      </c>
    </row>
    <row r="21" spans="2:5" s="161" customFormat="1" x14ac:dyDescent="0.25">
      <c r="B21" s="162">
        <f t="shared" ca="1" si="0"/>
        <v>15</v>
      </c>
      <c r="C21" s="161" t="s">
        <v>261</v>
      </c>
      <c r="D21" s="163" t="s">
        <v>262</v>
      </c>
      <c r="E21" s="164" t="s">
        <v>203</v>
      </c>
    </row>
    <row r="22" spans="2:5" s="161" customFormat="1" x14ac:dyDescent="0.25">
      <c r="B22" s="162">
        <f t="shared" ca="1" si="0"/>
        <v>16</v>
      </c>
      <c r="C22" s="161" t="s">
        <v>263</v>
      </c>
      <c r="D22" s="163" t="s">
        <v>264</v>
      </c>
      <c r="E22" s="164" t="s">
        <v>204</v>
      </c>
    </row>
    <row r="23" spans="2:5" s="161" customFormat="1" x14ac:dyDescent="0.25">
      <c r="B23" s="162">
        <f t="shared" ca="1" si="0"/>
        <v>17</v>
      </c>
      <c r="C23" s="161" t="s">
        <v>265</v>
      </c>
      <c r="D23" s="163" t="s">
        <v>266</v>
      </c>
      <c r="E23" s="164" t="s">
        <v>204</v>
      </c>
    </row>
    <row r="24" spans="2:5" s="161" customFormat="1" x14ac:dyDescent="0.25">
      <c r="B24" s="162">
        <f t="shared" ca="1" si="0"/>
        <v>18</v>
      </c>
      <c r="C24" s="161" t="s">
        <v>328</v>
      </c>
      <c r="D24" s="163" t="s">
        <v>331</v>
      </c>
      <c r="E24" s="164" t="s">
        <v>203</v>
      </c>
    </row>
    <row r="25" spans="2:5" s="161" customFormat="1" x14ac:dyDescent="0.25">
      <c r="B25" s="162">
        <f t="shared" ca="1" si="0"/>
        <v>19</v>
      </c>
      <c r="C25" s="161" t="s">
        <v>367</v>
      </c>
      <c r="D25" s="163" t="s">
        <v>368</v>
      </c>
      <c r="E25" s="164" t="s">
        <v>203</v>
      </c>
    </row>
    <row r="26" spans="2:5" s="161" customFormat="1" x14ac:dyDescent="0.25">
      <c r="B26" s="162">
        <f t="shared" ca="1" si="0"/>
        <v>20</v>
      </c>
      <c r="C26" s="161" t="s">
        <v>267</v>
      </c>
      <c r="D26" s="163" t="s">
        <v>268</v>
      </c>
      <c r="E26" s="164" t="s">
        <v>203</v>
      </c>
    </row>
    <row r="27" spans="2:5" s="161" customFormat="1" x14ac:dyDescent="0.25">
      <c r="B27" s="162">
        <f t="shared" ca="1" si="0"/>
        <v>21</v>
      </c>
      <c r="C27" s="161" t="s">
        <v>269</v>
      </c>
      <c r="D27" s="163" t="s">
        <v>270</v>
      </c>
      <c r="E27" s="164" t="s">
        <v>204</v>
      </c>
    </row>
    <row r="28" spans="2:5" s="161" customFormat="1" x14ac:dyDescent="0.25">
      <c r="B28" s="162">
        <f t="shared" ca="1" si="0"/>
        <v>22</v>
      </c>
      <c r="C28" s="161" t="s">
        <v>275</v>
      </c>
      <c r="D28" s="163" t="s">
        <v>276</v>
      </c>
      <c r="E28" s="164" t="s">
        <v>204</v>
      </c>
    </row>
    <row r="29" spans="2:5" s="161" customFormat="1" x14ac:dyDescent="0.25">
      <c r="B29" s="162">
        <f t="shared" ca="1" si="0"/>
        <v>23</v>
      </c>
      <c r="C29" s="161" t="s">
        <v>352</v>
      </c>
      <c r="D29" s="163" t="s">
        <v>353</v>
      </c>
      <c r="E29" s="164" t="s">
        <v>203</v>
      </c>
    </row>
    <row r="30" spans="2:5" s="161" customFormat="1" x14ac:dyDescent="0.25">
      <c r="B30" s="162">
        <f t="shared" ca="1" si="0"/>
        <v>24</v>
      </c>
      <c r="C30" s="161" t="s">
        <v>279</v>
      </c>
      <c r="D30" s="163" t="s">
        <v>280</v>
      </c>
      <c r="E30" s="164" t="s">
        <v>194</v>
      </c>
    </row>
    <row r="31" spans="2:5" s="161" customFormat="1" x14ac:dyDescent="0.25">
      <c r="B31" s="162">
        <f t="shared" ca="1" si="0"/>
        <v>25</v>
      </c>
      <c r="C31" s="161" t="s">
        <v>283</v>
      </c>
      <c r="D31" s="163" t="s">
        <v>284</v>
      </c>
      <c r="E31" s="164" t="s">
        <v>203</v>
      </c>
    </row>
    <row r="32" spans="2:5" s="161" customFormat="1" x14ac:dyDescent="0.25">
      <c r="B32" s="162">
        <f t="shared" ca="1" si="0"/>
        <v>26</v>
      </c>
      <c r="C32" s="161" t="s">
        <v>395</v>
      </c>
      <c r="D32" s="163" t="s">
        <v>396</v>
      </c>
      <c r="E32" s="164" t="s">
        <v>203</v>
      </c>
    </row>
    <row r="33" spans="2:5" s="161" customFormat="1" x14ac:dyDescent="0.25">
      <c r="B33" s="162">
        <f t="shared" ca="1" si="0"/>
        <v>27</v>
      </c>
      <c r="C33" s="161" t="s">
        <v>271</v>
      </c>
      <c r="D33" s="163" t="s">
        <v>272</v>
      </c>
      <c r="E33" s="164" t="s">
        <v>194</v>
      </c>
    </row>
    <row r="34" spans="2:5" s="161" customFormat="1" x14ac:dyDescent="0.25">
      <c r="B34" s="162">
        <f t="shared" ca="1" si="0"/>
        <v>28</v>
      </c>
      <c r="C34" s="161" t="s">
        <v>308</v>
      </c>
      <c r="D34" s="163" t="s">
        <v>461</v>
      </c>
      <c r="E34" s="164" t="s">
        <v>204</v>
      </c>
    </row>
    <row r="35" spans="2:5" s="161" customFormat="1" x14ac:dyDescent="0.25">
      <c r="B35" s="162">
        <f t="shared" ca="1" si="0"/>
        <v>29</v>
      </c>
      <c r="C35" s="161" t="s">
        <v>240</v>
      </c>
      <c r="D35" s="163" t="s">
        <v>241</v>
      </c>
      <c r="E35" s="164" t="s">
        <v>204</v>
      </c>
    </row>
    <row r="36" spans="2:5" s="161" customFormat="1" x14ac:dyDescent="0.25">
      <c r="B36" s="162">
        <f t="shared" ca="1" si="0"/>
        <v>30</v>
      </c>
      <c r="C36" s="161" t="s">
        <v>273</v>
      </c>
      <c r="D36" s="163" t="s">
        <v>274</v>
      </c>
      <c r="E36" s="164" t="s">
        <v>204</v>
      </c>
    </row>
    <row r="37" spans="2:5" s="161" customFormat="1" x14ac:dyDescent="0.25">
      <c r="B37" s="162">
        <f t="shared" ca="1" si="0"/>
        <v>31</v>
      </c>
      <c r="C37" s="161" t="s">
        <v>394</v>
      </c>
      <c r="D37" s="163" t="s">
        <v>236</v>
      </c>
      <c r="E37" s="164" t="s">
        <v>203</v>
      </c>
    </row>
    <row r="38" spans="2:5" s="161" customFormat="1" x14ac:dyDescent="0.25">
      <c r="B38" s="162">
        <f t="shared" ca="1" si="0"/>
        <v>32</v>
      </c>
      <c r="C38" s="161" t="s">
        <v>297</v>
      </c>
      <c r="D38" s="163" t="s">
        <v>298</v>
      </c>
      <c r="E38" s="164" t="s">
        <v>203</v>
      </c>
    </row>
    <row r="39" spans="2:5" s="161" customFormat="1" x14ac:dyDescent="0.25">
      <c r="B39" s="162">
        <f t="shared" ca="1" si="0"/>
        <v>33</v>
      </c>
      <c r="C39" s="161" t="s">
        <v>431</v>
      </c>
      <c r="D39" s="163" t="s">
        <v>432</v>
      </c>
      <c r="E39" s="164" t="s">
        <v>203</v>
      </c>
    </row>
    <row r="40" spans="2:5" s="161" customFormat="1" x14ac:dyDescent="0.25">
      <c r="B40" s="162">
        <f t="shared" ca="1" si="0"/>
        <v>34</v>
      </c>
      <c r="C40" s="161" t="s">
        <v>411</v>
      </c>
      <c r="D40" s="163" t="s">
        <v>412</v>
      </c>
      <c r="E40" s="164" t="s">
        <v>203</v>
      </c>
    </row>
    <row r="41" spans="2:5" s="161" customFormat="1" x14ac:dyDescent="0.25">
      <c r="B41" s="162">
        <f t="shared" ca="1" si="0"/>
        <v>35</v>
      </c>
      <c r="C41" s="161" t="s">
        <v>277</v>
      </c>
      <c r="D41" s="163" t="s">
        <v>278</v>
      </c>
      <c r="E41" s="164" t="s">
        <v>204</v>
      </c>
    </row>
    <row r="42" spans="2:5" s="161" customFormat="1" x14ac:dyDescent="0.25">
      <c r="B42" s="162">
        <f t="shared" ca="1" si="0"/>
        <v>36</v>
      </c>
      <c r="C42" s="161" t="s">
        <v>299</v>
      </c>
      <c r="D42" s="163" t="s">
        <v>300</v>
      </c>
      <c r="E42" s="164" t="s">
        <v>204</v>
      </c>
    </row>
    <row r="43" spans="2:5" s="161" customFormat="1" x14ac:dyDescent="0.25">
      <c r="B43" s="162">
        <f t="shared" ca="1" si="0"/>
        <v>37</v>
      </c>
      <c r="C43" s="161" t="s">
        <v>382</v>
      </c>
      <c r="D43" s="163" t="s">
        <v>383</v>
      </c>
      <c r="E43" s="164" t="s">
        <v>204</v>
      </c>
    </row>
    <row r="44" spans="2:5" s="161" customFormat="1" x14ac:dyDescent="0.25">
      <c r="B44" s="162">
        <f t="shared" ca="1" si="0"/>
        <v>38</v>
      </c>
      <c r="C44" s="161" t="s">
        <v>301</v>
      </c>
      <c r="D44" s="163" t="s">
        <v>302</v>
      </c>
      <c r="E44" s="164" t="s">
        <v>203</v>
      </c>
    </row>
    <row r="45" spans="2:5" s="161" customFormat="1" x14ac:dyDescent="0.25">
      <c r="B45" s="162">
        <f t="shared" ca="1" si="0"/>
        <v>39</v>
      </c>
      <c r="C45" s="161" t="s">
        <v>281</v>
      </c>
      <c r="D45" s="163" t="s">
        <v>282</v>
      </c>
      <c r="E45" s="164" t="s">
        <v>203</v>
      </c>
    </row>
    <row r="46" spans="2:5" s="161" customFormat="1" x14ac:dyDescent="0.25">
      <c r="B46" s="162">
        <f t="shared" ca="1" si="0"/>
        <v>40</v>
      </c>
      <c r="C46" s="161" t="s">
        <v>303</v>
      </c>
      <c r="D46" s="163" t="s">
        <v>304</v>
      </c>
      <c r="E46" s="164" t="s">
        <v>203</v>
      </c>
    </row>
    <row r="47" spans="2:5" s="161" customFormat="1" x14ac:dyDescent="0.25">
      <c r="B47" s="162">
        <f t="shared" ca="1" si="0"/>
        <v>41</v>
      </c>
      <c r="C47" s="161" t="s">
        <v>285</v>
      </c>
      <c r="D47" s="163" t="s">
        <v>286</v>
      </c>
      <c r="E47" s="164" t="s">
        <v>203</v>
      </c>
    </row>
    <row r="48" spans="2:5" s="161" customFormat="1" x14ac:dyDescent="0.25">
      <c r="B48" s="162">
        <f t="shared" ca="1" si="0"/>
        <v>42</v>
      </c>
      <c r="C48" s="161" t="s">
        <v>243</v>
      </c>
      <c r="D48" s="163" t="s">
        <v>244</v>
      </c>
      <c r="E48" s="164" t="s">
        <v>204</v>
      </c>
    </row>
    <row r="49" spans="2:5" s="161" customFormat="1" x14ac:dyDescent="0.25">
      <c r="B49" s="162">
        <f t="shared" ca="1" si="0"/>
        <v>43</v>
      </c>
      <c r="C49" s="161" t="s">
        <v>427</v>
      </c>
      <c r="D49" s="163" t="s">
        <v>428</v>
      </c>
      <c r="E49" s="164" t="s">
        <v>203</v>
      </c>
    </row>
    <row r="50" spans="2:5" s="161" customFormat="1" x14ac:dyDescent="0.25">
      <c r="B50" s="162">
        <f t="shared" ca="1" si="0"/>
        <v>44</v>
      </c>
      <c r="C50" s="161" t="s">
        <v>289</v>
      </c>
      <c r="D50" s="163" t="s">
        <v>290</v>
      </c>
      <c r="E50" s="164" t="s">
        <v>204</v>
      </c>
    </row>
    <row r="51" spans="2:5" s="161" customFormat="1" x14ac:dyDescent="0.25">
      <c r="B51" s="162">
        <f t="shared" ca="1" si="0"/>
        <v>45</v>
      </c>
      <c r="C51" s="161" t="s">
        <v>347</v>
      </c>
      <c r="D51" s="163" t="s">
        <v>348</v>
      </c>
      <c r="E51" s="164" t="s">
        <v>204</v>
      </c>
    </row>
    <row r="52" spans="2:5" s="161" customFormat="1" x14ac:dyDescent="0.25">
      <c r="B52" s="162">
        <f t="shared" ca="1" si="0"/>
        <v>46</v>
      </c>
      <c r="C52" s="161" t="s">
        <v>291</v>
      </c>
      <c r="D52" s="163" t="s">
        <v>292</v>
      </c>
      <c r="E52" s="164" t="s">
        <v>204</v>
      </c>
    </row>
    <row r="53" spans="2:5" s="161" customFormat="1" x14ac:dyDescent="0.25">
      <c r="B53" s="162">
        <f t="shared" ca="1" si="0"/>
        <v>47</v>
      </c>
      <c r="C53" s="161" t="s">
        <v>293</v>
      </c>
      <c r="D53" s="163" t="s">
        <v>294</v>
      </c>
      <c r="E53" s="164" t="s">
        <v>203</v>
      </c>
    </row>
    <row r="54" spans="2:5" s="161" customFormat="1" x14ac:dyDescent="0.25">
      <c r="B54" s="162">
        <f t="shared" ca="1" si="0"/>
        <v>48</v>
      </c>
      <c r="C54" s="161" t="s">
        <v>369</v>
      </c>
      <c r="D54" s="163" t="s">
        <v>375</v>
      </c>
      <c r="E54" s="164" t="s">
        <v>203</v>
      </c>
    </row>
    <row r="55" spans="2:5" s="161" customFormat="1" x14ac:dyDescent="0.25">
      <c r="B55" s="162">
        <f t="shared" ca="1" si="0"/>
        <v>49</v>
      </c>
      <c r="C55" s="161" t="s">
        <v>389</v>
      </c>
      <c r="D55" s="163" t="s">
        <v>390</v>
      </c>
      <c r="E55" s="164" t="s">
        <v>203</v>
      </c>
    </row>
    <row r="56" spans="2:5" s="161" customFormat="1" x14ac:dyDescent="0.25">
      <c r="B56" s="162">
        <f t="shared" ca="1" si="0"/>
        <v>50</v>
      </c>
      <c r="C56" s="161" t="s">
        <v>295</v>
      </c>
      <c r="D56" s="163" t="s">
        <v>296</v>
      </c>
      <c r="E56" s="164" t="s">
        <v>203</v>
      </c>
    </row>
    <row r="57" spans="2:5" s="161" customFormat="1" x14ac:dyDescent="0.25">
      <c r="B57" s="162">
        <f t="shared" ca="1" si="0"/>
        <v>51</v>
      </c>
      <c r="C57" s="161" t="s">
        <v>402</v>
      </c>
      <c r="D57" s="163" t="s">
        <v>459</v>
      </c>
      <c r="E57" s="164" t="s">
        <v>203</v>
      </c>
    </row>
    <row r="58" spans="2:5" s="161" customFormat="1" x14ac:dyDescent="0.25">
      <c r="B58" s="162">
        <f t="shared" ca="1" si="0"/>
        <v>52</v>
      </c>
      <c r="C58" s="161" t="s">
        <v>345</v>
      </c>
      <c r="D58" s="163" t="s">
        <v>346</v>
      </c>
      <c r="E58" s="164" t="s">
        <v>203</v>
      </c>
    </row>
    <row r="59" spans="2:5" s="161" customFormat="1" x14ac:dyDescent="0.25">
      <c r="B59" s="162">
        <f t="shared" ca="1" si="0"/>
        <v>53</v>
      </c>
      <c r="C59" s="161" t="s">
        <v>354</v>
      </c>
      <c r="D59" s="163" t="s">
        <v>355</v>
      </c>
      <c r="E59" s="164" t="s">
        <v>203</v>
      </c>
    </row>
    <row r="60" spans="2:5" s="161" customFormat="1" x14ac:dyDescent="0.25">
      <c r="B60" s="162">
        <f t="shared" ca="1" si="0"/>
        <v>54</v>
      </c>
      <c r="C60" s="161" t="s">
        <v>247</v>
      </c>
      <c r="D60" s="163" t="s">
        <v>248</v>
      </c>
      <c r="E60" s="164" t="s">
        <v>203</v>
      </c>
    </row>
    <row r="61" spans="2:5" s="161" customFormat="1" x14ac:dyDescent="0.25">
      <c r="B61" s="162">
        <f t="shared" ca="1" si="0"/>
        <v>55</v>
      </c>
      <c r="C61" s="161" t="s">
        <v>251</v>
      </c>
      <c r="D61" s="163" t="s">
        <v>252</v>
      </c>
      <c r="E61" s="164" t="s">
        <v>203</v>
      </c>
    </row>
    <row r="62" spans="2:5" s="161" customFormat="1" x14ac:dyDescent="0.25">
      <c r="B62" s="162"/>
      <c r="D62" s="163"/>
      <c r="E62" s="164"/>
    </row>
    <row r="63" spans="2:5" s="161" customFormat="1" x14ac:dyDescent="0.25">
      <c r="B63" s="162">
        <f t="shared" ca="1" si="0"/>
        <v>1</v>
      </c>
      <c r="C63" s="161" t="s">
        <v>602</v>
      </c>
      <c r="D63" s="163" t="s">
        <v>260</v>
      </c>
      <c r="E63" s="164" t="s">
        <v>203</v>
      </c>
    </row>
    <row r="64" spans="2:5" s="161" customFormat="1" x14ac:dyDescent="0.25">
      <c r="B64" s="162">
        <f t="shared" ca="1" si="0"/>
        <v>2</v>
      </c>
      <c r="C64" s="161" t="s">
        <v>603</v>
      </c>
      <c r="D64" s="163" t="s">
        <v>359</v>
      </c>
      <c r="E64" s="164" t="s">
        <v>194</v>
      </c>
    </row>
    <row r="65" spans="2:5" s="161" customFormat="1" x14ac:dyDescent="0.25">
      <c r="B65" s="162">
        <f t="shared" ca="1" si="0"/>
        <v>3</v>
      </c>
      <c r="C65" s="161" t="s">
        <v>604</v>
      </c>
      <c r="D65" s="161" t="s">
        <v>388</v>
      </c>
      <c r="E65" s="164" t="s">
        <v>203</v>
      </c>
    </row>
    <row r="66" spans="2:5" s="161" customFormat="1" x14ac:dyDescent="0.25">
      <c r="B66" s="162">
        <f t="shared" ca="1" si="0"/>
        <v>4</v>
      </c>
      <c r="C66" s="161" t="s">
        <v>605</v>
      </c>
      <c r="D66" s="163" t="s">
        <v>288</v>
      </c>
      <c r="E66" s="164" t="s">
        <v>203</v>
      </c>
    </row>
    <row r="67" spans="2:5" s="161" customFormat="1" x14ac:dyDescent="0.25">
      <c r="B67" s="162">
        <f t="shared" ca="1" si="0"/>
        <v>5</v>
      </c>
      <c r="C67" s="161" t="s">
        <v>606</v>
      </c>
      <c r="D67" s="163" t="s">
        <v>216</v>
      </c>
      <c r="E67" s="164" t="s">
        <v>204</v>
      </c>
    </row>
    <row r="68" spans="2:5" s="161" customFormat="1" x14ac:dyDescent="0.25">
      <c r="B68" s="162">
        <f t="shared" ca="1" si="0"/>
        <v>6</v>
      </c>
      <c r="C68" s="161" t="s">
        <v>607</v>
      </c>
      <c r="D68" s="163" t="s">
        <v>306</v>
      </c>
      <c r="E68" s="164" t="s">
        <v>203</v>
      </c>
    </row>
    <row r="69" spans="2:5" s="161" customFormat="1" x14ac:dyDescent="0.25">
      <c r="B69" s="162"/>
      <c r="D69" s="163"/>
      <c r="E69" s="164"/>
    </row>
    <row r="70" spans="2:5" s="161" customFormat="1" x14ac:dyDescent="0.25">
      <c r="B70" s="162"/>
      <c r="D70" s="163"/>
      <c r="E70" s="164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3:N30"/>
  <sheetViews>
    <sheetView zoomScale="80" zoomScaleNormal="80" workbookViewId="0"/>
  </sheetViews>
  <sheetFormatPr defaultColWidth="9.109375" defaultRowHeight="13.2" x14ac:dyDescent="0.25"/>
  <cols>
    <col min="1" max="2" width="9.109375" style="239"/>
    <col min="3" max="3" width="5.88671875" style="241" customWidth="1"/>
    <col min="4" max="4" width="9.109375" style="241"/>
    <col min="5" max="5" width="25.44140625" style="241" customWidth="1"/>
    <col min="6" max="6" width="9.109375" style="239"/>
    <col min="7" max="8" width="5.88671875" style="241" customWidth="1"/>
    <col min="9" max="9" width="9.109375" style="241"/>
    <col min="10" max="10" width="25.44140625" style="241" customWidth="1"/>
    <col min="11" max="11" width="9.109375" style="239"/>
    <col min="12" max="12" width="5.88671875" style="241" customWidth="1"/>
    <col min="13" max="13" width="9.109375" style="241"/>
    <col min="14" max="14" width="25.44140625" style="239" customWidth="1"/>
    <col min="15" max="16384" width="9.109375" style="239"/>
  </cols>
  <sheetData>
    <row r="3" spans="3:14" x14ac:dyDescent="0.25">
      <c r="C3" s="394" t="s">
        <v>608</v>
      </c>
      <c r="D3" s="395"/>
      <c r="E3" s="395"/>
      <c r="G3" s="394" t="s">
        <v>153</v>
      </c>
      <c r="H3" s="395"/>
      <c r="I3" s="395"/>
      <c r="J3" s="395"/>
      <c r="L3" s="394" t="s">
        <v>108</v>
      </c>
      <c r="M3" s="395"/>
      <c r="N3" s="395"/>
    </row>
    <row r="5" spans="3:14" x14ac:dyDescent="0.25">
      <c r="C5" s="245"/>
      <c r="G5" s="245"/>
      <c r="H5" s="246">
        <v>1</v>
      </c>
      <c r="I5" s="240" t="s">
        <v>203</v>
      </c>
      <c r="J5" s="247" t="s">
        <v>609</v>
      </c>
      <c r="L5" s="246">
        <v>1</v>
      </c>
      <c r="M5" s="240" t="s">
        <v>610</v>
      </c>
      <c r="N5" s="247" t="s">
        <v>611</v>
      </c>
    </row>
    <row r="6" spans="3:14" x14ac:dyDescent="0.25">
      <c r="C6" s="246"/>
      <c r="G6" s="246"/>
      <c r="H6" s="246">
        <v>2</v>
      </c>
      <c r="I6" s="243" t="s">
        <v>421</v>
      </c>
      <c r="L6" s="246">
        <v>2</v>
      </c>
      <c r="M6" s="243" t="s">
        <v>194</v>
      </c>
    </row>
    <row r="7" spans="3:14" x14ac:dyDescent="0.25">
      <c r="C7" s="246"/>
      <c r="G7" s="246"/>
      <c r="H7" s="246">
        <v>3</v>
      </c>
      <c r="I7" s="243" t="s">
        <v>194</v>
      </c>
      <c r="L7" s="246">
        <v>3</v>
      </c>
      <c r="M7" s="243" t="s">
        <v>612</v>
      </c>
    </row>
    <row r="8" spans="3:14" x14ac:dyDescent="0.25">
      <c r="C8" s="246"/>
      <c r="G8" s="246"/>
      <c r="H8" s="246">
        <v>4</v>
      </c>
      <c r="I8" s="244" t="s">
        <v>613</v>
      </c>
      <c r="J8" s="242"/>
      <c r="L8" s="246">
        <v>4</v>
      </c>
      <c r="M8" s="243" t="s">
        <v>614</v>
      </c>
    </row>
    <row r="9" spans="3:14" x14ac:dyDescent="0.25">
      <c r="C9" s="246">
        <v>1</v>
      </c>
      <c r="D9" s="240" t="s">
        <v>192</v>
      </c>
      <c r="E9" s="247" t="s">
        <v>615</v>
      </c>
      <c r="G9" s="246">
        <v>1</v>
      </c>
      <c r="H9" s="246">
        <v>5</v>
      </c>
      <c r="I9" s="243" t="s">
        <v>192</v>
      </c>
      <c r="J9" s="247" t="s">
        <v>616</v>
      </c>
      <c r="L9" s="246">
        <v>5</v>
      </c>
      <c r="M9" s="243" t="s">
        <v>191</v>
      </c>
    </row>
    <row r="10" spans="3:14" x14ac:dyDescent="0.25">
      <c r="C10" s="246">
        <v>2</v>
      </c>
      <c r="D10" s="243" t="s">
        <v>190</v>
      </c>
      <c r="G10" s="246">
        <v>2</v>
      </c>
      <c r="H10" s="246">
        <v>6</v>
      </c>
      <c r="I10" s="243" t="s">
        <v>617</v>
      </c>
      <c r="L10" s="246">
        <v>6</v>
      </c>
      <c r="M10" s="243" t="s">
        <v>189</v>
      </c>
    </row>
    <row r="11" spans="3:14" x14ac:dyDescent="0.25">
      <c r="C11" s="246">
        <v>3</v>
      </c>
      <c r="D11" s="243" t="s">
        <v>188</v>
      </c>
      <c r="G11" s="246">
        <v>3</v>
      </c>
      <c r="H11" s="246">
        <v>7</v>
      </c>
      <c r="I11" s="243" t="s">
        <v>191</v>
      </c>
      <c r="L11" s="246">
        <v>7</v>
      </c>
      <c r="M11" s="243" t="s">
        <v>187</v>
      </c>
    </row>
    <row r="12" spans="3:14" x14ac:dyDescent="0.25">
      <c r="C12" s="246">
        <v>4</v>
      </c>
      <c r="D12" s="243" t="s">
        <v>186</v>
      </c>
      <c r="G12" s="246">
        <v>4</v>
      </c>
      <c r="H12" s="246">
        <v>8</v>
      </c>
      <c r="I12" s="243" t="s">
        <v>189</v>
      </c>
      <c r="L12" s="246">
        <v>8</v>
      </c>
      <c r="M12" s="243" t="s">
        <v>185</v>
      </c>
    </row>
    <row r="13" spans="3:14" x14ac:dyDescent="0.25">
      <c r="C13" s="246">
        <v>5</v>
      </c>
      <c r="D13" s="243" t="s">
        <v>184</v>
      </c>
      <c r="G13" s="246">
        <v>5</v>
      </c>
      <c r="H13" s="246">
        <v>9</v>
      </c>
      <c r="I13" s="243" t="s">
        <v>187</v>
      </c>
      <c r="L13" s="246">
        <v>9</v>
      </c>
      <c r="M13" s="243" t="s">
        <v>183</v>
      </c>
    </row>
    <row r="14" spans="3:14" x14ac:dyDescent="0.25">
      <c r="C14" s="246">
        <v>6</v>
      </c>
      <c r="D14" s="243" t="s">
        <v>182</v>
      </c>
      <c r="G14" s="246">
        <v>6</v>
      </c>
      <c r="H14" s="246">
        <v>10</v>
      </c>
      <c r="I14" s="243" t="s">
        <v>185</v>
      </c>
      <c r="L14" s="246">
        <v>10</v>
      </c>
      <c r="M14" s="243" t="s">
        <v>181</v>
      </c>
    </row>
    <row r="15" spans="3:14" x14ac:dyDescent="0.25">
      <c r="C15" s="246">
        <v>7</v>
      </c>
      <c r="D15" s="243" t="s">
        <v>180</v>
      </c>
      <c r="G15" s="246">
        <v>7</v>
      </c>
      <c r="H15" s="246">
        <v>11</v>
      </c>
      <c r="I15" s="243" t="s">
        <v>183</v>
      </c>
      <c r="L15" s="246">
        <v>11</v>
      </c>
      <c r="M15" s="243" t="s">
        <v>179</v>
      </c>
    </row>
    <row r="16" spans="3:14" x14ac:dyDescent="0.25">
      <c r="C16" s="246">
        <v>8</v>
      </c>
      <c r="D16" s="243" t="s">
        <v>178</v>
      </c>
      <c r="G16" s="246">
        <v>8</v>
      </c>
      <c r="H16" s="246">
        <v>12</v>
      </c>
      <c r="I16" s="243" t="s">
        <v>181</v>
      </c>
      <c r="L16" s="246">
        <v>12</v>
      </c>
      <c r="M16" s="243" t="s">
        <v>177</v>
      </c>
    </row>
    <row r="17" spans="3:13" x14ac:dyDescent="0.25">
      <c r="C17" s="246">
        <v>9</v>
      </c>
      <c r="D17" s="243" t="s">
        <v>176</v>
      </c>
      <c r="G17" s="246">
        <v>9</v>
      </c>
      <c r="H17" s="246">
        <v>13</v>
      </c>
      <c r="I17" s="243" t="s">
        <v>179</v>
      </c>
      <c r="L17" s="246">
        <v>13</v>
      </c>
      <c r="M17" s="243" t="s">
        <v>175</v>
      </c>
    </row>
    <row r="18" spans="3:13" x14ac:dyDescent="0.25">
      <c r="C18" s="246">
        <v>10</v>
      </c>
      <c r="D18" s="243" t="s">
        <v>174</v>
      </c>
      <c r="G18" s="246">
        <v>10</v>
      </c>
      <c r="H18" s="246">
        <v>14</v>
      </c>
      <c r="I18" s="243" t="s">
        <v>177</v>
      </c>
      <c r="L18" s="246">
        <v>14</v>
      </c>
      <c r="M18" s="243" t="s">
        <v>173</v>
      </c>
    </row>
    <row r="19" spans="3:13" x14ac:dyDescent="0.25">
      <c r="C19" s="246">
        <v>11</v>
      </c>
      <c r="D19" s="243" t="s">
        <v>172</v>
      </c>
      <c r="G19" s="246">
        <v>11</v>
      </c>
      <c r="H19" s="246">
        <v>15</v>
      </c>
      <c r="I19" s="243" t="s">
        <v>175</v>
      </c>
      <c r="L19" s="246">
        <v>15</v>
      </c>
      <c r="M19" s="243" t="s">
        <v>142</v>
      </c>
    </row>
    <row r="20" spans="3:13" x14ac:dyDescent="0.25">
      <c r="C20" s="246">
        <v>12</v>
      </c>
      <c r="D20" s="243" t="s">
        <v>170</v>
      </c>
      <c r="G20" s="246">
        <v>12</v>
      </c>
      <c r="H20" s="246">
        <v>16</v>
      </c>
      <c r="I20" s="243" t="s">
        <v>173</v>
      </c>
      <c r="L20" s="246">
        <v>16</v>
      </c>
      <c r="M20" s="243" t="s">
        <v>141</v>
      </c>
    </row>
    <row r="21" spans="3:13" x14ac:dyDescent="0.25">
      <c r="C21" s="246">
        <v>13</v>
      </c>
      <c r="D21" s="243" t="s">
        <v>169</v>
      </c>
      <c r="G21" s="246">
        <v>13</v>
      </c>
      <c r="H21" s="246">
        <v>17</v>
      </c>
      <c r="I21" s="243" t="s">
        <v>142</v>
      </c>
      <c r="L21" s="246">
        <v>17</v>
      </c>
      <c r="M21" s="243" t="s">
        <v>140</v>
      </c>
    </row>
    <row r="22" spans="3:13" x14ac:dyDescent="0.25">
      <c r="C22" s="246">
        <v>14</v>
      </c>
      <c r="D22" s="243" t="s">
        <v>168</v>
      </c>
      <c r="G22" s="246">
        <v>14</v>
      </c>
      <c r="H22" s="246">
        <v>18</v>
      </c>
      <c r="I22" s="243" t="s">
        <v>141</v>
      </c>
      <c r="L22" s="246">
        <v>18</v>
      </c>
      <c r="M22" s="243" t="s">
        <v>139</v>
      </c>
    </row>
    <row r="23" spans="3:13" x14ac:dyDescent="0.25">
      <c r="C23" s="246">
        <v>15</v>
      </c>
      <c r="D23" s="243" t="s">
        <v>167</v>
      </c>
      <c r="G23" s="246">
        <v>15</v>
      </c>
      <c r="H23" s="246">
        <v>19</v>
      </c>
      <c r="I23" s="243" t="s">
        <v>140</v>
      </c>
      <c r="L23" s="246">
        <v>19</v>
      </c>
      <c r="M23" s="243" t="s">
        <v>166</v>
      </c>
    </row>
    <row r="24" spans="3:13" x14ac:dyDescent="0.25">
      <c r="C24" s="246">
        <v>16</v>
      </c>
      <c r="D24" s="243" t="s">
        <v>165</v>
      </c>
      <c r="G24" s="246">
        <v>16</v>
      </c>
      <c r="H24" s="246">
        <v>20</v>
      </c>
      <c r="I24" s="243" t="s">
        <v>139</v>
      </c>
      <c r="L24" s="246">
        <v>20</v>
      </c>
      <c r="M24" s="243" t="s">
        <v>164</v>
      </c>
    </row>
    <row r="25" spans="3:13" x14ac:dyDescent="0.25">
      <c r="C25" s="246">
        <v>17</v>
      </c>
      <c r="D25" s="243" t="s">
        <v>163</v>
      </c>
      <c r="G25" s="246">
        <v>17</v>
      </c>
      <c r="H25" s="246">
        <v>21</v>
      </c>
      <c r="I25" s="243" t="s">
        <v>166</v>
      </c>
      <c r="L25" s="246">
        <v>21</v>
      </c>
      <c r="M25" s="243" t="s">
        <v>162</v>
      </c>
    </row>
    <row r="26" spans="3:13" x14ac:dyDescent="0.25">
      <c r="C26" s="246">
        <v>18</v>
      </c>
      <c r="D26" s="243" t="s">
        <v>161</v>
      </c>
      <c r="G26" s="246">
        <v>18</v>
      </c>
      <c r="H26" s="246">
        <v>22</v>
      </c>
      <c r="I26" s="243" t="s">
        <v>164</v>
      </c>
      <c r="L26" s="246">
        <v>22</v>
      </c>
      <c r="M26" s="243" t="s">
        <v>160</v>
      </c>
    </row>
    <row r="27" spans="3:13" x14ac:dyDescent="0.25">
      <c r="C27" s="246">
        <v>19</v>
      </c>
      <c r="D27" s="243" t="s">
        <v>159</v>
      </c>
      <c r="G27" s="246">
        <v>19</v>
      </c>
      <c r="H27" s="246">
        <v>23</v>
      </c>
      <c r="I27" s="243" t="s">
        <v>162</v>
      </c>
      <c r="L27" s="246">
        <v>23</v>
      </c>
      <c r="M27" s="243" t="s">
        <v>158</v>
      </c>
    </row>
    <row r="28" spans="3:13" x14ac:dyDescent="0.25">
      <c r="C28" s="246">
        <v>20</v>
      </c>
      <c r="D28" s="243" t="s">
        <v>157</v>
      </c>
      <c r="G28" s="246">
        <v>20</v>
      </c>
      <c r="H28" s="246">
        <v>24</v>
      </c>
      <c r="I28" s="243" t="s">
        <v>160</v>
      </c>
      <c r="L28" s="246">
        <v>24</v>
      </c>
      <c r="M28" s="243" t="s">
        <v>156</v>
      </c>
    </row>
    <row r="29" spans="3:13" x14ac:dyDescent="0.25">
      <c r="C29" s="246">
        <v>21</v>
      </c>
      <c r="D29" s="244" t="s">
        <v>155</v>
      </c>
      <c r="G29" s="246">
        <v>21</v>
      </c>
      <c r="H29" s="246">
        <v>25</v>
      </c>
      <c r="I29" s="243" t="s">
        <v>158</v>
      </c>
      <c r="L29" s="246"/>
      <c r="M29" s="243"/>
    </row>
    <row r="30" spans="3:13" x14ac:dyDescent="0.25">
      <c r="C30" s="246"/>
      <c r="G30" s="246">
        <v>22</v>
      </c>
      <c r="H30" s="246">
        <v>26</v>
      </c>
      <c r="I30" s="244" t="s">
        <v>156</v>
      </c>
      <c r="L30" s="246"/>
      <c r="M30" s="244"/>
    </row>
  </sheetData>
  <mergeCells count="3">
    <mergeCell ref="C3:E3"/>
    <mergeCell ref="G3:J3"/>
    <mergeCell ref="L3:N3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hidden="1" customWidth="1" outlineLevel="1"/>
    <col min="23" max="23" width="2" style="168" hidden="1" customWidth="1" outlineLevel="1"/>
    <col min="24" max="24" width="4.109375" style="168" customWidth="1" collapsed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15.88671875" style="169" hidden="1" customWidth="1" outlineLevel="1" collapsed="1"/>
    <col min="37" max="38" width="15.88671875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collapsed="1"/>
    <col min="63" max="16384" width="9.109375" style="168"/>
  </cols>
  <sheetData>
    <row r="1" spans="1:61" ht="18" x14ac:dyDescent="0.25">
      <c r="A1" s="238" t="str">
        <f ca="1">"I.  S&amp;P Utility Credit Ratings Distribution -- " &amp; B6</f>
        <v>I.  S&amp;P Utility Credit Ratings Distribution -- 2021 Q4</v>
      </c>
      <c r="G1" s="175" t="s">
        <v>195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 x14ac:dyDescent="0.25">
      <c r="A2" s="167"/>
      <c r="E2" s="171" t="str">
        <f ca="1">G2</f>
        <v>Reg_Percent_2020</v>
      </c>
      <c r="G2" s="172" t="s">
        <v>202</v>
      </c>
      <c r="AJ2" s="173" t="str">
        <f ca="1">AJ4 &amp; AJ3</f>
        <v>'Credit_2021Q3'!d:d</v>
      </c>
      <c r="AK2" s="173" t="str">
        <f ca="1">AK4 &amp; AK3</f>
        <v>'Credit_2021Q3'!b1</v>
      </c>
      <c r="AL2" s="173" t="str">
        <f ca="1">AL4 &amp; AL3</f>
        <v>'Credit_2021Q3'!c1</v>
      </c>
      <c r="AQ2" s="169"/>
    </row>
    <row r="3" spans="1:61" ht="18" hidden="1" outlineLevel="1" x14ac:dyDescent="0.25">
      <c r="A3" s="167"/>
      <c r="E3" s="174" t="str">
        <f ca="1">"'" &amp; E2 &amp; "'!"</f>
        <v>'Reg_Percent_2020'!</v>
      </c>
      <c r="G3" s="168" t="str">
        <f ca="1">"'" &amp; G2 &amp; "'!"</f>
        <v>'Reg_Percent_2020'!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205</v>
      </c>
      <c r="AK3" s="149" t="s">
        <v>206</v>
      </c>
      <c r="AL3" s="149" t="s">
        <v>207</v>
      </c>
      <c r="AQ3" s="169"/>
    </row>
    <row r="4" spans="1:61" ht="18" hidden="1" outlineLevel="1" x14ac:dyDescent="0.25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 ca="1">$AQ$5</f>
        <v>'Credit_2021Q3'!</v>
      </c>
      <c r="AK4" s="169" t="str">
        <f t="shared" ref="AK4:AL4" ca="1" si="0">$AQ$5</f>
        <v>'Credit_2021Q3'!</v>
      </c>
      <c r="AL4" s="169" t="str">
        <f t="shared" ca="1" si="0"/>
        <v>'Credit_2021Q3'!</v>
      </c>
      <c r="AQ4" s="169"/>
    </row>
    <row r="5" spans="1:61" ht="13.8" collapsed="1" x14ac:dyDescent="0.25">
      <c r="E5" s="176" t="s">
        <v>209</v>
      </c>
      <c r="G5" s="170" t="s">
        <v>199</v>
      </c>
      <c r="I5" s="230"/>
      <c r="J5" s="389" t="s">
        <v>210</v>
      </c>
      <c r="K5" s="230"/>
      <c r="L5" s="391" t="str">
        <f ca="1">"All Companies" &amp; CHAR( 10 ) &amp; "("&amp; L14 &amp; ")"</f>
        <v>All Companies
(44)</v>
      </c>
      <c r="M5" s="391"/>
      <c r="N5" s="230"/>
      <c r="O5" s="389" t="str">
        <f ca="1">"Regulated" &amp; CHAR( 10 ) &amp; "(" &amp; O14 &amp; ")"</f>
        <v>Regulated
(35)</v>
      </c>
      <c r="P5" s="393"/>
      <c r="Q5" s="230"/>
      <c r="R5" s="389" t="str">
        <f ca="1">"Mostly Regulated" &amp; CHAR( 10 ) &amp; "(" &amp; R14 &amp; ")"</f>
        <v>Mostly Regulated
(9)</v>
      </c>
      <c r="S5" s="393"/>
      <c r="T5" s="230"/>
      <c r="U5" s="389" t="str">
        <f ca="1">"Diversified" &amp; CHAR( 10 ) &amp; "(" &amp; U14 &amp; ")"</f>
        <v>Diversified
(0)</v>
      </c>
      <c r="V5" s="393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211</v>
      </c>
    </row>
    <row r="6" spans="1:61" ht="28.5" customHeight="1" x14ac:dyDescent="0.25">
      <c r="A6" s="219" t="s">
        <v>212</v>
      </c>
      <c r="B6" s="220" t="s">
        <v>213</v>
      </c>
      <c r="C6" s="249" t="s">
        <v>214</v>
      </c>
      <c r="D6" s="221"/>
      <c r="E6" s="222">
        <f ca="1">INDIRECT( E3 &amp; G1 )</f>
        <v>44196</v>
      </c>
      <c r="I6" s="231"/>
      <c r="J6" s="390"/>
      <c r="K6" s="231"/>
      <c r="L6" s="392"/>
      <c r="M6" s="392"/>
      <c r="N6" s="231"/>
      <c r="O6" s="390"/>
      <c r="P6" s="390"/>
      <c r="Q6" s="231"/>
      <c r="R6" s="390" t="s">
        <v>136</v>
      </c>
      <c r="S6" s="390"/>
      <c r="T6" s="231"/>
      <c r="U6" s="390"/>
      <c r="V6" s="390"/>
      <c r="W6" s="231"/>
      <c r="AE6" s="178"/>
      <c r="AJ6" s="179"/>
    </row>
    <row r="7" spans="1:61" ht="13.8" x14ac:dyDescent="0.25">
      <c r="A7" s="223" t="s">
        <v>215</v>
      </c>
      <c r="B7" s="224" t="s">
        <v>166</v>
      </c>
      <c r="C7" s="224">
        <v>21</v>
      </c>
      <c r="D7" s="224" t="s">
        <v>216</v>
      </c>
      <c r="E7" s="225" t="str">
        <f ca="1">IF( LEN( $G7 ) = 0, "", OFFSET( INDIRECT( E$3 &amp; E$4 ), $G7 - 1, 0 ) )</f>
        <v>MR</v>
      </c>
      <c r="F7" s="348"/>
      <c r="G7" s="349">
        <f t="shared" ref="G7:G62" ca="1" si="1">IF( LEN( $D7 ) = 0, "", MATCH( $D7, INDIRECT( G$3 &amp; G$4 ), 0 ) )</f>
        <v>56</v>
      </c>
      <c r="H7" s="350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ca="1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217</v>
      </c>
      <c r="AR7" s="207" t="s">
        <v>141</v>
      </c>
      <c r="AS7" s="207">
        <v>18</v>
      </c>
      <c r="AT7" s="207" t="s">
        <v>218</v>
      </c>
      <c r="AV7" s="168">
        <f t="shared" ref="AV7:AV63" ca="1" si="5">IF( LEN( AS7 ) = 0, 99, RANK( AS7, $AS$7:$AS$62 ) )</f>
        <v>30</v>
      </c>
      <c r="AW7" s="168">
        <f ca="1">COUNTIF( AV7:AV$7, AV7 )</f>
        <v>1</v>
      </c>
      <c r="AX7" s="208">
        <f ca="1">AV7 + AW7 / 10</f>
        <v>30.1</v>
      </c>
      <c r="AY7" s="168">
        <f t="shared" ref="AY7:AY63" ca="1" si="6">RANK( AX7, $AX$7:$AX$63, 1 )</f>
        <v>30</v>
      </c>
      <c r="AZ7" s="169"/>
      <c r="BA7" s="169"/>
      <c r="BC7" s="168">
        <f t="shared" ref="BC7" ca="1" si="7">OFFSET( BC7, -1, 0 ) + 1</f>
        <v>1</v>
      </c>
      <c r="BD7" s="209">
        <f t="shared" ref="BD7:BD63" ca="1" si="8">MATCH( BC7, $AY$7:$AY$63, 0 )</f>
        <v>7</v>
      </c>
      <c r="BF7" s="173" t="str">
        <f ca="1">OFFSET( AQ$6, $BD7, 0 )</f>
        <v>Berkshire Energy Holdings Company</v>
      </c>
      <c r="BG7" s="173" t="str">
        <f ca="1">OFFSET( AR$6, $BD7, 0 )</f>
        <v>A</v>
      </c>
      <c r="BH7" s="173">
        <f ca="1">OFFSET( AS$6, $BD7, 0 )</f>
        <v>21</v>
      </c>
      <c r="BI7" s="173" t="str">
        <f ca="1">OFFSET( AT$6, $BD7, 0 )</f>
        <v>**BRK</v>
      </c>
    </row>
    <row r="8" spans="1:61" ht="13.8" x14ac:dyDescent="0.25">
      <c r="A8" s="223" t="s">
        <v>219</v>
      </c>
      <c r="B8" s="224" t="s">
        <v>139</v>
      </c>
      <c r="C8" s="224">
        <v>20</v>
      </c>
      <c r="D8" s="224" t="s">
        <v>220</v>
      </c>
      <c r="E8" s="225" t="str">
        <f t="shared" ref="E8:E61" ca="1" si="9">IF( LEN( $G8 ) = 0, "", OFFSET( INDIRECT( E$3 &amp; E$4 ), $G8 - 1, 0 ) )</f>
        <v>R</v>
      </c>
      <c r="F8" s="348"/>
      <c r="G8" s="349">
        <f t="shared" ca="1" si="1"/>
        <v>8</v>
      </c>
      <c r="H8" s="350"/>
      <c r="I8" s="233"/>
      <c r="J8" s="213" t="s">
        <v>137</v>
      </c>
      <c r="K8" s="233"/>
      <c r="L8" s="213">
        <f t="shared" ref="L8:L13" ca="1" si="10">COUNTIF($C$7:$C$67,$X8)</f>
        <v>2</v>
      </c>
      <c r="M8" s="214">
        <f t="shared" ref="M8:M13" ca="1" si="11">IF( L8 = 0, "", L8/L$14 )</f>
        <v>4.5454545454545456E-2</v>
      </c>
      <c r="N8" s="233"/>
      <c r="O8" s="213">
        <f t="shared" ref="O8:O13" ca="1" si="12">COUNTIFS( $E$7:$E$66, O$3, $C$7:$C$66, $X8 )</f>
        <v>1</v>
      </c>
      <c r="P8" s="214">
        <f t="shared" ref="P8:P13" ca="1" si="13">IF( O8 = 0, "", O8/O$14 )</f>
        <v>2.8571428571428571E-2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0.1111111111111111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8">SUM(O8, R8, U8)</f>
        <v>2</v>
      </c>
      <c r="AC8" s="351"/>
      <c r="AE8" s="184"/>
      <c r="AF8" s="169">
        <f t="shared" ca="1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ref="AJ8:AJ67" ca="1" si="20">MATCH( $D8, INDIRECT( AJ$2 ), 0 )</f>
        <v>8</v>
      </c>
      <c r="AK8" s="169" t="str">
        <f t="shared" ref="AK8:AL67" ca="1" si="21">IF( ISNA( $AJ8 ), "", OFFSET( INDIRECT( AK$2 ), $AJ8-1, 0 ) )</f>
        <v>A-</v>
      </c>
      <c r="AL8" s="169">
        <f t="shared" ca="1" si="21"/>
        <v>20</v>
      </c>
      <c r="AM8" s="169" t="str">
        <f t="shared" ca="1" si="4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ca="1" si="5"/>
        <v>2</v>
      </c>
      <c r="AW8" s="168">
        <f ca="1">COUNTIF( AV$7:AV8, AV8 )</f>
        <v>1</v>
      </c>
      <c r="AX8" s="208">
        <f t="shared" ref="AX8:AX63" ca="1" si="22">AV8 + AW8 / 10</f>
        <v>2.1</v>
      </c>
      <c r="AY8" s="168">
        <f t="shared" ca="1" si="6"/>
        <v>2</v>
      </c>
      <c r="AZ8" s="169"/>
      <c r="BA8" s="169"/>
      <c r="BC8" s="168">
        <f ca="1">OFFSET( BC8, -1, 0 ) + 1</f>
        <v>2</v>
      </c>
      <c r="BD8" s="209">
        <f t="shared" ca="1" si="8"/>
        <v>2</v>
      </c>
      <c r="BF8" s="173" t="str">
        <f t="shared" ref="BF8:BI50" ca="1" si="23">OFFSET( AQ$6, $BD8, 0 )</f>
        <v>Alliant Energy Corporation</v>
      </c>
      <c r="BG8" s="173" t="str">
        <f t="shared" ca="1" si="23"/>
        <v>A-</v>
      </c>
      <c r="BH8" s="173">
        <f t="shared" ca="1" si="23"/>
        <v>20</v>
      </c>
      <c r="BI8" s="173" t="str">
        <f t="shared" ca="1" si="23"/>
        <v>LNT</v>
      </c>
    </row>
    <row r="9" spans="1:61" ht="13.8" x14ac:dyDescent="0.25">
      <c r="A9" s="223" t="s">
        <v>222</v>
      </c>
      <c r="B9" s="224" t="s">
        <v>139</v>
      </c>
      <c r="C9" s="224">
        <v>20</v>
      </c>
      <c r="D9" s="224" t="s">
        <v>223</v>
      </c>
      <c r="E9" s="225" t="str">
        <f t="shared" ca="1" si="9"/>
        <v>R</v>
      </c>
      <c r="F9" s="348"/>
      <c r="G9" s="349">
        <f t="shared" ca="1" si="1"/>
        <v>10</v>
      </c>
      <c r="H9" s="350"/>
      <c r="I9" s="234"/>
      <c r="J9" s="215" t="s">
        <v>139</v>
      </c>
      <c r="K9" s="234"/>
      <c r="L9" s="215">
        <f t="shared" ca="1" si="10"/>
        <v>9</v>
      </c>
      <c r="M9" s="216">
        <f t="shared" ca="1" si="11"/>
        <v>0.20454545454545456</v>
      </c>
      <c r="N9" s="234"/>
      <c r="O9" s="215">
        <f t="shared" ca="1" si="12"/>
        <v>8</v>
      </c>
      <c r="P9" s="216">
        <f t="shared" ca="1" si="13"/>
        <v>0.22857142857142856</v>
      </c>
      <c r="Q9" s="234"/>
      <c r="R9" s="215">
        <f t="shared" ca="1" si="14"/>
        <v>1</v>
      </c>
      <c r="S9" s="216">
        <f t="shared" ca="1" si="15"/>
        <v>0.1111111111111111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8"/>
        <v>9</v>
      </c>
      <c r="AC9" s="351"/>
      <c r="AE9" s="184"/>
      <c r="AF9" s="169">
        <f t="shared" ca="1" si="2"/>
        <v>0</v>
      </c>
      <c r="AG9" s="169" t="str">
        <f t="shared" ca="1" si="3"/>
        <v/>
      </c>
      <c r="AH9" s="169" t="str">
        <f t="shared" ca="1" si="19"/>
        <v/>
      </c>
      <c r="AJ9" s="169">
        <f t="shared" ca="1" si="20"/>
        <v>9</v>
      </c>
      <c r="AK9" s="169" t="str">
        <f t="shared" ca="1" si="21"/>
        <v>A-</v>
      </c>
      <c r="AL9" s="169">
        <f t="shared" ca="1" si="21"/>
        <v>20</v>
      </c>
      <c r="AM9" s="169" t="str">
        <f t="shared" ca="1" si="4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ca="1" si="5"/>
        <v>11</v>
      </c>
      <c r="AW9" s="168">
        <f ca="1">COUNTIF( AV$7:AV9, AV9 )</f>
        <v>1</v>
      </c>
      <c r="AX9" s="208">
        <f t="shared" ca="1" si="22"/>
        <v>11.1</v>
      </c>
      <c r="AY9" s="168">
        <f t="shared" ca="1" si="6"/>
        <v>11</v>
      </c>
      <c r="AZ9" s="169"/>
      <c r="BA9" s="169"/>
      <c r="BC9" s="168">
        <f t="shared" ref="BC9:BC63" ca="1" si="24">OFFSET( BC9, -1, 0 ) + 1</f>
        <v>3</v>
      </c>
      <c r="BD9" s="209">
        <f t="shared" ca="1" si="8"/>
        <v>4</v>
      </c>
      <c r="BF9" s="173" t="str">
        <f t="shared" ca="1" si="23"/>
        <v>American Electric Power Company, Inc.</v>
      </c>
      <c r="BG9" s="173" t="str">
        <f t="shared" ca="1" si="23"/>
        <v>A-</v>
      </c>
      <c r="BH9" s="173">
        <f t="shared" ca="1" si="23"/>
        <v>20</v>
      </c>
      <c r="BI9" s="173" t="str">
        <f t="shared" ca="1" si="23"/>
        <v>AEP</v>
      </c>
    </row>
    <row r="10" spans="1:61" ht="13.8" x14ac:dyDescent="0.25">
      <c r="A10" s="223" t="s">
        <v>227</v>
      </c>
      <c r="B10" s="224" t="s">
        <v>139</v>
      </c>
      <c r="C10" s="224">
        <v>20</v>
      </c>
      <c r="D10" s="224" t="s">
        <v>228</v>
      </c>
      <c r="E10" s="225" t="str">
        <f t="shared" ca="1" si="9"/>
        <v>R</v>
      </c>
      <c r="F10" s="348"/>
      <c r="G10" s="349">
        <f t="shared" ca="1" si="1"/>
        <v>16</v>
      </c>
      <c r="H10" s="350"/>
      <c r="I10" s="234"/>
      <c r="J10" s="215" t="s">
        <v>140</v>
      </c>
      <c r="K10" s="234"/>
      <c r="L10" s="215">
        <f t="shared" ca="1" si="10"/>
        <v>19</v>
      </c>
      <c r="M10" s="216">
        <f t="shared" ca="1" si="11"/>
        <v>0.43181818181818182</v>
      </c>
      <c r="N10" s="234"/>
      <c r="O10" s="215">
        <f t="shared" ca="1" si="12"/>
        <v>14</v>
      </c>
      <c r="P10" s="216">
        <f t="shared" ca="1" si="13"/>
        <v>0.4</v>
      </c>
      <c r="Q10" s="234"/>
      <c r="R10" s="215">
        <f t="shared" ca="1" si="14"/>
        <v>5</v>
      </c>
      <c r="S10" s="216">
        <f t="shared" ca="1" si="15"/>
        <v>0.55555555555555558</v>
      </c>
      <c r="T10" s="234"/>
      <c r="U10" s="215">
        <f t="shared" ca="1" si="16"/>
        <v>0</v>
      </c>
      <c r="V10" s="216" t="str">
        <f t="shared" ca="1" si="17"/>
        <v/>
      </c>
      <c r="W10" s="234"/>
      <c r="X10" s="186" t="s">
        <v>229</v>
      </c>
      <c r="Y10" s="186">
        <v>19</v>
      </c>
      <c r="Z10" s="186">
        <v>1</v>
      </c>
      <c r="AA10" s="185">
        <f t="shared" ca="1" si="18"/>
        <v>19</v>
      </c>
      <c r="AE10" s="184"/>
      <c r="AF10" s="169">
        <f t="shared" ca="1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20"/>
        <v>10</v>
      </c>
      <c r="AK10" s="169" t="str">
        <f t="shared" ca="1" si="21"/>
        <v>A-</v>
      </c>
      <c r="AL10" s="169">
        <f t="shared" ca="1" si="21"/>
        <v>20</v>
      </c>
      <c r="AM10" s="169" t="str">
        <f t="shared" ca="1" si="4"/>
        <v/>
      </c>
      <c r="AQ10" s="207" t="s">
        <v>222</v>
      </c>
      <c r="AR10" s="207" t="s">
        <v>139</v>
      </c>
      <c r="AS10" s="207">
        <v>20</v>
      </c>
      <c r="AT10" s="207" t="s">
        <v>223</v>
      </c>
      <c r="AV10" s="168">
        <f t="shared" ca="1" si="5"/>
        <v>2</v>
      </c>
      <c r="AW10" s="168">
        <f ca="1">COUNTIF( AV$7:AV10, AV10 )</f>
        <v>2</v>
      </c>
      <c r="AX10" s="208">
        <f t="shared" ca="1" si="22"/>
        <v>2.2000000000000002</v>
      </c>
      <c r="AY10" s="168">
        <f t="shared" ca="1" si="6"/>
        <v>3</v>
      </c>
      <c r="AZ10" s="169"/>
      <c r="BA10" s="169"/>
      <c r="BC10" s="168">
        <f t="shared" ca="1" si="24"/>
        <v>4</v>
      </c>
      <c r="BD10" s="209">
        <f t="shared" ca="1" si="8"/>
        <v>12</v>
      </c>
      <c r="BF10" s="173" t="str">
        <f t="shared" ca="1" si="23"/>
        <v>Consolidated Edison, Inc.</v>
      </c>
      <c r="BG10" s="173" t="str">
        <f t="shared" ca="1" si="23"/>
        <v>A-</v>
      </c>
      <c r="BH10" s="173">
        <f t="shared" ca="1" si="23"/>
        <v>20</v>
      </c>
      <c r="BI10" s="173" t="str">
        <f t="shared" ca="1" si="23"/>
        <v>ED</v>
      </c>
    </row>
    <row r="11" spans="1:61" ht="13.8" x14ac:dyDescent="0.25">
      <c r="A11" s="223" t="s">
        <v>230</v>
      </c>
      <c r="B11" s="224" t="s">
        <v>139</v>
      </c>
      <c r="C11" s="224">
        <v>20</v>
      </c>
      <c r="D11" s="224" t="s">
        <v>231</v>
      </c>
      <c r="E11" s="225" t="str">
        <f t="shared" ca="1" si="9"/>
        <v>R</v>
      </c>
      <c r="F11" s="348"/>
      <c r="G11" s="349">
        <f t="shared" ca="1" si="1"/>
        <v>22</v>
      </c>
      <c r="H11" s="350"/>
      <c r="I11" s="234"/>
      <c r="J11" s="215" t="s">
        <v>141</v>
      </c>
      <c r="K11" s="234"/>
      <c r="L11" s="215">
        <f t="shared" ca="1" si="10"/>
        <v>8</v>
      </c>
      <c r="M11" s="216">
        <f t="shared" ca="1" si="11"/>
        <v>0.18181818181818182</v>
      </c>
      <c r="N11" s="234"/>
      <c r="O11" s="215">
        <f t="shared" ca="1" si="12"/>
        <v>7</v>
      </c>
      <c r="P11" s="216">
        <f t="shared" ca="1" si="13"/>
        <v>0.2</v>
      </c>
      <c r="Q11" s="234"/>
      <c r="R11" s="215">
        <f t="shared" ca="1" si="14"/>
        <v>1</v>
      </c>
      <c r="S11" s="216">
        <f t="shared" ca="1" si="15"/>
        <v>0.1111111111111111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8"/>
        <v>8</v>
      </c>
      <c r="AE11" s="184"/>
      <c r="AF11" s="169">
        <f t="shared" ca="1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20"/>
        <v>11</v>
      </c>
      <c r="AK11" s="169" t="str">
        <f t="shared" ca="1" si="21"/>
        <v>A-</v>
      </c>
      <c r="AL11" s="169">
        <f t="shared" ca="1" si="21"/>
        <v>20</v>
      </c>
      <c r="AM11" s="169" t="str">
        <f t="shared" ca="1" si="4"/>
        <v/>
      </c>
      <c r="AQ11" s="207" t="s">
        <v>233</v>
      </c>
      <c r="AR11" s="207" t="s">
        <v>140</v>
      </c>
      <c r="AS11" s="207">
        <v>19</v>
      </c>
      <c r="AT11" s="207" t="s">
        <v>234</v>
      </c>
      <c r="AV11" s="168">
        <f t="shared" ca="1" si="5"/>
        <v>11</v>
      </c>
      <c r="AW11" s="168">
        <f ca="1">COUNTIF( AV$7:AV11, AV11 )</f>
        <v>2</v>
      </c>
      <c r="AX11" s="208">
        <f t="shared" ca="1" si="22"/>
        <v>11.2</v>
      </c>
      <c r="AY11" s="168">
        <f t="shared" ca="1" si="6"/>
        <v>12</v>
      </c>
      <c r="AZ11" s="169"/>
      <c r="BA11" s="169"/>
      <c r="BC11" s="168">
        <f t="shared" ca="1" si="24"/>
        <v>5</v>
      </c>
      <c r="BD11" s="209">
        <f t="shared" ca="1" si="8"/>
        <v>19</v>
      </c>
      <c r="BF11" s="173" t="str">
        <f t="shared" ca="1" si="23"/>
        <v>Evergy, Inc.</v>
      </c>
      <c r="BG11" s="173" t="str">
        <f t="shared" ca="1" si="23"/>
        <v>A-</v>
      </c>
      <c r="BH11" s="173">
        <f t="shared" ca="1" si="23"/>
        <v>20</v>
      </c>
      <c r="BI11" s="173" t="str">
        <f t="shared" ca="1" si="23"/>
        <v>EVRG</v>
      </c>
    </row>
    <row r="12" spans="1:61" ht="13.8" x14ac:dyDescent="0.25">
      <c r="A12" s="223" t="s">
        <v>235</v>
      </c>
      <c r="B12" s="224" t="s">
        <v>139</v>
      </c>
      <c r="C12" s="224">
        <v>20</v>
      </c>
      <c r="D12" s="224" t="s">
        <v>236</v>
      </c>
      <c r="E12" s="225" t="str">
        <f t="shared" ca="1" si="9"/>
        <v>R</v>
      </c>
      <c r="F12" s="348"/>
      <c r="G12" s="349">
        <f t="shared" ca="1" si="1"/>
        <v>23</v>
      </c>
      <c r="H12" s="350"/>
      <c r="I12" s="234"/>
      <c r="J12" s="215" t="s">
        <v>142</v>
      </c>
      <c r="K12" s="234"/>
      <c r="L12" s="215">
        <f t="shared" ca="1" si="10"/>
        <v>4</v>
      </c>
      <c r="M12" s="216">
        <f t="shared" ca="1" si="11"/>
        <v>9.0909090909090912E-2</v>
      </c>
      <c r="N12" s="234"/>
      <c r="O12" s="215">
        <f t="shared" ca="1" si="12"/>
        <v>3</v>
      </c>
      <c r="P12" s="216">
        <f t="shared" ca="1" si="13"/>
        <v>8.5714285714285715E-2</v>
      </c>
      <c r="Q12" s="234"/>
      <c r="R12" s="215">
        <f t="shared" ca="1" si="14"/>
        <v>1</v>
      </c>
      <c r="S12" s="216">
        <f t="shared" ca="1" si="15"/>
        <v>0.1111111111111111</v>
      </c>
      <c r="T12" s="234"/>
      <c r="U12" s="215">
        <f t="shared" ca="1" si="16"/>
        <v>0</v>
      </c>
      <c r="V12" s="216" t="str">
        <f t="shared" ca="1" si="17"/>
        <v/>
      </c>
      <c r="W12" s="234"/>
      <c r="X12" s="186" t="s">
        <v>237</v>
      </c>
      <c r="Y12" s="186">
        <v>17</v>
      </c>
      <c r="Z12" s="186">
        <v>1</v>
      </c>
      <c r="AA12" s="185">
        <f t="shared" ca="1" si="18"/>
        <v>4</v>
      </c>
      <c r="AE12" s="184"/>
      <c r="AF12" s="169">
        <f t="shared" ca="1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20"/>
        <v>12</v>
      </c>
      <c r="AK12" s="169" t="str">
        <f t="shared" ca="1" si="21"/>
        <v>A-</v>
      </c>
      <c r="AL12" s="169">
        <f t="shared" ca="1" si="21"/>
        <v>20</v>
      </c>
      <c r="AM12" s="169" t="str">
        <f t="shared" ca="1" si="4"/>
        <v/>
      </c>
      <c r="AQ12" s="207" t="s">
        <v>238</v>
      </c>
      <c r="AR12" s="207" t="s">
        <v>141</v>
      </c>
      <c r="AS12" s="207">
        <v>18</v>
      </c>
      <c r="AT12" s="207" t="s">
        <v>239</v>
      </c>
      <c r="AV12" s="168">
        <f t="shared" ca="1" si="5"/>
        <v>30</v>
      </c>
      <c r="AW12" s="168">
        <f ca="1">COUNTIF( AV$7:AV12, AV12 )</f>
        <v>2</v>
      </c>
      <c r="AX12" s="208">
        <f t="shared" ca="1" si="22"/>
        <v>30.2</v>
      </c>
      <c r="AY12" s="168">
        <f t="shared" ca="1" si="6"/>
        <v>31</v>
      </c>
      <c r="AZ12" s="169"/>
      <c r="BA12" s="169"/>
      <c r="BC12" s="168">
        <f t="shared" ca="1" si="24"/>
        <v>6</v>
      </c>
      <c r="BD12" s="209">
        <f t="shared" ca="1" si="8"/>
        <v>20</v>
      </c>
      <c r="BF12" s="173" t="str">
        <f t="shared" ca="1" si="23"/>
        <v>Eversource Energy</v>
      </c>
      <c r="BG12" s="173" t="str">
        <f t="shared" ca="1" si="23"/>
        <v>A-</v>
      </c>
      <c r="BH12" s="173">
        <f t="shared" ca="1" si="23"/>
        <v>20</v>
      </c>
      <c r="BI12" s="173" t="str">
        <f t="shared" ca="1" si="23"/>
        <v>ES</v>
      </c>
    </row>
    <row r="13" spans="1:61" ht="13.8" x14ac:dyDescent="0.25">
      <c r="A13" s="223" t="s">
        <v>240</v>
      </c>
      <c r="B13" s="224" t="s">
        <v>139</v>
      </c>
      <c r="C13" s="224">
        <v>20</v>
      </c>
      <c r="D13" s="224" t="s">
        <v>241</v>
      </c>
      <c r="E13" s="225" t="str">
        <f t="shared" ca="1" si="9"/>
        <v>MR</v>
      </c>
      <c r="F13" s="348"/>
      <c r="G13" s="349">
        <f t="shared" ca="1" si="1"/>
        <v>30</v>
      </c>
      <c r="H13" s="350"/>
      <c r="I13" s="235"/>
      <c r="J13" s="217" t="s">
        <v>143</v>
      </c>
      <c r="K13" s="235"/>
      <c r="L13" s="217">
        <f t="shared" ca="1" si="10"/>
        <v>2</v>
      </c>
      <c r="M13" s="218">
        <f t="shared" ca="1" si="11"/>
        <v>4.5454545454545456E-2</v>
      </c>
      <c r="N13" s="235"/>
      <c r="O13" s="217">
        <f t="shared" ca="1" si="12"/>
        <v>2</v>
      </c>
      <c r="P13" s="218">
        <f t="shared" ca="1" si="13"/>
        <v>5.7142857142857141E-2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0</v>
      </c>
      <c r="V13" s="218" t="str">
        <f t="shared" ca="1" si="17"/>
        <v/>
      </c>
      <c r="W13" s="235"/>
      <c r="X13" s="186" t="s">
        <v>242</v>
      </c>
      <c r="Y13" s="186">
        <v>16</v>
      </c>
      <c r="Z13" s="186">
        <v>1</v>
      </c>
      <c r="AA13" s="188">
        <f t="shared" ca="1" si="18"/>
        <v>2</v>
      </c>
      <c r="AE13" s="184"/>
      <c r="AF13" s="169">
        <f t="shared" ca="1" si="2"/>
        <v>0</v>
      </c>
      <c r="AG13" s="169" t="str">
        <f t="shared" ca="1" si="3"/>
        <v/>
      </c>
      <c r="AH13" s="169" t="str">
        <f t="shared" ca="1" si="19"/>
        <v/>
      </c>
      <c r="AJ13" s="169">
        <f t="shared" ca="1" si="20"/>
        <v>13</v>
      </c>
      <c r="AK13" s="169" t="str">
        <f t="shared" ca="1" si="21"/>
        <v>A-</v>
      </c>
      <c r="AL13" s="169">
        <f t="shared" ca="1" si="21"/>
        <v>20</v>
      </c>
      <c r="AM13" s="169" t="str">
        <f t="shared" ca="1" si="4"/>
        <v/>
      </c>
      <c r="AQ13" s="207" t="s">
        <v>215</v>
      </c>
      <c r="AR13" s="207" t="s">
        <v>166</v>
      </c>
      <c r="AS13" s="207">
        <v>21</v>
      </c>
      <c r="AT13" s="207" t="s">
        <v>216</v>
      </c>
      <c r="AV13" s="168">
        <f t="shared" ca="1" si="5"/>
        <v>1</v>
      </c>
      <c r="AW13" s="168">
        <f ca="1">COUNTIF( AV$7:AV13, AV13 )</f>
        <v>1</v>
      </c>
      <c r="AX13" s="208">
        <f t="shared" ca="1" si="22"/>
        <v>1.1000000000000001</v>
      </c>
      <c r="AY13" s="168">
        <f t="shared" ca="1" si="6"/>
        <v>1</v>
      </c>
      <c r="AZ13" s="169"/>
      <c r="BA13" s="169"/>
      <c r="BC13" s="168">
        <f t="shared" ca="1" si="24"/>
        <v>7</v>
      </c>
      <c r="BD13" s="209">
        <f t="shared" ca="1" si="8"/>
        <v>27</v>
      </c>
      <c r="BF13" s="173" t="str">
        <f t="shared" ca="1" si="23"/>
        <v>NextEra Energy, Inc.</v>
      </c>
      <c r="BG13" s="173" t="str">
        <f t="shared" ca="1" si="23"/>
        <v>A-</v>
      </c>
      <c r="BH13" s="173">
        <f t="shared" ca="1" si="23"/>
        <v>20</v>
      </c>
      <c r="BI13" s="173" t="str">
        <f t="shared" ca="1" si="23"/>
        <v>NEE</v>
      </c>
    </row>
    <row r="14" spans="1:61" ht="13.8" x14ac:dyDescent="0.25">
      <c r="A14" s="223" t="s">
        <v>243</v>
      </c>
      <c r="B14" s="224" t="s">
        <v>139</v>
      </c>
      <c r="C14" s="224">
        <v>20</v>
      </c>
      <c r="D14" s="224" t="s">
        <v>244</v>
      </c>
      <c r="E14" s="225" t="str">
        <f t="shared" ca="1" si="9"/>
        <v>R</v>
      </c>
      <c r="F14" s="348"/>
      <c r="G14" s="349">
        <f t="shared" ca="1" si="1"/>
        <v>39</v>
      </c>
      <c r="H14" s="350"/>
      <c r="I14" s="236"/>
      <c r="J14" s="211" t="s">
        <v>144</v>
      </c>
      <c r="K14" s="236"/>
      <c r="L14" s="211">
        <f ca="1">SUM(L8:L13)</f>
        <v>44</v>
      </c>
      <c r="M14" s="212">
        <f ca="1"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9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 ca="1">SUMPRODUCT( L8:L13, Y8:Y13 ) / L14</f>
        <v>18.795454545454547</v>
      </c>
      <c r="Z14" s="190"/>
      <c r="AA14" s="189">
        <f ca="1">SUM(AA8:AA13)</f>
        <v>44</v>
      </c>
      <c r="AE14" s="184"/>
      <c r="AF14" s="169">
        <f t="shared" ca="1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20"/>
        <v>15</v>
      </c>
      <c r="AK14" s="169" t="str">
        <f t="shared" ca="1" si="21"/>
        <v>A-</v>
      </c>
      <c r="AL14" s="169">
        <f t="shared" ca="1" si="21"/>
        <v>20</v>
      </c>
      <c r="AM14" s="169" t="str">
        <f t="shared" ca="1" si="4"/>
        <v/>
      </c>
      <c r="AQ14" s="207" t="s">
        <v>245</v>
      </c>
      <c r="AR14" s="207" t="s">
        <v>140</v>
      </c>
      <c r="AS14" s="207">
        <v>19</v>
      </c>
      <c r="AT14" s="207" t="s">
        <v>246</v>
      </c>
      <c r="AV14" s="168">
        <f t="shared" ca="1" si="5"/>
        <v>11</v>
      </c>
      <c r="AW14" s="168">
        <f ca="1">COUNTIF( AV$7:AV14, AV14 )</f>
        <v>3</v>
      </c>
      <c r="AX14" s="208">
        <f t="shared" ca="1" si="22"/>
        <v>11.3</v>
      </c>
      <c r="AY14" s="168">
        <f t="shared" ca="1" si="6"/>
        <v>13</v>
      </c>
      <c r="AZ14" s="169"/>
      <c r="BA14" s="169"/>
      <c r="BC14" s="168">
        <f t="shared" ca="1" si="24"/>
        <v>8</v>
      </c>
      <c r="BD14" s="209">
        <f t="shared" ca="1" si="8"/>
        <v>36</v>
      </c>
      <c r="BF14" s="173" t="str">
        <f t="shared" ca="1" si="23"/>
        <v>PPL Corporation</v>
      </c>
      <c r="BG14" s="173" t="str">
        <f t="shared" ca="1" si="23"/>
        <v>A-</v>
      </c>
      <c r="BH14" s="173">
        <f t="shared" ca="1" si="23"/>
        <v>20</v>
      </c>
      <c r="BI14" s="173" t="str">
        <f t="shared" ca="1" si="23"/>
        <v>PPL</v>
      </c>
    </row>
    <row r="15" spans="1:61" ht="13.8" x14ac:dyDescent="0.25">
      <c r="A15" s="223" t="s">
        <v>247</v>
      </c>
      <c r="B15" s="224" t="s">
        <v>139</v>
      </c>
      <c r="C15" s="224">
        <v>20</v>
      </c>
      <c r="D15" s="224" t="s">
        <v>248</v>
      </c>
      <c r="E15" s="225" t="str">
        <f t="shared" ca="1" si="9"/>
        <v>R</v>
      </c>
      <c r="F15" s="348"/>
      <c r="G15" s="349">
        <f t="shared" ca="1" si="1"/>
        <v>44</v>
      </c>
      <c r="H15" s="350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ca="1" si="2"/>
        <v>0</v>
      </c>
      <c r="AG15" s="169" t="str">
        <f t="shared" ca="1" si="3"/>
        <v/>
      </c>
      <c r="AH15" s="169" t="str">
        <f t="shared" ca="1" si="19"/>
        <v/>
      </c>
      <c r="AJ15" s="169">
        <f t="shared" ca="1" si="20"/>
        <v>17</v>
      </c>
      <c r="AK15" s="169" t="str">
        <f t="shared" ca="1" si="21"/>
        <v>A-</v>
      </c>
      <c r="AL15" s="169">
        <f t="shared" ca="1" si="21"/>
        <v>20</v>
      </c>
      <c r="AM15" s="169" t="str">
        <f t="shared" ca="1" si="4"/>
        <v/>
      </c>
      <c r="AQ15" s="207" t="s">
        <v>249</v>
      </c>
      <c r="AR15" s="207" t="s">
        <v>140</v>
      </c>
      <c r="AS15" s="207">
        <v>19</v>
      </c>
      <c r="AT15" s="207" t="s">
        <v>250</v>
      </c>
      <c r="AV15" s="168">
        <f t="shared" ca="1" si="5"/>
        <v>11</v>
      </c>
      <c r="AW15" s="168">
        <f ca="1">COUNTIF( AV$7:AV15, AV15 )</f>
        <v>4</v>
      </c>
      <c r="AX15" s="208">
        <f t="shared" ca="1" si="22"/>
        <v>11.4</v>
      </c>
      <c r="AY15" s="168">
        <f t="shared" ca="1" si="6"/>
        <v>14</v>
      </c>
      <c r="AZ15" s="169"/>
      <c r="BA15" s="169"/>
      <c r="BC15" s="168">
        <f t="shared" ca="1" si="24"/>
        <v>9</v>
      </c>
      <c r="BD15" s="209">
        <f t="shared" ca="1" si="8"/>
        <v>42</v>
      </c>
      <c r="BF15" s="173" t="str">
        <f t="shared" ca="1" si="23"/>
        <v>Wisconsin Energy Corporation</v>
      </c>
      <c r="BG15" s="173" t="str">
        <f t="shared" ca="1" si="23"/>
        <v>A-</v>
      </c>
      <c r="BH15" s="173">
        <f t="shared" ca="1" si="23"/>
        <v>20</v>
      </c>
      <c r="BI15" s="173" t="str">
        <f t="shared" ca="1" si="23"/>
        <v>WEC</v>
      </c>
    </row>
    <row r="16" spans="1:61" ht="13.8" x14ac:dyDescent="0.25">
      <c r="A16" s="223" t="s">
        <v>251</v>
      </c>
      <c r="B16" s="224" t="s">
        <v>139</v>
      </c>
      <c r="C16" s="224">
        <v>20</v>
      </c>
      <c r="D16" s="224" t="s">
        <v>252</v>
      </c>
      <c r="E16" s="225" t="str">
        <f t="shared" ca="1" si="9"/>
        <v>R</v>
      </c>
      <c r="F16" s="348"/>
      <c r="G16" s="349">
        <f t="shared" ca="1" si="1"/>
        <v>45</v>
      </c>
      <c r="H16" s="350"/>
      <c r="I16" s="232"/>
      <c r="J16" s="210" t="s">
        <v>253</v>
      </c>
      <c r="K16" s="232"/>
      <c r="L16" s="386">
        <f t="array" aca="1" ref="L16" ca="1">SUM( IF( LEN( $C$7:$C$65 ) = 0, 0, $C$7:$C$65 ) ) / SUM( IF( LEN( $C$7:$C$65 ) = 0, 0, 1  ) )</f>
        <v>18.795454545454547</v>
      </c>
      <c r="M16" s="387"/>
      <c r="N16" s="232"/>
      <c r="O16" s="386">
        <f t="array" aca="1" ref="O16" ca="1">SUM( IF( LEN( $C$7:$C$65 ) = 0, 0, IF( $E$7:$E$65 = O3, $C$7:$C$65, 0 ) ) ) / SUM( IF( LEN( $C$7:$C$65 ) = 0, 0, IF( $E$7:$E$65 = O3, 1, 0 ) ) )</f>
        <v>18.742857142857144</v>
      </c>
      <c r="P16" s="387"/>
      <c r="Q16" s="232"/>
      <c r="R16" s="386">
        <f t="array" aca="1" ref="R16" ca="1">SUM( IF( LEN( $C$7:$C$65 ) = 0, 0, IF( $E$7:$E$65 = R3, $C$7:$C$65, 0 ) ) ) / SUM( IF( LEN( $C$7:$C$65 ) = 0, 0, IF( $E$7:$E$65 = R3, 1, 0 ) ) )</f>
        <v>19</v>
      </c>
      <c r="S16" s="387"/>
      <c r="T16" s="232"/>
      <c r="U16" s="386" t="e">
        <f t="array" aca="1" ref="U16" ca="1">SUM( IF( LEN( $C$7:$C$65 ) = 0, 0, IF( $E$7:$E$65 = U3, $C$7:$C$65, 0 ) ) ) / SUM( IF( LEN( $C$7:$C$65 ) = 0, 0, IF( $E$7:$E$65 = U3, 1, 0 ) ) )</f>
        <v>#DIV/0!</v>
      </c>
      <c r="V16" s="388"/>
      <c r="W16" s="232"/>
      <c r="AE16" s="184"/>
      <c r="AF16" s="169">
        <f t="shared" ca="1" si="2"/>
        <v>0</v>
      </c>
      <c r="AG16" s="169" t="str">
        <f t="shared" ca="1" si="3"/>
        <v/>
      </c>
      <c r="AH16" s="169" t="str">
        <f t="shared" ca="1" si="19"/>
        <v/>
      </c>
      <c r="AJ16" s="169">
        <f t="shared" ca="1" si="20"/>
        <v>18</v>
      </c>
      <c r="AK16" s="169" t="str">
        <f t="shared" ca="1" si="21"/>
        <v>A-</v>
      </c>
      <c r="AL16" s="169">
        <f t="shared" ca="1" si="21"/>
        <v>20</v>
      </c>
      <c r="AM16" s="169" t="str">
        <f t="shared" ca="1" si="4"/>
        <v/>
      </c>
      <c r="AQ16" s="207" t="s">
        <v>254</v>
      </c>
      <c r="AR16" s="207" t="s">
        <v>142</v>
      </c>
      <c r="AS16" s="207">
        <v>17</v>
      </c>
      <c r="AT16" s="207" t="s">
        <v>255</v>
      </c>
      <c r="AV16" s="168">
        <f t="shared" ca="1" si="5"/>
        <v>38</v>
      </c>
      <c r="AW16" s="168">
        <f ca="1">COUNTIF( AV$7:AV16, AV16 )</f>
        <v>1</v>
      </c>
      <c r="AX16" s="208">
        <f t="shared" ca="1" si="22"/>
        <v>38.1</v>
      </c>
      <c r="AY16" s="168">
        <f t="shared" ca="1" si="6"/>
        <v>38</v>
      </c>
      <c r="AZ16" s="169"/>
      <c r="BA16" s="169"/>
      <c r="BC16" s="168">
        <f t="shared" ca="1" si="24"/>
        <v>10</v>
      </c>
      <c r="BD16" s="209">
        <f t="shared" ca="1" si="8"/>
        <v>43</v>
      </c>
      <c r="BF16" s="173" t="str">
        <f t="shared" ca="1" si="23"/>
        <v>Xcel Energy Inc.</v>
      </c>
      <c r="BG16" s="173" t="str">
        <f t="shared" ca="1" si="23"/>
        <v>A-</v>
      </c>
      <c r="BH16" s="173">
        <f t="shared" ca="1" si="23"/>
        <v>20</v>
      </c>
      <c r="BI16" s="173" t="str">
        <f t="shared" ca="1" si="23"/>
        <v>XEL</v>
      </c>
    </row>
    <row r="17" spans="1:61" ht="13.8" x14ac:dyDescent="0.25">
      <c r="A17" s="223" t="s">
        <v>225</v>
      </c>
      <c r="B17" s="224" t="s">
        <v>140</v>
      </c>
      <c r="C17" s="224">
        <v>19</v>
      </c>
      <c r="D17" s="224" t="s">
        <v>226</v>
      </c>
      <c r="E17" s="225" t="str">
        <f t="shared" ca="1" si="9"/>
        <v>R</v>
      </c>
      <c r="F17" s="348"/>
      <c r="G17" s="349">
        <f t="shared" ca="1" si="1"/>
        <v>9</v>
      </c>
      <c r="H17" s="350"/>
      <c r="I17" s="237"/>
      <c r="K17" s="237"/>
      <c r="N17" s="237"/>
      <c r="O17" s="173"/>
      <c r="Q17" s="237"/>
      <c r="T17" s="237"/>
      <c r="W17" s="237"/>
      <c r="AE17" s="178"/>
      <c r="AF17" s="169">
        <f t="shared" ca="1" si="2"/>
        <v>1</v>
      </c>
      <c r="AG17" s="169" t="str">
        <f t="shared" ca="1" si="3"/>
        <v/>
      </c>
      <c r="AH17" s="169" t="str">
        <f t="shared" ca="1" si="19"/>
        <v/>
      </c>
      <c r="AJ17" s="169">
        <f t="shared" ca="1" si="20"/>
        <v>19</v>
      </c>
      <c r="AK17" s="169" t="str">
        <f t="shared" ca="1" si="21"/>
        <v>BBB+</v>
      </c>
      <c r="AL17" s="169">
        <f t="shared" ca="1" si="21"/>
        <v>19</v>
      </c>
      <c r="AM17" s="169" t="str">
        <f t="shared" ca="1" si="4"/>
        <v/>
      </c>
      <c r="AQ17" s="207" t="s">
        <v>256</v>
      </c>
      <c r="AR17" s="207" t="s">
        <v>140</v>
      </c>
      <c r="AS17" s="207">
        <v>19</v>
      </c>
      <c r="AT17" s="207" t="s">
        <v>257</v>
      </c>
      <c r="AV17" s="168">
        <f t="shared" ca="1" si="5"/>
        <v>11</v>
      </c>
      <c r="AW17" s="168">
        <f ca="1">COUNTIF( AV$7:AV17, AV17 )</f>
        <v>5</v>
      </c>
      <c r="AX17" s="208">
        <f t="shared" ca="1" si="22"/>
        <v>11.5</v>
      </c>
      <c r="AY17" s="168">
        <f t="shared" ca="1" si="6"/>
        <v>15</v>
      </c>
      <c r="AZ17" s="169"/>
      <c r="BA17" s="169"/>
      <c r="BC17" s="168">
        <f t="shared" ca="1" si="24"/>
        <v>11</v>
      </c>
      <c r="BD17" s="209">
        <f t="shared" ca="1" si="8"/>
        <v>3</v>
      </c>
      <c r="BF17" s="173" t="str">
        <f t="shared" ca="1" si="23"/>
        <v>Ameren Corporation</v>
      </c>
      <c r="BG17" s="173" t="str">
        <f t="shared" ca="1" si="23"/>
        <v>BBB+</v>
      </c>
      <c r="BH17" s="173">
        <f t="shared" ca="1" si="23"/>
        <v>19</v>
      </c>
      <c r="BI17" s="173" t="str">
        <f t="shared" ca="1" si="23"/>
        <v>AEE</v>
      </c>
    </row>
    <row r="18" spans="1:61" ht="13.8" x14ac:dyDescent="0.25">
      <c r="A18" s="223" t="s">
        <v>233</v>
      </c>
      <c r="B18" s="224" t="s">
        <v>140</v>
      </c>
      <c r="C18" s="224">
        <v>19</v>
      </c>
      <c r="D18" s="224" t="s">
        <v>234</v>
      </c>
      <c r="E18" s="225" t="str">
        <f t="shared" ca="1" si="9"/>
        <v>MR</v>
      </c>
      <c r="F18" s="348"/>
      <c r="G18" s="349">
        <f t="shared" ca="1" si="1"/>
        <v>11</v>
      </c>
      <c r="H18" s="350"/>
      <c r="I18" s="237"/>
      <c r="K18" s="237"/>
      <c r="N18" s="237"/>
      <c r="O18" s="173"/>
      <c r="Q18" s="237"/>
      <c r="T18" s="237"/>
      <c r="W18" s="237"/>
      <c r="AE18" s="184"/>
      <c r="AF18" s="169">
        <f t="shared" ca="1" si="2"/>
        <v>1</v>
      </c>
      <c r="AG18" s="169" t="str">
        <f t="shared" ca="1" si="3"/>
        <v/>
      </c>
      <c r="AH18" s="169" t="str">
        <f t="shared" ca="1" si="19"/>
        <v/>
      </c>
      <c r="AJ18" s="169">
        <f t="shared" ca="1" si="20"/>
        <v>20</v>
      </c>
      <c r="AK18" s="169" t="str">
        <f t="shared" ca="1" si="21"/>
        <v>BBB+</v>
      </c>
      <c r="AL18" s="169">
        <f t="shared" ca="1" si="21"/>
        <v>19</v>
      </c>
      <c r="AM18" s="169" t="str">
        <f t="shared" ca="1" si="4"/>
        <v/>
      </c>
      <c r="AQ18" s="207" t="s">
        <v>227</v>
      </c>
      <c r="AR18" s="207" t="s">
        <v>139</v>
      </c>
      <c r="AS18" s="207">
        <v>20</v>
      </c>
      <c r="AT18" s="207" t="s">
        <v>228</v>
      </c>
      <c r="AV18" s="168">
        <f t="shared" ca="1" si="5"/>
        <v>2</v>
      </c>
      <c r="AW18" s="168">
        <f ca="1">COUNTIF( AV$7:AV18, AV18 )</f>
        <v>3</v>
      </c>
      <c r="AX18" s="208">
        <f t="shared" ca="1" si="22"/>
        <v>2.2999999999999998</v>
      </c>
      <c r="AY18" s="168">
        <f t="shared" ca="1" si="6"/>
        <v>4</v>
      </c>
      <c r="AZ18" s="169"/>
      <c r="BA18" s="169"/>
      <c r="BC18" s="168">
        <f t="shared" ca="1" si="24"/>
        <v>12</v>
      </c>
      <c r="BD18" s="209">
        <f t="shared" ca="1" si="8"/>
        <v>5</v>
      </c>
      <c r="BF18" s="173" t="str">
        <f t="shared" ca="1" si="23"/>
        <v>AVANGRID, Inc.</v>
      </c>
      <c r="BG18" s="173" t="str">
        <f t="shared" ca="1" si="23"/>
        <v>BBB+</v>
      </c>
      <c r="BH18" s="173">
        <f t="shared" ca="1" si="23"/>
        <v>19</v>
      </c>
      <c r="BI18" s="173" t="str">
        <f t="shared" ca="1" si="23"/>
        <v>AGR</v>
      </c>
    </row>
    <row r="19" spans="1:61" ht="13.8" x14ac:dyDescent="0.25">
      <c r="A19" s="223" t="s">
        <v>245</v>
      </c>
      <c r="B19" s="224" t="s">
        <v>140</v>
      </c>
      <c r="C19" s="224">
        <v>19</v>
      </c>
      <c r="D19" s="224" t="s">
        <v>246</v>
      </c>
      <c r="E19" s="225" t="str">
        <f t="shared" ca="1" si="9"/>
        <v>R</v>
      </c>
      <c r="F19" s="348"/>
      <c r="G19" s="349">
        <f t="shared" ca="1" si="1"/>
        <v>13</v>
      </c>
      <c r="H19" s="350"/>
      <c r="I19" s="237"/>
      <c r="K19" s="237"/>
      <c r="N19" s="237"/>
      <c r="O19" s="173"/>
      <c r="Q19" s="237"/>
      <c r="T19" s="237"/>
      <c r="W19" s="237"/>
      <c r="AE19" s="184"/>
      <c r="AF19" s="169">
        <f t="shared" ca="1" si="2"/>
        <v>1</v>
      </c>
      <c r="AG19" s="169" t="str">
        <f t="shared" ca="1" si="3"/>
        <v/>
      </c>
      <c r="AH19" s="169" t="str">
        <f t="shared" ca="1" si="19"/>
        <v/>
      </c>
      <c r="AJ19" s="169">
        <f t="shared" ca="1" si="20"/>
        <v>21</v>
      </c>
      <c r="AK19" s="169" t="str">
        <f t="shared" ca="1" si="21"/>
        <v>BBB+</v>
      </c>
      <c r="AL19" s="169">
        <f t="shared" ca="1" si="21"/>
        <v>19</v>
      </c>
      <c r="AM19" s="169" t="str">
        <f t="shared" ca="1" si="4"/>
        <v/>
      </c>
      <c r="AQ19" s="207" t="s">
        <v>258</v>
      </c>
      <c r="AR19" s="207" t="s">
        <v>140</v>
      </c>
      <c r="AS19" s="207">
        <v>19</v>
      </c>
      <c r="AT19" s="207" t="s">
        <v>194</v>
      </c>
      <c r="AV19" s="168">
        <f t="shared" ca="1" si="5"/>
        <v>11</v>
      </c>
      <c r="AW19" s="168">
        <f ca="1">COUNTIF( AV$7:AV19, AV19 )</f>
        <v>6</v>
      </c>
      <c r="AX19" s="208">
        <f t="shared" ca="1" si="22"/>
        <v>11.6</v>
      </c>
      <c r="AY19" s="168">
        <f t="shared" ca="1" si="6"/>
        <v>16</v>
      </c>
      <c r="AZ19" s="169"/>
      <c r="BA19" s="169"/>
      <c r="BC19" s="168">
        <f t="shared" ca="1" si="24"/>
        <v>13</v>
      </c>
      <c r="BD19" s="209">
        <f t="shared" ca="1" si="8"/>
        <v>8</v>
      </c>
      <c r="BF19" s="173" t="str">
        <f t="shared" ca="1" si="23"/>
        <v>Black Hills Corporation</v>
      </c>
      <c r="BG19" s="173" t="str">
        <f t="shared" ca="1" si="23"/>
        <v>BBB+</v>
      </c>
      <c r="BH19" s="173">
        <f t="shared" ca="1" si="23"/>
        <v>19</v>
      </c>
      <c r="BI19" s="173" t="str">
        <f t="shared" ca="1" si="23"/>
        <v>BKH</v>
      </c>
    </row>
    <row r="20" spans="1:61" ht="13.8" x14ac:dyDescent="0.25">
      <c r="A20" s="223" t="s">
        <v>249</v>
      </c>
      <c r="B20" s="224" t="s">
        <v>140</v>
      </c>
      <c r="C20" s="224">
        <v>19</v>
      </c>
      <c r="D20" s="224" t="s">
        <v>250</v>
      </c>
      <c r="E20" s="225" t="str">
        <f t="shared" ca="1" si="9"/>
        <v>R</v>
      </c>
      <c r="F20" s="348"/>
      <c r="G20" s="349">
        <f t="shared" ca="1" si="1"/>
        <v>14</v>
      </c>
      <c r="H20" s="350"/>
      <c r="I20" s="352"/>
      <c r="K20" s="352"/>
      <c r="N20" s="352"/>
      <c r="O20" s="173"/>
      <c r="Q20" s="352"/>
      <c r="T20" s="352"/>
      <c r="W20" s="352"/>
      <c r="AE20" s="184"/>
      <c r="AF20" s="169">
        <f t="shared" ca="1" si="2"/>
        <v>1</v>
      </c>
      <c r="AG20" s="169" t="str">
        <f t="shared" ca="1" si="3"/>
        <v/>
      </c>
      <c r="AH20" s="169" t="str">
        <f t="shared" ca="1" si="19"/>
        <v/>
      </c>
      <c r="AJ20" s="169">
        <f t="shared" ca="1" si="20"/>
        <v>22</v>
      </c>
      <c r="AK20" s="169" t="str">
        <f t="shared" ca="1" si="21"/>
        <v>BBB+</v>
      </c>
      <c r="AL20" s="169">
        <f t="shared" ca="1" si="21"/>
        <v>19</v>
      </c>
      <c r="AM20" s="169" t="str">
        <f t="shared" ca="1" si="4"/>
        <v/>
      </c>
      <c r="AQ20" s="207" t="s">
        <v>259</v>
      </c>
      <c r="AR20" s="207" t="s">
        <v>173</v>
      </c>
      <c r="AS20" s="207">
        <v>16</v>
      </c>
      <c r="AT20" s="207" t="s">
        <v>260</v>
      </c>
      <c r="AV20" s="168">
        <f t="shared" ca="1" si="5"/>
        <v>42</v>
      </c>
      <c r="AW20" s="168">
        <f ca="1">COUNTIF( AV$7:AV20, AV20 )</f>
        <v>1</v>
      </c>
      <c r="AX20" s="208">
        <f t="shared" ca="1" si="22"/>
        <v>42.1</v>
      </c>
      <c r="AY20" s="168">
        <f t="shared" ca="1" si="6"/>
        <v>42</v>
      </c>
      <c r="AZ20" s="169"/>
      <c r="BA20" s="169"/>
      <c r="BC20" s="168">
        <f t="shared" ca="1" si="24"/>
        <v>14</v>
      </c>
      <c r="BD20" s="209">
        <f t="shared" ca="1" si="8"/>
        <v>9</v>
      </c>
      <c r="BF20" s="173" t="str">
        <f t="shared" ca="1" si="23"/>
        <v>CenterPoint Energy, Inc.</v>
      </c>
      <c r="BG20" s="173" t="str">
        <f t="shared" ca="1" si="23"/>
        <v>BBB+</v>
      </c>
      <c r="BH20" s="173">
        <f t="shared" ca="1" si="23"/>
        <v>19</v>
      </c>
      <c r="BI20" s="173" t="str">
        <f t="shared" ca="1" si="23"/>
        <v>CNP</v>
      </c>
    </row>
    <row r="21" spans="1:61" ht="13.8" x14ac:dyDescent="0.25">
      <c r="A21" s="223" t="s">
        <v>256</v>
      </c>
      <c r="B21" s="224" t="s">
        <v>140</v>
      </c>
      <c r="C21" s="224">
        <v>19</v>
      </c>
      <c r="D21" s="224" t="s">
        <v>257</v>
      </c>
      <c r="E21" s="225" t="str">
        <f t="shared" ca="1" si="9"/>
        <v>R</v>
      </c>
      <c r="F21" s="348"/>
      <c r="G21" s="349">
        <f t="shared" ca="1" si="1"/>
        <v>15</v>
      </c>
      <c r="H21" s="350"/>
      <c r="I21" s="237"/>
      <c r="K21" s="237"/>
      <c r="N21" s="237"/>
      <c r="Q21" s="237"/>
      <c r="T21" s="237"/>
      <c r="W21" s="237"/>
      <c r="AE21" s="184"/>
      <c r="AF21" s="169">
        <f t="shared" ca="1" si="2"/>
        <v>1</v>
      </c>
      <c r="AG21" s="169" t="str">
        <f t="shared" ca="1" si="3"/>
        <v/>
      </c>
      <c r="AH21" s="169" t="str">
        <f t="shared" ca="1" si="19"/>
        <v/>
      </c>
      <c r="AJ21" s="169">
        <f t="shared" ca="1" si="20"/>
        <v>23</v>
      </c>
      <c r="AK21" s="169" t="str">
        <f t="shared" ca="1" si="21"/>
        <v>BBB+</v>
      </c>
      <c r="AL21" s="169">
        <f t="shared" ca="1" si="21"/>
        <v>19</v>
      </c>
      <c r="AM21" s="169" t="str">
        <f t="shared" ca="1" si="4"/>
        <v/>
      </c>
      <c r="AQ21" s="207" t="s">
        <v>261</v>
      </c>
      <c r="AR21" s="207" t="s">
        <v>140</v>
      </c>
      <c r="AS21" s="207">
        <v>19</v>
      </c>
      <c r="AT21" s="207" t="s">
        <v>262</v>
      </c>
      <c r="AV21" s="168">
        <f t="shared" ca="1" si="5"/>
        <v>11</v>
      </c>
      <c r="AW21" s="168">
        <f ca="1">COUNTIF( AV$7:AV21, AV21 )</f>
        <v>7</v>
      </c>
      <c r="AX21" s="208">
        <f t="shared" ca="1" si="22"/>
        <v>11.7</v>
      </c>
      <c r="AY21" s="168">
        <f t="shared" ca="1" si="6"/>
        <v>17</v>
      </c>
      <c r="AZ21" s="169"/>
      <c r="BA21" s="169"/>
      <c r="BC21" s="168">
        <f t="shared" ca="1" si="24"/>
        <v>15</v>
      </c>
      <c r="BD21" s="209">
        <f t="shared" ca="1" si="8"/>
        <v>11</v>
      </c>
      <c r="BF21" s="173" t="str">
        <f t="shared" ca="1" si="23"/>
        <v>CMS Energy Corporation</v>
      </c>
      <c r="BG21" s="173" t="str">
        <f t="shared" ca="1" si="23"/>
        <v>BBB+</v>
      </c>
      <c r="BH21" s="173">
        <f t="shared" ca="1" si="23"/>
        <v>19</v>
      </c>
      <c r="BI21" s="173" t="str">
        <f t="shared" ca="1" si="23"/>
        <v>CMS</v>
      </c>
    </row>
    <row r="22" spans="1:61" ht="13.8" x14ac:dyDescent="0.25">
      <c r="A22" s="223" t="s">
        <v>258</v>
      </c>
      <c r="B22" s="224" t="s">
        <v>140</v>
      </c>
      <c r="C22" s="224">
        <v>19</v>
      </c>
      <c r="D22" s="224" t="s">
        <v>194</v>
      </c>
      <c r="E22" s="225" t="str">
        <f t="shared" ca="1" si="9"/>
        <v>R</v>
      </c>
      <c r="F22" s="348"/>
      <c r="G22" s="349">
        <f t="shared" ca="1" si="1"/>
        <v>17</v>
      </c>
      <c r="H22" s="350"/>
      <c r="I22" s="237"/>
      <c r="K22" s="237"/>
      <c r="N22" s="237"/>
      <c r="Q22" s="237"/>
      <c r="T22" s="237"/>
      <c r="W22" s="237"/>
      <c r="AE22" s="184"/>
      <c r="AF22" s="169">
        <f t="shared" ca="1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20"/>
        <v>24</v>
      </c>
      <c r="AK22" s="169" t="str">
        <f t="shared" ca="1" si="21"/>
        <v>BBB+</v>
      </c>
      <c r="AL22" s="169">
        <f t="shared" ca="1" si="21"/>
        <v>19</v>
      </c>
      <c r="AM22" s="169" t="str">
        <f t="shared" ca="1" si="4"/>
        <v/>
      </c>
      <c r="AQ22" s="207" t="s">
        <v>263</v>
      </c>
      <c r="AR22" s="207" t="s">
        <v>140</v>
      </c>
      <c r="AS22" s="207">
        <v>19</v>
      </c>
      <c r="AT22" s="207" t="s">
        <v>264</v>
      </c>
      <c r="AV22" s="168">
        <f t="shared" ca="1" si="5"/>
        <v>11</v>
      </c>
      <c r="AW22" s="168">
        <f ca="1">COUNTIF( AV$7:AV22, AV22 )</f>
        <v>8</v>
      </c>
      <c r="AX22" s="208">
        <f t="shared" ca="1" si="22"/>
        <v>11.8</v>
      </c>
      <c r="AY22" s="168">
        <f t="shared" ca="1" si="6"/>
        <v>18</v>
      </c>
      <c r="AZ22" s="169"/>
      <c r="BA22" s="169"/>
      <c r="BC22" s="168">
        <f t="shared" ca="1" si="24"/>
        <v>16</v>
      </c>
      <c r="BD22" s="209">
        <f t="shared" ca="1" si="8"/>
        <v>13</v>
      </c>
      <c r="BF22" s="173" t="str">
        <f t="shared" ca="1" si="23"/>
        <v>Dominion Energy, Inc.</v>
      </c>
      <c r="BG22" s="173" t="str">
        <f t="shared" ca="1" si="23"/>
        <v>BBB+</v>
      </c>
      <c r="BH22" s="173">
        <f t="shared" ca="1" si="23"/>
        <v>19</v>
      </c>
      <c r="BI22" s="173" t="str">
        <f t="shared" ca="1" si="23"/>
        <v>D</v>
      </c>
    </row>
    <row r="23" spans="1:61" ht="13.8" x14ac:dyDescent="0.25">
      <c r="A23" s="223" t="s">
        <v>261</v>
      </c>
      <c r="B23" s="224" t="s">
        <v>140</v>
      </c>
      <c r="C23" s="224">
        <v>19</v>
      </c>
      <c r="D23" s="224" t="s">
        <v>262</v>
      </c>
      <c r="E23" s="225" t="str">
        <f t="shared" ca="1" si="9"/>
        <v>MR</v>
      </c>
      <c r="F23" s="348"/>
      <c r="G23" s="349">
        <f t="shared" ca="1" si="1"/>
        <v>18</v>
      </c>
      <c r="H23" s="350"/>
      <c r="I23" s="237"/>
      <c r="K23" s="237"/>
      <c r="N23" s="237"/>
      <c r="Q23" s="237"/>
      <c r="T23" s="237"/>
      <c r="W23" s="237"/>
      <c r="AE23" s="184"/>
      <c r="AF23" s="169">
        <f t="shared" ca="1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20"/>
        <v>25</v>
      </c>
      <c r="AK23" s="169" t="str">
        <f t="shared" ca="1" si="21"/>
        <v>BBB+</v>
      </c>
      <c r="AL23" s="169">
        <f t="shared" ca="1" si="21"/>
        <v>19</v>
      </c>
      <c r="AM23" s="169" t="str">
        <f t="shared" ca="1" si="4"/>
        <v/>
      </c>
      <c r="AQ23" s="207" t="s">
        <v>265</v>
      </c>
      <c r="AR23" s="207" t="s">
        <v>141</v>
      </c>
      <c r="AS23" s="207">
        <v>18</v>
      </c>
      <c r="AT23" s="207" t="s">
        <v>266</v>
      </c>
      <c r="AV23" s="168">
        <f t="shared" ca="1" si="5"/>
        <v>30</v>
      </c>
      <c r="AW23" s="168">
        <f ca="1">COUNTIF( AV$7:AV23, AV23 )</f>
        <v>3</v>
      </c>
      <c r="AX23" s="208">
        <f t="shared" ca="1" si="22"/>
        <v>30.3</v>
      </c>
      <c r="AY23" s="168">
        <f t="shared" ca="1" si="6"/>
        <v>32</v>
      </c>
      <c r="AZ23" s="169"/>
      <c r="BA23" s="169"/>
      <c r="BC23" s="168">
        <f t="shared" ca="1" si="24"/>
        <v>17</v>
      </c>
      <c r="BD23" s="209">
        <f t="shared" ca="1" si="8"/>
        <v>15</v>
      </c>
      <c r="BF23" s="173" t="str">
        <f t="shared" ca="1" si="23"/>
        <v>DTE Energy Company</v>
      </c>
      <c r="BG23" s="173" t="str">
        <f t="shared" ca="1" si="23"/>
        <v>BBB+</v>
      </c>
      <c r="BH23" s="173">
        <f t="shared" ca="1" si="23"/>
        <v>19</v>
      </c>
      <c r="BI23" s="173" t="str">
        <f t="shared" ca="1" si="23"/>
        <v>DTE</v>
      </c>
    </row>
    <row r="24" spans="1:61" ht="13.8" x14ac:dyDescent="0.25">
      <c r="A24" s="223" t="s">
        <v>263</v>
      </c>
      <c r="B24" s="224" t="s">
        <v>140</v>
      </c>
      <c r="C24" s="224">
        <v>19</v>
      </c>
      <c r="D24" s="224" t="s">
        <v>264</v>
      </c>
      <c r="E24" s="225" t="str">
        <f t="shared" ca="1" si="9"/>
        <v>R</v>
      </c>
      <c r="F24" s="348"/>
      <c r="G24" s="349">
        <f t="shared" ca="1" si="1"/>
        <v>19</v>
      </c>
      <c r="H24" s="350"/>
      <c r="I24" s="237"/>
      <c r="J24" s="191"/>
      <c r="K24" s="237"/>
      <c r="N24" s="237"/>
      <c r="Q24" s="237"/>
      <c r="T24" s="237"/>
      <c r="W24" s="237"/>
      <c r="AE24" s="184"/>
      <c r="AF24" s="169">
        <f t="shared" ca="1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20"/>
        <v>26</v>
      </c>
      <c r="AK24" s="169" t="str">
        <f t="shared" ca="1" si="21"/>
        <v>BBB+</v>
      </c>
      <c r="AL24" s="169">
        <f t="shared" ca="1" si="21"/>
        <v>19</v>
      </c>
      <c r="AM24" s="169" t="str">
        <f t="shared" ca="1" si="4"/>
        <v/>
      </c>
      <c r="AQ24" s="207" t="s">
        <v>267</v>
      </c>
      <c r="AR24" s="207" t="s">
        <v>140</v>
      </c>
      <c r="AS24" s="207">
        <v>19</v>
      </c>
      <c r="AT24" s="207" t="s">
        <v>268</v>
      </c>
      <c r="AV24" s="168">
        <f t="shared" ca="1" si="5"/>
        <v>11</v>
      </c>
      <c r="AW24" s="168">
        <f ca="1">COUNTIF( AV$7:AV24, AV24 )</f>
        <v>9</v>
      </c>
      <c r="AX24" s="208">
        <f t="shared" ca="1" si="22"/>
        <v>11.9</v>
      </c>
      <c r="AY24" s="168">
        <f t="shared" ca="1" si="6"/>
        <v>19</v>
      </c>
      <c r="AZ24" s="169"/>
      <c r="BA24" s="169"/>
      <c r="BC24" s="168">
        <f t="shared" ca="1" si="24"/>
        <v>18</v>
      </c>
      <c r="BD24" s="209">
        <f t="shared" ca="1" si="8"/>
        <v>16</v>
      </c>
      <c r="BF24" s="173" t="str">
        <f t="shared" ca="1" si="23"/>
        <v>Duke Energy Corporation</v>
      </c>
      <c r="BG24" s="173" t="str">
        <f t="shared" ca="1" si="23"/>
        <v>BBB+</v>
      </c>
      <c r="BH24" s="173">
        <f t="shared" ca="1" si="23"/>
        <v>19</v>
      </c>
      <c r="BI24" s="173" t="str">
        <f t="shared" ca="1" si="23"/>
        <v>DUK</v>
      </c>
    </row>
    <row r="25" spans="1:61" ht="13.8" x14ac:dyDescent="0.25">
      <c r="A25" s="223" t="s">
        <v>267</v>
      </c>
      <c r="B25" s="224" t="s">
        <v>140</v>
      </c>
      <c r="C25" s="224">
        <v>19</v>
      </c>
      <c r="D25" s="224" t="s">
        <v>268</v>
      </c>
      <c r="E25" s="225" t="str">
        <f t="shared" ca="1" si="9"/>
        <v>R</v>
      </c>
      <c r="F25" s="348"/>
      <c r="G25" s="349">
        <f t="shared" ca="1" si="1"/>
        <v>21</v>
      </c>
      <c r="H25" s="350"/>
      <c r="I25" s="237"/>
      <c r="J25" s="191"/>
      <c r="K25" s="237"/>
      <c r="N25" s="237"/>
      <c r="Q25" s="237"/>
      <c r="T25" s="237"/>
      <c r="W25" s="237"/>
      <c r="AE25" s="184"/>
      <c r="AF25" s="169">
        <f t="shared" ca="1" si="2"/>
        <v>1</v>
      </c>
      <c r="AG25" s="169" t="str">
        <f t="shared" ca="1" si="3"/>
        <v/>
      </c>
      <c r="AH25" s="169" t="str">
        <f t="shared" ca="1" si="19"/>
        <v/>
      </c>
      <c r="AJ25" s="169">
        <f t="shared" ca="1" si="20"/>
        <v>27</v>
      </c>
      <c r="AK25" s="169" t="str">
        <f t="shared" ca="1" si="21"/>
        <v>BBB+</v>
      </c>
      <c r="AL25" s="169">
        <f t="shared" ca="1" si="21"/>
        <v>19</v>
      </c>
      <c r="AM25" s="169" t="str">
        <f t="shared" ca="1" si="4"/>
        <v/>
      </c>
      <c r="AQ25" s="207" t="s">
        <v>230</v>
      </c>
      <c r="AR25" s="207" t="s">
        <v>139</v>
      </c>
      <c r="AS25" s="207">
        <v>20</v>
      </c>
      <c r="AT25" s="207" t="s">
        <v>231</v>
      </c>
      <c r="AV25" s="168">
        <f t="shared" ca="1" si="5"/>
        <v>2</v>
      </c>
      <c r="AW25" s="168">
        <f ca="1">COUNTIF( AV$7:AV25, AV25 )</f>
        <v>4</v>
      </c>
      <c r="AX25" s="208">
        <f t="shared" ca="1" si="22"/>
        <v>2.4</v>
      </c>
      <c r="AY25" s="168">
        <f t="shared" ca="1" si="6"/>
        <v>5</v>
      </c>
      <c r="AZ25" s="169"/>
      <c r="BA25" s="169"/>
      <c r="BC25" s="168">
        <f t="shared" ca="1" si="24"/>
        <v>19</v>
      </c>
      <c r="BD25" s="209">
        <f t="shared" ca="1" si="8"/>
        <v>18</v>
      </c>
      <c r="BF25" s="173" t="str">
        <f t="shared" ca="1" si="23"/>
        <v>Entergy Corporation</v>
      </c>
      <c r="BG25" s="173" t="str">
        <f t="shared" ca="1" si="23"/>
        <v>BBB+</v>
      </c>
      <c r="BH25" s="173">
        <f t="shared" ca="1" si="23"/>
        <v>19</v>
      </c>
      <c r="BI25" s="173" t="str">
        <f t="shared" ca="1" si="23"/>
        <v>ETR</v>
      </c>
    </row>
    <row r="26" spans="1:61" ht="13.8" x14ac:dyDescent="0.25">
      <c r="A26" s="223" t="s">
        <v>269</v>
      </c>
      <c r="B26" s="224" t="s">
        <v>140</v>
      </c>
      <c r="C26" s="224">
        <v>19</v>
      </c>
      <c r="D26" s="224" t="s">
        <v>270</v>
      </c>
      <c r="E26" s="225" t="str">
        <f t="shared" ca="1" si="9"/>
        <v>MR</v>
      </c>
      <c r="F26" s="348"/>
      <c r="G26" s="349">
        <f t="shared" ca="1" si="1"/>
        <v>24</v>
      </c>
      <c r="H26" s="350"/>
      <c r="I26" s="237"/>
      <c r="J26" s="191"/>
      <c r="K26" s="237"/>
      <c r="N26" s="237"/>
      <c r="Q26" s="237"/>
      <c r="T26" s="237"/>
      <c r="W26" s="237"/>
      <c r="AE26" s="184"/>
      <c r="AF26" s="169">
        <f t="shared" ca="1" si="2"/>
        <v>1</v>
      </c>
      <c r="AG26" s="169" t="str">
        <f t="shared" ca="1" si="3"/>
        <v/>
      </c>
      <c r="AH26" s="169" t="str">
        <f t="shared" ca="1" si="19"/>
        <v/>
      </c>
      <c r="AJ26" s="169">
        <f t="shared" ca="1" si="20"/>
        <v>28</v>
      </c>
      <c r="AK26" s="169" t="str">
        <f t="shared" ca="1" si="21"/>
        <v>BBB+</v>
      </c>
      <c r="AL26" s="169">
        <f t="shared" ca="1" si="21"/>
        <v>19</v>
      </c>
      <c r="AM26" s="169" t="str">
        <f t="shared" ca="1" si="4"/>
        <v/>
      </c>
      <c r="AQ26" s="207" t="s">
        <v>235</v>
      </c>
      <c r="AR26" s="207" t="s">
        <v>139</v>
      </c>
      <c r="AS26" s="207">
        <v>20</v>
      </c>
      <c r="AT26" s="207" t="s">
        <v>236</v>
      </c>
      <c r="AV26" s="168">
        <f t="shared" ca="1" si="5"/>
        <v>2</v>
      </c>
      <c r="AW26" s="168">
        <f ca="1">COUNTIF( AV$7:AV26, AV26 )</f>
        <v>5</v>
      </c>
      <c r="AX26" s="208">
        <f t="shared" ca="1" si="22"/>
        <v>2.5</v>
      </c>
      <c r="AY26" s="168">
        <f t="shared" ca="1" si="6"/>
        <v>6</v>
      </c>
      <c r="AZ26" s="169"/>
      <c r="BA26" s="169"/>
      <c r="BC26" s="168">
        <f t="shared" ca="1" si="24"/>
        <v>20</v>
      </c>
      <c r="BD26" s="209">
        <f t="shared" ca="1" si="8"/>
        <v>21</v>
      </c>
      <c r="BF26" s="173" t="str">
        <f t="shared" ca="1" si="23"/>
        <v>Exelon Corporation</v>
      </c>
      <c r="BG26" s="173" t="str">
        <f t="shared" ca="1" si="23"/>
        <v>BBB+</v>
      </c>
      <c r="BH26" s="173">
        <f t="shared" ca="1" si="23"/>
        <v>19</v>
      </c>
      <c r="BI26" s="173" t="str">
        <f t="shared" ca="1" si="23"/>
        <v>EXC</v>
      </c>
    </row>
    <row r="27" spans="1:61" ht="13.8" x14ac:dyDescent="0.25">
      <c r="A27" s="223" t="s">
        <v>271</v>
      </c>
      <c r="B27" s="224" t="s">
        <v>140</v>
      </c>
      <c r="C27" s="224">
        <v>19</v>
      </c>
      <c r="D27" s="224" t="s">
        <v>272</v>
      </c>
      <c r="E27" s="225" t="str">
        <f t="shared" ca="1" si="9"/>
        <v>MR</v>
      </c>
      <c r="F27" s="348"/>
      <c r="G27" s="349">
        <f t="shared" ca="1" si="1"/>
        <v>28</v>
      </c>
      <c r="H27" s="350"/>
      <c r="I27" s="237"/>
      <c r="J27" s="191"/>
      <c r="K27" s="237"/>
      <c r="N27" s="237"/>
      <c r="Q27" s="237"/>
      <c r="T27" s="237"/>
      <c r="W27" s="237"/>
      <c r="AE27" s="184"/>
      <c r="AF27" s="169">
        <f t="shared" ca="1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20"/>
        <v>29</v>
      </c>
      <c r="AK27" s="169" t="str">
        <f t="shared" ca="1" si="21"/>
        <v>BBB+</v>
      </c>
      <c r="AL27" s="169">
        <f t="shared" ca="1" si="21"/>
        <v>19</v>
      </c>
      <c r="AM27" s="169" t="str">
        <f t="shared" ca="1" si="4"/>
        <v/>
      </c>
      <c r="AQ27" s="207" t="s">
        <v>269</v>
      </c>
      <c r="AR27" s="207" t="s">
        <v>140</v>
      </c>
      <c r="AS27" s="207">
        <v>19</v>
      </c>
      <c r="AT27" s="207" t="s">
        <v>270</v>
      </c>
      <c r="AV27" s="168">
        <f t="shared" ca="1" si="5"/>
        <v>11</v>
      </c>
      <c r="AW27" s="168">
        <f ca="1">COUNTIF( AV$7:AV27, AV27 )</f>
        <v>10</v>
      </c>
      <c r="AX27" s="208">
        <f t="shared" ca="1" si="22"/>
        <v>12</v>
      </c>
      <c r="AY27" s="168">
        <f t="shared" ca="1" si="6"/>
        <v>20</v>
      </c>
      <c r="AZ27" s="169"/>
      <c r="BA27" s="169"/>
      <c r="BC27" s="168">
        <f t="shared" ca="1" si="24"/>
        <v>21</v>
      </c>
      <c r="BD27" s="209">
        <f t="shared" ca="1" si="8"/>
        <v>26</v>
      </c>
      <c r="BF27" s="173" t="str">
        <f t="shared" ca="1" si="23"/>
        <v>MDU Resources Group, Inc.</v>
      </c>
      <c r="BG27" s="173" t="str">
        <f t="shared" ca="1" si="23"/>
        <v>BBB+</v>
      </c>
      <c r="BH27" s="173">
        <f t="shared" ca="1" si="23"/>
        <v>19</v>
      </c>
      <c r="BI27" s="173" t="str">
        <f t="shared" ca="1" si="23"/>
        <v>MDU</v>
      </c>
    </row>
    <row r="28" spans="1:61" ht="13.8" x14ac:dyDescent="0.25">
      <c r="A28" s="223" t="s">
        <v>273</v>
      </c>
      <c r="B28" s="224" t="s">
        <v>140</v>
      </c>
      <c r="C28" s="224">
        <v>19</v>
      </c>
      <c r="D28" s="224" t="s">
        <v>274</v>
      </c>
      <c r="E28" s="225" t="str">
        <f t="shared" ca="1" si="9"/>
        <v>R</v>
      </c>
      <c r="F28" s="348"/>
      <c r="G28" s="349">
        <f t="shared" ca="1" si="1"/>
        <v>31</v>
      </c>
      <c r="H28" s="350"/>
      <c r="I28" s="237"/>
      <c r="J28" s="191"/>
      <c r="K28" s="237"/>
      <c r="N28" s="237"/>
      <c r="Q28" s="237"/>
      <c r="T28" s="237"/>
      <c r="W28" s="237"/>
      <c r="AE28" s="178"/>
      <c r="AF28" s="169">
        <f t="shared" ca="1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20"/>
        <v>30</v>
      </c>
      <c r="AK28" s="169" t="str">
        <f t="shared" ca="1" si="21"/>
        <v>BBB+</v>
      </c>
      <c r="AL28" s="169">
        <f t="shared" ca="1" si="21"/>
        <v>19</v>
      </c>
      <c r="AM28" s="169" t="str">
        <f t="shared" ca="1" si="4"/>
        <v/>
      </c>
      <c r="AQ28" s="207" t="s">
        <v>275</v>
      </c>
      <c r="AR28" s="207" t="s">
        <v>142</v>
      </c>
      <c r="AS28" s="207">
        <v>17</v>
      </c>
      <c r="AT28" s="207" t="s">
        <v>276</v>
      </c>
      <c r="AV28" s="168">
        <f t="shared" ca="1" si="5"/>
        <v>38</v>
      </c>
      <c r="AW28" s="168">
        <f ca="1">COUNTIF( AV$7:AV28, AV28 )</f>
        <v>2</v>
      </c>
      <c r="AX28" s="208">
        <f t="shared" ca="1" si="22"/>
        <v>38.200000000000003</v>
      </c>
      <c r="AY28" s="168">
        <f t="shared" ca="1" si="6"/>
        <v>39</v>
      </c>
      <c r="AZ28" s="169"/>
      <c r="BA28" s="169"/>
      <c r="BC28" s="168">
        <f t="shared" ca="1" si="24"/>
        <v>22</v>
      </c>
      <c r="BD28" s="209">
        <f t="shared" ca="1" si="8"/>
        <v>28</v>
      </c>
      <c r="BF28" s="173" t="str">
        <f t="shared" ca="1" si="23"/>
        <v>NiSource Inc.</v>
      </c>
      <c r="BG28" s="173" t="str">
        <f t="shared" ca="1" si="23"/>
        <v>BBB+</v>
      </c>
      <c r="BH28" s="173">
        <f t="shared" ca="1" si="23"/>
        <v>19</v>
      </c>
      <c r="BI28" s="173" t="str">
        <f t="shared" ca="1" si="23"/>
        <v>NI</v>
      </c>
    </row>
    <row r="29" spans="1:61" ht="13.8" x14ac:dyDescent="0.25">
      <c r="A29" s="223" t="s">
        <v>277</v>
      </c>
      <c r="B29" s="224" t="s">
        <v>140</v>
      </c>
      <c r="C29" s="224">
        <v>19</v>
      </c>
      <c r="D29" s="224" t="s">
        <v>278</v>
      </c>
      <c r="E29" s="225" t="str">
        <f t="shared" ca="1" si="9"/>
        <v>R</v>
      </c>
      <c r="F29" s="348"/>
      <c r="G29" s="349">
        <f t="shared" ca="1" si="1"/>
        <v>33</v>
      </c>
      <c r="H29" s="350"/>
      <c r="I29" s="237"/>
      <c r="J29" s="191"/>
      <c r="K29" s="237"/>
      <c r="N29" s="237"/>
      <c r="Q29" s="237"/>
      <c r="T29" s="237"/>
      <c r="W29" s="237"/>
      <c r="AF29" s="169">
        <f t="shared" ca="1" si="2"/>
        <v>1</v>
      </c>
      <c r="AG29" s="169" t="str">
        <f t="shared" ca="1" si="3"/>
        <v/>
      </c>
      <c r="AH29" s="169" t="str">
        <f t="shared" ca="1" si="19"/>
        <v/>
      </c>
      <c r="AJ29" s="169">
        <f t="shared" ca="1" si="20"/>
        <v>31</v>
      </c>
      <c r="AK29" s="169" t="str">
        <f t="shared" ca="1" si="21"/>
        <v>BBB+</v>
      </c>
      <c r="AL29" s="169">
        <f t="shared" ca="1" si="21"/>
        <v>19</v>
      </c>
      <c r="AM29" s="169" t="str">
        <f t="shared" ca="1" si="4"/>
        <v/>
      </c>
      <c r="AQ29" s="207" t="s">
        <v>279</v>
      </c>
      <c r="AR29" s="207" t="s">
        <v>142</v>
      </c>
      <c r="AS29" s="207">
        <v>17</v>
      </c>
      <c r="AT29" s="207" t="s">
        <v>280</v>
      </c>
      <c r="AV29" s="168">
        <f t="shared" ca="1" si="5"/>
        <v>38</v>
      </c>
      <c r="AW29" s="168">
        <f ca="1">COUNTIF( AV$7:AV29, AV29 )</f>
        <v>3</v>
      </c>
      <c r="AX29" s="208">
        <f t="shared" ca="1" si="22"/>
        <v>38.299999999999997</v>
      </c>
      <c r="AY29" s="168">
        <f t="shared" ca="1" si="6"/>
        <v>40</v>
      </c>
      <c r="AZ29" s="169"/>
      <c r="BA29" s="169"/>
      <c r="BC29" s="168">
        <f t="shared" ca="1" si="24"/>
        <v>23</v>
      </c>
      <c r="BD29" s="209">
        <f t="shared" ca="1" si="8"/>
        <v>30</v>
      </c>
      <c r="BF29" s="173" t="str">
        <f t="shared" ca="1" si="23"/>
        <v>OGE Energy Corp.</v>
      </c>
      <c r="BG29" s="173" t="str">
        <f t="shared" ca="1" si="23"/>
        <v>BBB+</v>
      </c>
      <c r="BH29" s="173">
        <f t="shared" ca="1" si="23"/>
        <v>19</v>
      </c>
      <c r="BI29" s="173" t="str">
        <f t="shared" ca="1" si="23"/>
        <v>OGE</v>
      </c>
    </row>
    <row r="30" spans="1:61" ht="13.8" x14ac:dyDescent="0.25">
      <c r="A30" s="223" t="s">
        <v>281</v>
      </c>
      <c r="B30" s="224" t="s">
        <v>140</v>
      </c>
      <c r="C30" s="224">
        <v>19</v>
      </c>
      <c r="D30" s="224" t="s">
        <v>282</v>
      </c>
      <c r="E30" s="225" t="str">
        <f t="shared" ca="1" si="9"/>
        <v>R</v>
      </c>
      <c r="F30" s="348"/>
      <c r="G30" s="349">
        <f t="shared" ca="1" si="1"/>
        <v>36</v>
      </c>
      <c r="H30" s="350"/>
      <c r="I30" s="237"/>
      <c r="J30" s="191"/>
      <c r="K30" s="237"/>
      <c r="N30" s="237"/>
      <c r="Q30" s="237"/>
      <c r="T30" s="237"/>
      <c r="W30" s="237"/>
      <c r="AF30" s="169">
        <f t="shared" ca="1" si="2"/>
        <v>1</v>
      </c>
      <c r="AG30" s="169" t="str">
        <f t="shared" ca="1" si="3"/>
        <v/>
      </c>
      <c r="AH30" s="169">
        <f t="shared" ca="1" si="19"/>
        <v>1</v>
      </c>
      <c r="AJ30" s="169">
        <f t="shared" ca="1" si="20"/>
        <v>14</v>
      </c>
      <c r="AK30" s="169" t="str">
        <f t="shared" ca="1" si="21"/>
        <v>A-</v>
      </c>
      <c r="AL30" s="169">
        <f t="shared" ca="1" si="21"/>
        <v>20</v>
      </c>
      <c r="AM30" s="169" t="str">
        <f t="shared" ca="1" si="4"/>
        <v>Change</v>
      </c>
      <c r="AQ30" s="207" t="s">
        <v>283</v>
      </c>
      <c r="AR30" s="207" t="s">
        <v>141</v>
      </c>
      <c r="AS30" s="207">
        <v>18</v>
      </c>
      <c r="AT30" s="207" t="s">
        <v>284</v>
      </c>
      <c r="AV30" s="168">
        <f t="shared" ca="1" si="5"/>
        <v>30</v>
      </c>
      <c r="AW30" s="168">
        <f ca="1">COUNTIF( AV$7:AV30, AV30 )</f>
        <v>4</v>
      </c>
      <c r="AX30" s="208">
        <f t="shared" ca="1" si="22"/>
        <v>30.4</v>
      </c>
      <c r="AY30" s="168">
        <f t="shared" ca="1" si="6"/>
        <v>33</v>
      </c>
      <c r="AZ30" s="169"/>
      <c r="BA30" s="169"/>
      <c r="BC30" s="168">
        <f t="shared" ca="1" si="24"/>
        <v>24</v>
      </c>
      <c r="BD30" s="209">
        <f t="shared" ca="1" si="8"/>
        <v>33</v>
      </c>
      <c r="BF30" s="173" t="str">
        <f t="shared" ca="1" si="23"/>
        <v>Pinnacle West Capital Corporation</v>
      </c>
      <c r="BG30" s="173" t="str">
        <f t="shared" ca="1" si="23"/>
        <v>BBB+</v>
      </c>
      <c r="BH30" s="173">
        <f t="shared" ca="1" si="23"/>
        <v>19</v>
      </c>
      <c r="BI30" s="173" t="str">
        <f t="shared" ca="1" si="23"/>
        <v>PNW</v>
      </c>
    </row>
    <row r="31" spans="1:61" ht="13.8" x14ac:dyDescent="0.25">
      <c r="A31" s="223" t="s">
        <v>285</v>
      </c>
      <c r="B31" s="224" t="s">
        <v>140</v>
      </c>
      <c r="C31" s="224">
        <v>19</v>
      </c>
      <c r="D31" s="224" t="s">
        <v>286</v>
      </c>
      <c r="E31" s="225" t="str">
        <f t="shared" ca="1" si="9"/>
        <v>R</v>
      </c>
      <c r="F31" s="348"/>
      <c r="G31" s="349">
        <f t="shared" ca="1" si="1"/>
        <v>38</v>
      </c>
      <c r="H31" s="350"/>
      <c r="I31" s="237"/>
      <c r="J31" s="191"/>
      <c r="K31" s="237"/>
      <c r="N31" s="237"/>
      <c r="O31" s="351"/>
      <c r="Q31" s="237"/>
      <c r="T31" s="237"/>
      <c r="W31" s="237"/>
      <c r="AF31" s="169">
        <f t="shared" ca="1" si="2"/>
        <v>1</v>
      </c>
      <c r="AG31" s="169" t="str">
        <f t="shared" ca="1" si="3"/>
        <v/>
      </c>
      <c r="AH31" s="169" t="str">
        <f t="shared" ca="1" si="19"/>
        <v/>
      </c>
      <c r="AJ31" s="169">
        <f t="shared" ca="1" si="20"/>
        <v>32</v>
      </c>
      <c r="AK31" s="169" t="str">
        <f t="shared" ca="1" si="21"/>
        <v>BBB+</v>
      </c>
      <c r="AL31" s="169">
        <f t="shared" ca="1" si="21"/>
        <v>19</v>
      </c>
      <c r="AM31" s="169" t="str">
        <f t="shared" ca="1" si="4"/>
        <v/>
      </c>
      <c r="AQ31" s="207" t="s">
        <v>287</v>
      </c>
      <c r="AR31" s="207" t="s">
        <v>141</v>
      </c>
      <c r="AS31" s="207">
        <v>18</v>
      </c>
      <c r="AT31" s="207" t="s">
        <v>288</v>
      </c>
      <c r="AV31" s="168">
        <f t="shared" ca="1" si="5"/>
        <v>30</v>
      </c>
      <c r="AW31" s="168">
        <f ca="1">COUNTIF( AV$7:AV31, AV31 )</f>
        <v>5</v>
      </c>
      <c r="AX31" s="208">
        <f t="shared" ca="1" si="22"/>
        <v>30.5</v>
      </c>
      <c r="AY31" s="168">
        <f t="shared" ca="1" si="6"/>
        <v>34</v>
      </c>
      <c r="AZ31" s="169"/>
      <c r="BA31" s="169"/>
      <c r="BC31" s="168">
        <f t="shared" ca="1" si="24"/>
        <v>25</v>
      </c>
      <c r="BD31" s="209">
        <f t="shared" ca="1" si="8"/>
        <v>35</v>
      </c>
      <c r="BF31" s="173" t="str">
        <f t="shared" ca="1" si="23"/>
        <v>Portland General Electric Company</v>
      </c>
      <c r="BG31" s="173" t="str">
        <f t="shared" ca="1" si="23"/>
        <v>BBB+</v>
      </c>
      <c r="BH31" s="173">
        <f t="shared" ca="1" si="23"/>
        <v>19</v>
      </c>
      <c r="BI31" s="173" t="str">
        <f t="shared" ca="1" si="23"/>
        <v>POR</v>
      </c>
    </row>
    <row r="32" spans="1:61" ht="13.8" x14ac:dyDescent="0.25">
      <c r="A32" s="223" t="s">
        <v>289</v>
      </c>
      <c r="B32" s="224" t="s">
        <v>140</v>
      </c>
      <c r="C32" s="224">
        <v>19</v>
      </c>
      <c r="D32" s="224" t="s">
        <v>290</v>
      </c>
      <c r="E32" s="225" t="str">
        <f t="shared" ca="1" si="9"/>
        <v>MR</v>
      </c>
      <c r="F32" s="348"/>
      <c r="G32" s="349">
        <f t="shared" ca="1" si="1"/>
        <v>40</v>
      </c>
      <c r="H32" s="350"/>
      <c r="I32" s="237"/>
      <c r="J32" s="191"/>
      <c r="K32" s="237"/>
      <c r="N32" s="237"/>
      <c r="Q32" s="237"/>
      <c r="T32" s="237"/>
      <c r="W32" s="237"/>
      <c r="AF32" s="169">
        <f t="shared" ca="1" si="2"/>
        <v>1</v>
      </c>
      <c r="AG32" s="169" t="str">
        <f t="shared" ca="1" si="3"/>
        <v/>
      </c>
      <c r="AH32" s="169" t="str">
        <f t="shared" ca="1" si="19"/>
        <v/>
      </c>
      <c r="AJ32" s="169">
        <f t="shared" ca="1" si="20"/>
        <v>33</v>
      </c>
      <c r="AK32" s="169" t="str">
        <f t="shared" ca="1" si="21"/>
        <v>BBB+</v>
      </c>
      <c r="AL32" s="169">
        <f t="shared" ca="1" si="21"/>
        <v>19</v>
      </c>
      <c r="AM32" s="169" t="str">
        <f t="shared" ca="1" si="4"/>
        <v/>
      </c>
      <c r="AQ32" s="207" t="s">
        <v>271</v>
      </c>
      <c r="AR32" s="207" t="s">
        <v>140</v>
      </c>
      <c r="AS32" s="207">
        <v>19</v>
      </c>
      <c r="AT32" s="207" t="s">
        <v>272</v>
      </c>
      <c r="AV32" s="168">
        <f t="shared" ca="1" si="5"/>
        <v>11</v>
      </c>
      <c r="AW32" s="168">
        <f ca="1">COUNTIF( AV$7:AV32, AV32 )</f>
        <v>11</v>
      </c>
      <c r="AX32" s="208">
        <f t="shared" ca="1" si="22"/>
        <v>12.1</v>
      </c>
      <c r="AY32" s="168">
        <f t="shared" ca="1" si="6"/>
        <v>21</v>
      </c>
      <c r="AZ32" s="169"/>
      <c r="BA32" s="169"/>
      <c r="BC32" s="168">
        <f t="shared" ca="1" si="24"/>
        <v>26</v>
      </c>
      <c r="BD32" s="209">
        <f t="shared" ca="1" si="8"/>
        <v>37</v>
      </c>
      <c r="BF32" s="173" t="str">
        <f t="shared" ca="1" si="23"/>
        <v>Public Service Enterprise Group Incorporated</v>
      </c>
      <c r="BG32" s="173" t="str">
        <f t="shared" ca="1" si="23"/>
        <v>BBB+</v>
      </c>
      <c r="BH32" s="173">
        <f t="shared" ca="1" si="23"/>
        <v>19</v>
      </c>
      <c r="BI32" s="173" t="str">
        <f t="shared" ca="1" si="23"/>
        <v>PEG</v>
      </c>
    </row>
    <row r="33" spans="1:61" ht="13.8" x14ac:dyDescent="0.25">
      <c r="A33" s="223" t="s">
        <v>291</v>
      </c>
      <c r="B33" s="224" t="s">
        <v>140</v>
      </c>
      <c r="C33" s="224">
        <v>19</v>
      </c>
      <c r="D33" s="224" t="s">
        <v>292</v>
      </c>
      <c r="E33" s="225" t="str">
        <f t="shared" ca="1" si="9"/>
        <v>R</v>
      </c>
      <c r="F33" s="348"/>
      <c r="G33" s="349">
        <f t="shared" ca="1" si="1"/>
        <v>41</v>
      </c>
      <c r="H33" s="350"/>
      <c r="I33" s="237"/>
      <c r="J33" s="191"/>
      <c r="K33" s="237"/>
      <c r="N33" s="237"/>
      <c r="Q33" s="237"/>
      <c r="T33" s="237"/>
      <c r="W33" s="237"/>
      <c r="AF33" s="169">
        <f t="shared" ca="1" si="2"/>
        <v>1</v>
      </c>
      <c r="AG33" s="169" t="str">
        <f t="shared" ca="1" si="3"/>
        <v/>
      </c>
      <c r="AH33" s="169" t="str">
        <f t="shared" ca="1" si="19"/>
        <v/>
      </c>
      <c r="AJ33" s="169">
        <f t="shared" ca="1" si="20"/>
        <v>34</v>
      </c>
      <c r="AK33" s="169" t="str">
        <f t="shared" ca="1" si="21"/>
        <v>BBB+</v>
      </c>
      <c r="AL33" s="169">
        <f t="shared" ca="1" si="21"/>
        <v>19</v>
      </c>
      <c r="AM33" s="169" t="str">
        <f t="shared" ca="1" si="4"/>
        <v/>
      </c>
      <c r="AQ33" s="207" t="s">
        <v>240</v>
      </c>
      <c r="AR33" s="207" t="s">
        <v>139</v>
      </c>
      <c r="AS33" s="207">
        <v>20</v>
      </c>
      <c r="AT33" s="207" t="s">
        <v>241</v>
      </c>
      <c r="AV33" s="168">
        <f t="shared" ca="1" si="5"/>
        <v>2</v>
      </c>
      <c r="AW33" s="168">
        <f ca="1">COUNTIF( AV$7:AV33, AV33 )</f>
        <v>6</v>
      </c>
      <c r="AX33" s="208">
        <f t="shared" ca="1" si="22"/>
        <v>2.6</v>
      </c>
      <c r="AY33" s="168">
        <f t="shared" ca="1" si="6"/>
        <v>7</v>
      </c>
      <c r="AZ33" s="169"/>
      <c r="BA33" s="169"/>
      <c r="BC33" s="168">
        <f t="shared" ca="1" si="24"/>
        <v>27</v>
      </c>
      <c r="BD33" s="209">
        <f t="shared" ca="1" si="8"/>
        <v>39</v>
      </c>
      <c r="BF33" s="173" t="str">
        <f t="shared" ca="1" si="23"/>
        <v>Sempra Energy</v>
      </c>
      <c r="BG33" s="173" t="str">
        <f t="shared" ca="1" si="23"/>
        <v>BBB+</v>
      </c>
      <c r="BH33" s="173">
        <f t="shared" ca="1" si="23"/>
        <v>19</v>
      </c>
      <c r="BI33" s="173" t="str">
        <f t="shared" ca="1" si="23"/>
        <v>SRE</v>
      </c>
    </row>
    <row r="34" spans="1:61" ht="13.8" x14ac:dyDescent="0.25">
      <c r="A34" s="223" t="s">
        <v>293</v>
      </c>
      <c r="B34" s="224" t="s">
        <v>140</v>
      </c>
      <c r="C34" s="224">
        <v>19</v>
      </c>
      <c r="D34" s="224" t="s">
        <v>294</v>
      </c>
      <c r="E34" s="225" t="str">
        <f t="shared" ca="1" si="9"/>
        <v>R</v>
      </c>
      <c r="F34" s="348"/>
      <c r="G34" s="349">
        <f t="shared" ca="1" si="1"/>
        <v>42</v>
      </c>
      <c r="H34" s="350"/>
      <c r="I34" s="237"/>
      <c r="J34" s="191"/>
      <c r="K34" s="237"/>
      <c r="N34" s="237"/>
      <c r="Q34" s="237"/>
      <c r="T34" s="237"/>
      <c r="W34" s="237"/>
      <c r="AF34" s="169">
        <f t="shared" ca="1" si="2"/>
        <v>1</v>
      </c>
      <c r="AG34" s="169" t="str">
        <f t="shared" ca="1" si="3"/>
        <v/>
      </c>
      <c r="AH34" s="169">
        <f t="shared" ca="1" si="19"/>
        <v>1</v>
      </c>
      <c r="AJ34" s="169">
        <f t="shared" ca="1" si="20"/>
        <v>16</v>
      </c>
      <c r="AK34" s="169" t="str">
        <f t="shared" ca="1" si="21"/>
        <v>A-</v>
      </c>
      <c r="AL34" s="169">
        <f t="shared" ca="1" si="21"/>
        <v>20</v>
      </c>
      <c r="AM34" s="169" t="str">
        <f t="shared" ca="1" si="4"/>
        <v>Change</v>
      </c>
      <c r="AQ34" s="207" t="s">
        <v>273</v>
      </c>
      <c r="AR34" s="207" t="s">
        <v>140</v>
      </c>
      <c r="AS34" s="207">
        <v>19</v>
      </c>
      <c r="AT34" s="207" t="s">
        <v>274</v>
      </c>
      <c r="AV34" s="168">
        <f t="shared" ca="1" si="5"/>
        <v>11</v>
      </c>
      <c r="AW34" s="168">
        <f ca="1">COUNTIF( AV$7:AV34, AV34 )</f>
        <v>12</v>
      </c>
      <c r="AX34" s="208">
        <f t="shared" ca="1" si="22"/>
        <v>12.2</v>
      </c>
      <c r="AY34" s="168">
        <f t="shared" ca="1" si="6"/>
        <v>22</v>
      </c>
      <c r="AZ34" s="169"/>
      <c r="BA34" s="169"/>
      <c r="BC34" s="168">
        <f t="shared" ca="1" si="24"/>
        <v>28</v>
      </c>
      <c r="BD34" s="209">
        <f t="shared" ca="1" si="8"/>
        <v>40</v>
      </c>
      <c r="BF34" s="173" t="str">
        <f t="shared" ca="1" si="23"/>
        <v>Southern Company</v>
      </c>
      <c r="BG34" s="173" t="str">
        <f t="shared" ca="1" si="23"/>
        <v>BBB+</v>
      </c>
      <c r="BH34" s="173">
        <f t="shared" ca="1" si="23"/>
        <v>19</v>
      </c>
      <c r="BI34" s="173" t="str">
        <f t="shared" ca="1" si="23"/>
        <v>SO</v>
      </c>
    </row>
    <row r="35" spans="1:61" ht="13.8" x14ac:dyDescent="0.25">
      <c r="A35" s="223" t="s">
        <v>295</v>
      </c>
      <c r="B35" s="224" t="s">
        <v>140</v>
      </c>
      <c r="C35" s="224">
        <v>19</v>
      </c>
      <c r="D35" s="224" t="s">
        <v>296</v>
      </c>
      <c r="E35" s="225" t="str">
        <f t="shared" ca="1" si="9"/>
        <v>R</v>
      </c>
      <c r="F35" s="348"/>
      <c r="G35" s="349">
        <f t="shared" ca="1" si="1"/>
        <v>43</v>
      </c>
      <c r="H35" s="350"/>
      <c r="I35" s="237"/>
      <c r="K35" s="237"/>
      <c r="N35" s="237"/>
      <c r="Q35" s="237"/>
      <c r="T35" s="237"/>
      <c r="W35" s="237"/>
      <c r="AF35" s="169">
        <f t="shared" ca="1" si="2"/>
        <v>1</v>
      </c>
      <c r="AG35" s="169" t="str">
        <f t="shared" ca="1" si="3"/>
        <v/>
      </c>
      <c r="AH35" s="169" t="str">
        <f t="shared" ca="1" si="19"/>
        <v/>
      </c>
      <c r="AJ35" s="169">
        <f t="shared" ca="1" si="20"/>
        <v>35</v>
      </c>
      <c r="AK35" s="169" t="str">
        <f t="shared" ca="1" si="21"/>
        <v>BBB+</v>
      </c>
      <c r="AL35" s="169">
        <f t="shared" ca="1" si="21"/>
        <v>19</v>
      </c>
      <c r="AM35" s="169" t="str">
        <f t="shared" ca="1" si="4"/>
        <v/>
      </c>
      <c r="AQ35" s="207" t="s">
        <v>297</v>
      </c>
      <c r="AR35" s="207" t="s">
        <v>141</v>
      </c>
      <c r="AS35" s="207">
        <v>18</v>
      </c>
      <c r="AT35" s="207" t="s">
        <v>298</v>
      </c>
      <c r="AV35" s="168">
        <f t="shared" ca="1" si="5"/>
        <v>30</v>
      </c>
      <c r="AW35" s="168">
        <f ca="1">COUNTIF( AV$7:AV35, AV35 )</f>
        <v>6</v>
      </c>
      <c r="AX35" s="208">
        <f t="shared" ca="1" si="22"/>
        <v>30.6</v>
      </c>
      <c r="AY35" s="168">
        <f t="shared" ca="1" si="6"/>
        <v>35</v>
      </c>
      <c r="AZ35" s="169"/>
      <c r="BA35" s="169"/>
      <c r="BC35" s="168">
        <f t="shared" ca="1" si="24"/>
        <v>29</v>
      </c>
      <c r="BD35" s="209">
        <f t="shared" ca="1" si="8"/>
        <v>41</v>
      </c>
      <c r="BF35" s="173" t="str">
        <f t="shared" ca="1" si="23"/>
        <v>Unitil Corporation</v>
      </c>
      <c r="BG35" s="173" t="str">
        <f t="shared" ca="1" si="23"/>
        <v>BBB+</v>
      </c>
      <c r="BH35" s="173">
        <f t="shared" ca="1" si="23"/>
        <v>19</v>
      </c>
      <c r="BI35" s="173" t="str">
        <f t="shared" ca="1" si="23"/>
        <v>UTL</v>
      </c>
    </row>
    <row r="36" spans="1:61" ht="13.8" x14ac:dyDescent="0.25">
      <c r="A36" s="223" t="s">
        <v>217</v>
      </c>
      <c r="B36" s="224" t="s">
        <v>141</v>
      </c>
      <c r="C36" s="224">
        <v>18</v>
      </c>
      <c r="D36" s="224" t="s">
        <v>218</v>
      </c>
      <c r="E36" s="225" t="str">
        <f t="shared" ca="1" si="9"/>
        <v>MR</v>
      </c>
      <c r="F36" s="348"/>
      <c r="G36" s="349">
        <f t="shared" ca="1" si="1"/>
        <v>7</v>
      </c>
      <c r="H36" s="350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ca="1" si="2"/>
        <v>0</v>
      </c>
      <c r="AG36" s="169" t="str">
        <f t="shared" ca="1" si="3"/>
        <v/>
      </c>
      <c r="AH36" s="169" t="str">
        <f t="shared" ca="1" si="19"/>
        <v/>
      </c>
      <c r="AJ36" s="169">
        <f t="shared" ca="1" si="20"/>
        <v>36</v>
      </c>
      <c r="AK36" s="169" t="str">
        <f t="shared" ca="1" si="21"/>
        <v>BBB</v>
      </c>
      <c r="AL36" s="169">
        <f t="shared" ca="1" si="21"/>
        <v>18</v>
      </c>
      <c r="AM36" s="169" t="str">
        <f t="shared" ca="1" si="4"/>
        <v/>
      </c>
      <c r="AQ36" s="207" t="s">
        <v>277</v>
      </c>
      <c r="AR36" s="207" t="s">
        <v>140</v>
      </c>
      <c r="AS36" s="207">
        <v>19</v>
      </c>
      <c r="AT36" s="207" t="s">
        <v>278</v>
      </c>
      <c r="AV36" s="168">
        <f t="shared" ca="1" si="5"/>
        <v>11</v>
      </c>
      <c r="AW36" s="168">
        <f ca="1">COUNTIF( AV$7:AV36, AV36 )</f>
        <v>13</v>
      </c>
      <c r="AX36" s="208">
        <f t="shared" ca="1" si="22"/>
        <v>12.3</v>
      </c>
      <c r="AY36" s="168">
        <f t="shared" ca="1" si="6"/>
        <v>23</v>
      </c>
      <c r="AZ36" s="169"/>
      <c r="BA36" s="169"/>
      <c r="BC36" s="168">
        <f t="shared" ca="1" si="24"/>
        <v>30</v>
      </c>
      <c r="BD36" s="209">
        <f t="shared" ca="1" si="8"/>
        <v>1</v>
      </c>
      <c r="BF36" s="173" t="str">
        <f t="shared" ca="1" si="23"/>
        <v>ALLETE, Inc.</v>
      </c>
      <c r="BG36" s="173" t="str">
        <f t="shared" ca="1" si="23"/>
        <v>BBB</v>
      </c>
      <c r="BH36" s="173">
        <f t="shared" ca="1" si="23"/>
        <v>18</v>
      </c>
      <c r="BI36" s="173" t="str">
        <f t="shared" ca="1" si="23"/>
        <v>ALE</v>
      </c>
    </row>
    <row r="37" spans="1:61" ht="13.8" x14ac:dyDescent="0.25">
      <c r="A37" s="223" t="s">
        <v>238</v>
      </c>
      <c r="B37" s="224" t="s">
        <v>141</v>
      </c>
      <c r="C37" s="224">
        <v>18</v>
      </c>
      <c r="D37" s="224" t="s">
        <v>239</v>
      </c>
      <c r="E37" s="225" t="str">
        <f t="shared" ca="1" si="9"/>
        <v>R</v>
      </c>
      <c r="F37" s="348"/>
      <c r="G37" s="349">
        <f t="shared" ca="1" si="1"/>
        <v>12</v>
      </c>
      <c r="H37" s="350"/>
      <c r="I37" s="237"/>
      <c r="K37" s="237"/>
      <c r="L37" s="173"/>
      <c r="N37" s="237"/>
      <c r="Q37" s="237"/>
      <c r="T37" s="237"/>
      <c r="W37" s="237"/>
      <c r="AF37" s="169">
        <f t="shared" ca="1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20"/>
        <v>37</v>
      </c>
      <c r="AK37" s="169" t="str">
        <f t="shared" ca="1" si="21"/>
        <v>BBB</v>
      </c>
      <c r="AL37" s="169">
        <f t="shared" ca="1" si="21"/>
        <v>18</v>
      </c>
      <c r="AM37" s="169" t="str">
        <f t="shared" ca="1" si="4"/>
        <v/>
      </c>
      <c r="AQ37" s="207" t="s">
        <v>299</v>
      </c>
      <c r="AR37" s="207" t="s">
        <v>141</v>
      </c>
      <c r="AS37" s="207">
        <v>18</v>
      </c>
      <c r="AT37" s="207" t="s">
        <v>300</v>
      </c>
      <c r="AV37" s="168">
        <f t="shared" ca="1" si="5"/>
        <v>30</v>
      </c>
      <c r="AW37" s="168">
        <f ca="1">COUNTIF( AV$7:AV37, AV37 )</f>
        <v>7</v>
      </c>
      <c r="AX37" s="208">
        <f t="shared" ca="1" si="22"/>
        <v>30.7</v>
      </c>
      <c r="AY37" s="168">
        <f t="shared" ca="1" si="6"/>
        <v>36</v>
      </c>
      <c r="AZ37" s="169"/>
      <c r="BA37" s="169"/>
      <c r="BC37" s="168">
        <f t="shared" ca="1" si="24"/>
        <v>31</v>
      </c>
      <c r="BD37" s="209">
        <f t="shared" ca="1" si="8"/>
        <v>6</v>
      </c>
      <c r="BF37" s="173" t="str">
        <f t="shared" ca="1" si="23"/>
        <v>Avista Corporation</v>
      </c>
      <c r="BG37" s="173" t="str">
        <f t="shared" ca="1" si="23"/>
        <v>BBB</v>
      </c>
      <c r="BH37" s="173">
        <f t="shared" ca="1" si="23"/>
        <v>18</v>
      </c>
      <c r="BI37" s="173" t="str">
        <f t="shared" ca="1" si="23"/>
        <v>AVA</v>
      </c>
    </row>
    <row r="38" spans="1:61" ht="13.2" customHeight="1" x14ac:dyDescent="0.25">
      <c r="A38" s="223" t="s">
        <v>265</v>
      </c>
      <c r="B38" s="224" t="s">
        <v>141</v>
      </c>
      <c r="C38" s="224">
        <v>18</v>
      </c>
      <c r="D38" s="224" t="s">
        <v>266</v>
      </c>
      <c r="E38" s="225" t="str">
        <f t="shared" ca="1" si="9"/>
        <v>R</v>
      </c>
      <c r="F38" s="348"/>
      <c r="G38" s="349">
        <f t="shared" ca="1" si="1"/>
        <v>20</v>
      </c>
      <c r="H38" s="350"/>
      <c r="I38" s="237"/>
      <c r="J38" s="191"/>
      <c r="K38" s="237"/>
      <c r="L38" s="173"/>
      <c r="N38" s="237"/>
      <c r="Q38" s="237"/>
      <c r="T38" s="237"/>
      <c r="W38" s="237"/>
      <c r="AF38" s="169">
        <f t="shared" ca="1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20"/>
        <v>38</v>
      </c>
      <c r="AK38" s="169" t="str">
        <f t="shared" ca="1" si="21"/>
        <v>BBB</v>
      </c>
      <c r="AL38" s="169">
        <f t="shared" ca="1" si="21"/>
        <v>18</v>
      </c>
      <c r="AM38" s="169" t="str">
        <f t="shared" ca="1" si="4"/>
        <v/>
      </c>
      <c r="AQ38" s="207" t="s">
        <v>301</v>
      </c>
      <c r="AR38" s="207" t="s">
        <v>177</v>
      </c>
      <c r="AS38" s="207">
        <v>14</v>
      </c>
      <c r="AT38" s="207" t="s">
        <v>302</v>
      </c>
      <c r="AV38" s="168">
        <f t="shared" ca="1" si="5"/>
        <v>43</v>
      </c>
      <c r="AW38" s="168">
        <f ca="1">COUNTIF( AV$7:AV38, AV38 )</f>
        <v>1</v>
      </c>
      <c r="AX38" s="208">
        <f t="shared" ca="1" si="22"/>
        <v>43.1</v>
      </c>
      <c r="AY38" s="168">
        <f t="shared" ca="1" si="6"/>
        <v>43</v>
      </c>
      <c r="AZ38" s="169"/>
      <c r="BA38" s="169"/>
      <c r="BC38" s="168">
        <f t="shared" ca="1" si="24"/>
        <v>32</v>
      </c>
      <c r="BD38" s="209">
        <f t="shared" ca="1" si="8"/>
        <v>17</v>
      </c>
      <c r="BF38" s="173" t="str">
        <f t="shared" ca="1" si="23"/>
        <v>Edison International</v>
      </c>
      <c r="BG38" s="173" t="str">
        <f t="shared" ca="1" si="23"/>
        <v>BBB</v>
      </c>
      <c r="BH38" s="173">
        <f t="shared" ca="1" si="23"/>
        <v>18</v>
      </c>
      <c r="BI38" s="173" t="str">
        <f t="shared" ca="1" si="23"/>
        <v>EIX</v>
      </c>
    </row>
    <row r="39" spans="1:61" ht="13.8" x14ac:dyDescent="0.25">
      <c r="A39" s="223" t="s">
        <v>283</v>
      </c>
      <c r="B39" s="224" t="s">
        <v>141</v>
      </c>
      <c r="C39" s="224">
        <v>18</v>
      </c>
      <c r="D39" s="224" t="s">
        <v>284</v>
      </c>
      <c r="E39" s="225" t="str">
        <f t="shared" ca="1" si="9"/>
        <v>R</v>
      </c>
      <c r="F39" s="348"/>
      <c r="G39" s="349">
        <f t="shared" ca="1" si="1"/>
        <v>27</v>
      </c>
      <c r="H39" s="350"/>
      <c r="I39" s="237"/>
      <c r="K39" s="237"/>
      <c r="L39" s="173"/>
      <c r="N39" s="237"/>
      <c r="Q39" s="237"/>
      <c r="T39" s="237"/>
      <c r="W39" s="237"/>
      <c r="AF39" s="169">
        <f t="shared" ca="1" si="2"/>
        <v>0</v>
      </c>
      <c r="AG39" s="169" t="str">
        <f t="shared" ca="1" si="3"/>
        <v/>
      </c>
      <c r="AH39" s="169" t="str">
        <f t="shared" ca="1" si="19"/>
        <v/>
      </c>
      <c r="AJ39" s="169">
        <f t="shared" ca="1" si="20"/>
        <v>39</v>
      </c>
      <c r="AK39" s="169" t="str">
        <f t="shared" ca="1" si="21"/>
        <v>BBB</v>
      </c>
      <c r="AL39" s="169">
        <f t="shared" ca="1" si="21"/>
        <v>18</v>
      </c>
      <c r="AM39" s="169" t="str">
        <f t="shared" ca="1" si="4"/>
        <v/>
      </c>
      <c r="AQ39" s="207" t="s">
        <v>281</v>
      </c>
      <c r="AR39" s="207" t="s">
        <v>140</v>
      </c>
      <c r="AS39" s="207">
        <v>19</v>
      </c>
      <c r="AT39" s="207" t="s">
        <v>282</v>
      </c>
      <c r="AV39" s="168">
        <f t="shared" ca="1" si="5"/>
        <v>11</v>
      </c>
      <c r="AW39" s="168">
        <f ca="1">COUNTIF( AV$7:AV39, AV39 )</f>
        <v>14</v>
      </c>
      <c r="AX39" s="208">
        <f t="shared" ca="1" si="22"/>
        <v>12.4</v>
      </c>
      <c r="AY39" s="168">
        <f t="shared" ca="1" si="6"/>
        <v>24</v>
      </c>
      <c r="AZ39" s="169"/>
      <c r="BA39" s="169"/>
      <c r="BC39" s="168">
        <f t="shared" ca="1" si="24"/>
        <v>33</v>
      </c>
      <c r="BD39" s="209">
        <f t="shared" ca="1" si="8"/>
        <v>24</v>
      </c>
      <c r="BF39" s="173" t="str">
        <f t="shared" ca="1" si="23"/>
        <v>IDACORP, Inc.</v>
      </c>
      <c r="BG39" s="173" t="str">
        <f t="shared" ca="1" si="23"/>
        <v>BBB</v>
      </c>
      <c r="BH39" s="173">
        <f t="shared" ca="1" si="23"/>
        <v>18</v>
      </c>
      <c r="BI39" s="173" t="str">
        <f t="shared" ca="1" si="23"/>
        <v>IDA</v>
      </c>
    </row>
    <row r="40" spans="1:61" ht="13.8" x14ac:dyDescent="0.25">
      <c r="A40" s="223" t="s">
        <v>287</v>
      </c>
      <c r="B40" s="224" t="s">
        <v>141</v>
      </c>
      <c r="C40" s="224">
        <v>18</v>
      </c>
      <c r="D40" s="224" t="s">
        <v>288</v>
      </c>
      <c r="E40" s="225" t="str">
        <f t="shared" ca="1" si="9"/>
        <v>R</v>
      </c>
      <c r="F40" s="348"/>
      <c r="G40" s="349">
        <f t="shared" ca="1" si="1"/>
        <v>55</v>
      </c>
      <c r="H40" s="350"/>
      <c r="I40" s="237"/>
      <c r="J40" s="191"/>
      <c r="K40" s="237"/>
      <c r="L40" s="173"/>
      <c r="N40" s="237"/>
      <c r="Q40" s="237"/>
      <c r="T40" s="237"/>
      <c r="W40" s="237"/>
      <c r="AF40" s="169">
        <f t="shared" ca="1" si="2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20"/>
        <v>40</v>
      </c>
      <c r="AK40" s="169" t="str">
        <f t="shared" ca="1" si="21"/>
        <v>BBB</v>
      </c>
      <c r="AL40" s="169">
        <f t="shared" ca="1" si="21"/>
        <v>18</v>
      </c>
      <c r="AM40" s="169" t="str">
        <f t="shared" ca="1" si="4"/>
        <v/>
      </c>
      <c r="AQ40" s="207" t="s">
        <v>303</v>
      </c>
      <c r="AR40" s="207" t="s">
        <v>141</v>
      </c>
      <c r="AS40" s="207">
        <v>18</v>
      </c>
      <c r="AT40" s="207" t="s">
        <v>304</v>
      </c>
      <c r="AV40" s="168">
        <f t="shared" ca="1" si="5"/>
        <v>30</v>
      </c>
      <c r="AW40" s="168">
        <f ca="1">COUNTIF( AV$7:AV40, AV40 )</f>
        <v>8</v>
      </c>
      <c r="AX40" s="208">
        <f t="shared" ca="1" si="22"/>
        <v>30.8</v>
      </c>
      <c r="AY40" s="168">
        <f t="shared" ca="1" si="6"/>
        <v>37</v>
      </c>
      <c r="AZ40" s="169"/>
      <c r="BA40" s="169"/>
      <c r="BC40" s="168">
        <f t="shared" ca="1" si="24"/>
        <v>34</v>
      </c>
      <c r="BD40" s="209">
        <f t="shared" ca="1" si="8"/>
        <v>25</v>
      </c>
      <c r="BF40" s="173" t="str">
        <f t="shared" ca="1" si="23"/>
        <v>IPALCO Enterprises, Inc.</v>
      </c>
      <c r="BG40" s="173" t="str">
        <f t="shared" ca="1" si="23"/>
        <v>BBB</v>
      </c>
      <c r="BH40" s="173">
        <f t="shared" ca="1" si="23"/>
        <v>18</v>
      </c>
      <c r="BI40" s="173" t="str">
        <f t="shared" ca="1" si="23"/>
        <v>**IPALCO</v>
      </c>
    </row>
    <row r="41" spans="1:61" ht="13.8" x14ac:dyDescent="0.25">
      <c r="A41" s="223" t="s">
        <v>297</v>
      </c>
      <c r="B41" s="224" t="s">
        <v>141</v>
      </c>
      <c r="C41" s="224">
        <v>18</v>
      </c>
      <c r="D41" s="224" t="s">
        <v>298</v>
      </c>
      <c r="E41" s="225" t="str">
        <f t="shared" ca="1" si="9"/>
        <v>R</v>
      </c>
      <c r="F41" s="348"/>
      <c r="G41" s="349">
        <f t="shared" ca="1" si="1"/>
        <v>32</v>
      </c>
      <c r="H41" s="350"/>
      <c r="I41" s="237"/>
      <c r="J41" s="191"/>
      <c r="K41" s="237"/>
      <c r="L41" s="173"/>
      <c r="N41" s="237"/>
      <c r="Q41" s="237"/>
      <c r="T41" s="237"/>
      <c r="W41" s="237"/>
      <c r="AF41" s="169">
        <f t="shared" ca="1" si="2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20"/>
        <v>41</v>
      </c>
      <c r="AK41" s="169" t="str">
        <f t="shared" ca="1" si="21"/>
        <v>BBB</v>
      </c>
      <c r="AL41" s="169">
        <f t="shared" ca="1" si="21"/>
        <v>18</v>
      </c>
      <c r="AM41" s="169" t="str">
        <f t="shared" ca="1" si="4"/>
        <v/>
      </c>
      <c r="AQ41" s="207" t="s">
        <v>285</v>
      </c>
      <c r="AR41" s="207" t="s">
        <v>140</v>
      </c>
      <c r="AS41" s="207">
        <v>19</v>
      </c>
      <c r="AT41" s="207" t="s">
        <v>286</v>
      </c>
      <c r="AV41" s="168">
        <f t="shared" ca="1" si="5"/>
        <v>11</v>
      </c>
      <c r="AW41" s="168">
        <f ca="1">COUNTIF( AV$7:AV41, AV41 )</f>
        <v>15</v>
      </c>
      <c r="AX41" s="208">
        <f t="shared" ca="1" si="22"/>
        <v>12.5</v>
      </c>
      <c r="AY41" s="168">
        <f t="shared" ca="1" si="6"/>
        <v>25</v>
      </c>
      <c r="AZ41" s="169"/>
      <c r="BA41" s="169"/>
      <c r="BC41" s="168">
        <f t="shared" ca="1" si="24"/>
        <v>35</v>
      </c>
      <c r="BD41" s="209">
        <f t="shared" ca="1" si="8"/>
        <v>29</v>
      </c>
      <c r="BF41" s="173" t="str">
        <f t="shared" ca="1" si="23"/>
        <v>NorthWestern Corporation</v>
      </c>
      <c r="BG41" s="173" t="str">
        <f t="shared" ca="1" si="23"/>
        <v>BBB</v>
      </c>
      <c r="BH41" s="173">
        <f t="shared" ca="1" si="23"/>
        <v>18</v>
      </c>
      <c r="BI41" s="173" t="str">
        <f t="shared" ca="1" si="23"/>
        <v>NWE</v>
      </c>
    </row>
    <row r="42" spans="1:61" ht="13.8" x14ac:dyDescent="0.25">
      <c r="A42" s="223" t="s">
        <v>299</v>
      </c>
      <c r="B42" s="224" t="s">
        <v>141</v>
      </c>
      <c r="C42" s="224">
        <v>18</v>
      </c>
      <c r="D42" s="224" t="s">
        <v>300</v>
      </c>
      <c r="E42" s="225" t="str">
        <f t="shared" ca="1" si="9"/>
        <v>R</v>
      </c>
      <c r="F42" s="348"/>
      <c r="G42" s="349">
        <f t="shared" ca="1" si="1"/>
        <v>34</v>
      </c>
      <c r="H42" s="350"/>
      <c r="I42" s="237"/>
      <c r="J42" s="191"/>
      <c r="K42" s="237"/>
      <c r="L42" s="173"/>
      <c r="N42" s="237"/>
      <c r="Q42" s="237"/>
      <c r="T42" s="237"/>
      <c r="W42" s="237"/>
      <c r="AF42" s="169">
        <f t="shared" ca="1" si="2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20"/>
        <v>42</v>
      </c>
      <c r="AK42" s="169" t="str">
        <f t="shared" ca="1" si="21"/>
        <v>BBB</v>
      </c>
      <c r="AL42" s="169">
        <f t="shared" ca="1" si="21"/>
        <v>18</v>
      </c>
      <c r="AM42" s="169" t="str">
        <f t="shared" ca="1" si="4"/>
        <v/>
      </c>
      <c r="AQ42" s="207" t="s">
        <v>243</v>
      </c>
      <c r="AR42" s="207" t="s">
        <v>139</v>
      </c>
      <c r="AS42" s="207">
        <v>20</v>
      </c>
      <c r="AT42" s="207" t="s">
        <v>244</v>
      </c>
      <c r="AV42" s="168">
        <f t="shared" ca="1" si="5"/>
        <v>2</v>
      </c>
      <c r="AW42" s="168">
        <f ca="1">COUNTIF( AV$7:AV42, AV42 )</f>
        <v>7</v>
      </c>
      <c r="AX42" s="208">
        <f t="shared" ca="1" si="22"/>
        <v>2.7</v>
      </c>
      <c r="AY42" s="168">
        <f t="shared" ca="1" si="6"/>
        <v>8</v>
      </c>
      <c r="AZ42" s="169"/>
      <c r="BA42" s="169"/>
      <c r="BC42" s="168">
        <f t="shared" ca="1" si="24"/>
        <v>36</v>
      </c>
      <c r="BD42" s="209">
        <f t="shared" ca="1" si="8"/>
        <v>31</v>
      </c>
      <c r="BF42" s="173" t="str">
        <f t="shared" ca="1" si="23"/>
        <v>Otter Tail Corporation</v>
      </c>
      <c r="BG42" s="173" t="str">
        <f t="shared" ca="1" si="23"/>
        <v>BBB</v>
      </c>
      <c r="BH42" s="173">
        <f t="shared" ca="1" si="23"/>
        <v>18</v>
      </c>
      <c r="BI42" s="173" t="str">
        <f t="shared" ca="1" si="23"/>
        <v>OTTR</v>
      </c>
    </row>
    <row r="43" spans="1:61" ht="13.8" x14ac:dyDescent="0.25">
      <c r="A43" s="223" t="s">
        <v>303</v>
      </c>
      <c r="B43" s="224" t="s">
        <v>141</v>
      </c>
      <c r="C43" s="224">
        <v>18</v>
      </c>
      <c r="D43" s="224" t="s">
        <v>304</v>
      </c>
      <c r="E43" s="225" t="str">
        <f t="shared" ca="1" si="9"/>
        <v>R</v>
      </c>
      <c r="F43" s="348"/>
      <c r="G43" s="349">
        <f t="shared" ca="1" si="1"/>
        <v>37</v>
      </c>
      <c r="H43" s="350"/>
      <c r="I43" s="237"/>
      <c r="J43" s="191"/>
      <c r="K43" s="237"/>
      <c r="N43" s="237"/>
      <c r="Q43" s="237"/>
      <c r="T43" s="237"/>
      <c r="W43" s="237"/>
      <c r="AF43" s="169">
        <f t="shared" ca="1" si="2"/>
        <v>0</v>
      </c>
      <c r="AG43" s="169" t="str">
        <f t="shared" ca="1" si="3"/>
        <v/>
      </c>
      <c r="AH43" s="169" t="str">
        <f t="shared" ca="1" si="19"/>
        <v/>
      </c>
      <c r="AJ43" s="169">
        <f t="shared" ca="1" si="20"/>
        <v>43</v>
      </c>
      <c r="AK43" s="169" t="str">
        <f t="shared" ca="1" si="21"/>
        <v>BBB</v>
      </c>
      <c r="AL43" s="169">
        <f t="shared" ca="1" si="21"/>
        <v>18</v>
      </c>
      <c r="AM43" s="169" t="str">
        <f t="shared" ca="1" si="4"/>
        <v/>
      </c>
      <c r="AQ43" s="207" t="s">
        <v>289</v>
      </c>
      <c r="AR43" s="207" t="s">
        <v>140</v>
      </c>
      <c r="AS43" s="207">
        <v>19</v>
      </c>
      <c r="AT43" s="207" t="s">
        <v>290</v>
      </c>
      <c r="AV43" s="168">
        <f t="shared" ca="1" si="5"/>
        <v>11</v>
      </c>
      <c r="AW43" s="168">
        <f ca="1">COUNTIF( AV$7:AV43, AV43 )</f>
        <v>16</v>
      </c>
      <c r="AX43" s="208">
        <f t="shared" ca="1" si="22"/>
        <v>12.6</v>
      </c>
      <c r="AY43" s="168">
        <f t="shared" ca="1" si="6"/>
        <v>26</v>
      </c>
      <c r="AZ43" s="169"/>
      <c r="BA43" s="169"/>
      <c r="BC43" s="168">
        <f t="shared" ca="1" si="24"/>
        <v>37</v>
      </c>
      <c r="BD43" s="209">
        <f t="shared" ca="1" si="8"/>
        <v>34</v>
      </c>
      <c r="BF43" s="173" t="str">
        <f t="shared" ca="1" si="23"/>
        <v>PNM Resources, Inc.</v>
      </c>
      <c r="BG43" s="173" t="str">
        <f t="shared" ca="1" si="23"/>
        <v>BBB</v>
      </c>
      <c r="BH43" s="173">
        <f t="shared" ca="1" si="23"/>
        <v>18</v>
      </c>
      <c r="BI43" s="173" t="str">
        <f t="shared" ca="1" si="23"/>
        <v>PNM</v>
      </c>
    </row>
    <row r="44" spans="1:61" ht="13.8" x14ac:dyDescent="0.25">
      <c r="A44" s="223" t="s">
        <v>254</v>
      </c>
      <c r="B44" s="224" t="s">
        <v>142</v>
      </c>
      <c r="C44" s="224">
        <v>17</v>
      </c>
      <c r="D44" s="224" t="s">
        <v>255</v>
      </c>
      <c r="E44" s="225" t="str">
        <f t="shared" ca="1" si="9"/>
        <v>R</v>
      </c>
      <c r="F44" s="348"/>
      <c r="G44" s="349">
        <f t="shared" ca="1" si="1"/>
        <v>53</v>
      </c>
      <c r="H44" s="350"/>
      <c r="I44" s="237"/>
      <c r="J44" s="191"/>
      <c r="K44" s="237"/>
      <c r="N44" s="237"/>
      <c r="Q44" s="237"/>
      <c r="T44" s="237"/>
      <c r="W44" s="237"/>
      <c r="AF44" s="169">
        <f t="shared" ca="1" si="2"/>
        <v>1</v>
      </c>
      <c r="AG44" s="169" t="str">
        <f t="shared" ca="1" si="3"/>
        <v/>
      </c>
      <c r="AH44" s="169" t="str">
        <f t="shared" ca="1" si="19"/>
        <v/>
      </c>
      <c r="AJ44" s="169">
        <f t="shared" ca="1" si="20"/>
        <v>44</v>
      </c>
      <c r="AK44" s="169" t="str">
        <f t="shared" ca="1" si="21"/>
        <v>BBB-</v>
      </c>
      <c r="AL44" s="169">
        <f t="shared" ca="1" si="21"/>
        <v>17</v>
      </c>
      <c r="AM44" s="169" t="str">
        <f t="shared" ca="1" si="4"/>
        <v/>
      </c>
      <c r="AQ44" s="207" t="s">
        <v>305</v>
      </c>
      <c r="AR44" s="207" t="s">
        <v>142</v>
      </c>
      <c r="AS44" s="207">
        <v>17</v>
      </c>
      <c r="AT44" s="207" t="s">
        <v>306</v>
      </c>
      <c r="AV44" s="168">
        <f t="shared" ca="1" si="5"/>
        <v>38</v>
      </c>
      <c r="AW44" s="168">
        <f ca="1">COUNTIF( AV$7:AV44, AV44 )</f>
        <v>4</v>
      </c>
      <c r="AX44" s="208">
        <f t="shared" ca="1" si="22"/>
        <v>38.4</v>
      </c>
      <c r="AY44" s="168">
        <f t="shared" ca="1" si="6"/>
        <v>41</v>
      </c>
      <c r="AZ44" s="169"/>
      <c r="BA44" s="169"/>
      <c r="BC44" s="168">
        <f t="shared" ca="1" si="24"/>
        <v>38</v>
      </c>
      <c r="BD44" s="209">
        <f t="shared" ca="1" si="8"/>
        <v>10</v>
      </c>
      <c r="BF44" s="173" t="str">
        <f t="shared" ca="1" si="23"/>
        <v>Cleco Corporation</v>
      </c>
      <c r="BG44" s="173" t="str">
        <f t="shared" ca="1" si="23"/>
        <v>BBB-</v>
      </c>
      <c r="BH44" s="173">
        <f t="shared" ca="1" si="23"/>
        <v>17</v>
      </c>
      <c r="BI44" s="173" t="str">
        <f t="shared" ca="1" si="23"/>
        <v>**CNL</v>
      </c>
    </row>
    <row r="45" spans="1:61" ht="13.8" x14ac:dyDescent="0.25">
      <c r="A45" s="223" t="s">
        <v>275</v>
      </c>
      <c r="B45" s="224" t="s">
        <v>142</v>
      </c>
      <c r="C45" s="224">
        <v>17</v>
      </c>
      <c r="D45" s="224" t="s">
        <v>276</v>
      </c>
      <c r="E45" s="225" t="str">
        <f t="shared" ca="1" si="9"/>
        <v>R</v>
      </c>
      <c r="F45" s="348"/>
      <c r="G45" s="349">
        <f t="shared" ca="1" si="1"/>
        <v>25</v>
      </c>
      <c r="H45" s="350"/>
      <c r="I45" s="237"/>
      <c r="J45" s="191"/>
      <c r="K45" s="237"/>
      <c r="N45" s="237"/>
      <c r="Q45" s="237"/>
      <c r="T45" s="237"/>
      <c r="W45" s="237"/>
      <c r="AF45" s="169">
        <f t="shared" ca="1" si="2"/>
        <v>1</v>
      </c>
      <c r="AG45" s="169">
        <f t="shared" ca="1" si="3"/>
        <v>1</v>
      </c>
      <c r="AH45" s="169" t="str">
        <f t="shared" ca="1" si="19"/>
        <v/>
      </c>
      <c r="AJ45" s="169">
        <f t="shared" ca="1" si="20"/>
        <v>48</v>
      </c>
      <c r="AK45" s="169" t="str">
        <f t="shared" ca="1" si="21"/>
        <v>BB</v>
      </c>
      <c r="AL45" s="169">
        <f t="shared" ca="1" si="21"/>
        <v>15</v>
      </c>
      <c r="AM45" s="169" t="str">
        <f t="shared" ca="1" si="4"/>
        <v>Change</v>
      </c>
      <c r="AQ45" s="207" t="s">
        <v>291</v>
      </c>
      <c r="AR45" s="207" t="s">
        <v>140</v>
      </c>
      <c r="AS45" s="207">
        <v>19</v>
      </c>
      <c r="AT45" s="207" t="s">
        <v>292</v>
      </c>
      <c r="AV45" s="168">
        <f t="shared" ca="1" si="5"/>
        <v>11</v>
      </c>
      <c r="AW45" s="168">
        <f ca="1">COUNTIF( AV$7:AV45, AV45 )</f>
        <v>17</v>
      </c>
      <c r="AX45" s="208">
        <f t="shared" ca="1" si="22"/>
        <v>12.7</v>
      </c>
      <c r="AY45" s="168">
        <f t="shared" ca="1" si="6"/>
        <v>27</v>
      </c>
      <c r="AZ45" s="169"/>
      <c r="BA45" s="169"/>
      <c r="BC45" s="168">
        <f t="shared" ca="1" si="24"/>
        <v>39</v>
      </c>
      <c r="BD45" s="209">
        <f t="shared" ca="1" si="8"/>
        <v>22</v>
      </c>
      <c r="BF45" s="173" t="str">
        <f t="shared" ca="1" si="23"/>
        <v>FirstEnergy Corp.</v>
      </c>
      <c r="BG45" s="173" t="str">
        <f t="shared" ca="1" si="23"/>
        <v>BBB-</v>
      </c>
      <c r="BH45" s="173">
        <f t="shared" ca="1" si="23"/>
        <v>17</v>
      </c>
      <c r="BI45" s="173" t="str">
        <f t="shared" ca="1" si="23"/>
        <v>FE</v>
      </c>
    </row>
    <row r="46" spans="1:61" ht="13.8" x14ac:dyDescent="0.25">
      <c r="A46" s="223" t="s">
        <v>279</v>
      </c>
      <c r="B46" s="224" t="s">
        <v>142</v>
      </c>
      <c r="C46" s="224">
        <v>17</v>
      </c>
      <c r="D46" s="224" t="s">
        <v>280</v>
      </c>
      <c r="E46" s="225" t="str">
        <f t="shared" ca="1" si="9"/>
        <v>MR</v>
      </c>
      <c r="F46" s="348"/>
      <c r="G46" s="349">
        <f t="shared" ca="1" si="1"/>
        <v>26</v>
      </c>
      <c r="H46" s="350"/>
      <c r="I46" s="191"/>
      <c r="K46" s="191"/>
      <c r="N46" s="351"/>
      <c r="W46" s="191"/>
      <c r="AF46" s="169">
        <f t="shared" ca="1" si="2"/>
        <v>1</v>
      </c>
      <c r="AG46" s="169" t="str">
        <f t="shared" ca="1" si="3"/>
        <v/>
      </c>
      <c r="AH46" s="169" t="str">
        <f t="shared" ca="1" si="19"/>
        <v/>
      </c>
      <c r="AJ46" s="169">
        <f t="shared" ca="1" si="20"/>
        <v>45</v>
      </c>
      <c r="AK46" s="169" t="str">
        <f t="shared" ca="1" si="21"/>
        <v>BBB-</v>
      </c>
      <c r="AL46" s="169">
        <f t="shared" ca="1" si="21"/>
        <v>17</v>
      </c>
      <c r="AM46" s="169" t="str">
        <f t="shared" ca="1" si="4"/>
        <v/>
      </c>
      <c r="AQ46" s="207" t="s">
        <v>293</v>
      </c>
      <c r="AR46" s="207" t="s">
        <v>140</v>
      </c>
      <c r="AS46" s="207">
        <v>19</v>
      </c>
      <c r="AT46" s="207" t="s">
        <v>294</v>
      </c>
      <c r="AV46" s="168">
        <f t="shared" ca="1" si="5"/>
        <v>11</v>
      </c>
      <c r="AW46" s="168">
        <f ca="1">COUNTIF( AV$7:AV46, AV46 )</f>
        <v>18</v>
      </c>
      <c r="AX46" s="208">
        <f t="shared" ca="1" si="22"/>
        <v>12.8</v>
      </c>
      <c r="AY46" s="168">
        <f t="shared" ca="1" si="6"/>
        <v>28</v>
      </c>
      <c r="AZ46" s="169"/>
      <c r="BA46" s="169"/>
      <c r="BC46" s="168">
        <f t="shared" ca="1" si="24"/>
        <v>40</v>
      </c>
      <c r="BD46" s="209">
        <f t="shared" ca="1" si="8"/>
        <v>23</v>
      </c>
      <c r="BF46" s="173" t="str">
        <f t="shared" ca="1" si="23"/>
        <v>Hawaiian Electric Industries, Inc.</v>
      </c>
      <c r="BG46" s="173" t="str">
        <f t="shared" ca="1" si="23"/>
        <v>BBB-</v>
      </c>
      <c r="BH46" s="173">
        <f t="shared" ca="1" si="23"/>
        <v>17</v>
      </c>
      <c r="BI46" s="173" t="str">
        <f t="shared" ca="1" si="23"/>
        <v>HE</v>
      </c>
    </row>
    <row r="47" spans="1:61" ht="13.8" x14ac:dyDescent="0.25">
      <c r="A47" s="223" t="s">
        <v>305</v>
      </c>
      <c r="B47" s="224" t="s">
        <v>142</v>
      </c>
      <c r="C47" s="224">
        <v>17</v>
      </c>
      <c r="D47" s="224" t="s">
        <v>306</v>
      </c>
      <c r="E47" s="225" t="str">
        <f t="shared" ca="1" si="9"/>
        <v>R</v>
      </c>
      <c r="F47" s="348"/>
      <c r="G47" s="349">
        <f t="shared" ca="1" si="1"/>
        <v>57</v>
      </c>
      <c r="H47" s="350"/>
      <c r="I47" s="350"/>
      <c r="J47" s="187" t="s">
        <v>307</v>
      </c>
      <c r="K47" s="191"/>
      <c r="M47" s="351"/>
      <c r="N47" s="351"/>
      <c r="AF47" s="169">
        <f t="shared" ca="1" si="2"/>
        <v>1</v>
      </c>
      <c r="AG47" s="169" t="str">
        <f t="shared" ca="1" si="3"/>
        <v/>
      </c>
      <c r="AH47" s="169" t="str">
        <f t="shared" ca="1" si="19"/>
        <v/>
      </c>
      <c r="AJ47" s="169">
        <f t="shared" ca="1" si="20"/>
        <v>46</v>
      </c>
      <c r="AK47" s="169" t="str">
        <f t="shared" ca="1" si="21"/>
        <v>BBB-</v>
      </c>
      <c r="AL47" s="169">
        <f t="shared" ca="1" si="21"/>
        <v>17</v>
      </c>
      <c r="AM47" s="169" t="str">
        <f t="shared" ca="1" si="4"/>
        <v/>
      </c>
      <c r="AQ47" s="207" t="s">
        <v>295</v>
      </c>
      <c r="AR47" s="207" t="s">
        <v>140</v>
      </c>
      <c r="AS47" s="207">
        <v>19</v>
      </c>
      <c r="AT47" s="207" t="s">
        <v>296</v>
      </c>
      <c r="AV47" s="168">
        <f t="shared" ca="1" si="5"/>
        <v>11</v>
      </c>
      <c r="AW47" s="168">
        <f ca="1">COUNTIF( AV$7:AV47, AV47 )</f>
        <v>19</v>
      </c>
      <c r="AX47" s="208">
        <f t="shared" ca="1" si="22"/>
        <v>12.9</v>
      </c>
      <c r="AY47" s="168">
        <f t="shared" ca="1" si="6"/>
        <v>29</v>
      </c>
      <c r="AZ47" s="169"/>
      <c r="BA47" s="169"/>
      <c r="BC47" s="168">
        <f t="shared" ca="1" si="24"/>
        <v>41</v>
      </c>
      <c r="BD47" s="209">
        <f t="shared" ca="1" si="8"/>
        <v>38</v>
      </c>
      <c r="BF47" s="173" t="str">
        <f t="shared" ca="1" si="23"/>
        <v>Puget Energy, Inc.</v>
      </c>
      <c r="BG47" s="173" t="str">
        <f t="shared" ca="1" si="23"/>
        <v>BBB-</v>
      </c>
      <c r="BH47" s="173">
        <f t="shared" ca="1" si="23"/>
        <v>17</v>
      </c>
      <c r="BI47" s="173" t="str">
        <f t="shared" ca="1" si="23"/>
        <v>**PSD</v>
      </c>
    </row>
    <row r="48" spans="1:61" ht="13.8" x14ac:dyDescent="0.25">
      <c r="A48" s="223" t="s">
        <v>259</v>
      </c>
      <c r="B48" s="224" t="s">
        <v>173</v>
      </c>
      <c r="C48" s="224">
        <v>16</v>
      </c>
      <c r="D48" s="224" t="s">
        <v>260</v>
      </c>
      <c r="E48" s="225" t="str">
        <f t="shared" ca="1" si="9"/>
        <v>R</v>
      </c>
      <c r="F48" s="348"/>
      <c r="G48" s="349">
        <f t="shared" ca="1" si="1"/>
        <v>54</v>
      </c>
      <c r="H48" s="350"/>
      <c r="I48" s="350"/>
      <c r="K48" s="191"/>
      <c r="M48" s="351"/>
      <c r="N48" s="351"/>
      <c r="AF48" s="169">
        <f t="shared" ca="1" si="2"/>
        <v>0</v>
      </c>
      <c r="AG48" s="169" t="str">
        <f t="shared" ca="1" si="3"/>
        <v/>
      </c>
      <c r="AH48" s="169" t="str">
        <f t="shared" ca="1" si="19"/>
        <v/>
      </c>
      <c r="AJ48" s="169">
        <f t="shared" ca="1" si="20"/>
        <v>47</v>
      </c>
      <c r="AK48" s="169" t="str">
        <f t="shared" ca="1" si="21"/>
        <v>BB+</v>
      </c>
      <c r="AL48" s="169">
        <f t="shared" ca="1" si="21"/>
        <v>16</v>
      </c>
      <c r="AM48" s="169" t="str">
        <f t="shared" ca="1" si="4"/>
        <v/>
      </c>
      <c r="AQ48" s="207" t="s">
        <v>247</v>
      </c>
      <c r="AR48" s="207" t="s">
        <v>139</v>
      </c>
      <c r="AS48" s="207">
        <v>20</v>
      </c>
      <c r="AT48" s="207" t="s">
        <v>248</v>
      </c>
      <c r="AV48" s="168">
        <f t="shared" ca="1" si="5"/>
        <v>2</v>
      </c>
      <c r="AW48" s="168">
        <f ca="1">COUNTIF( AV$7:AV48, AV48 )</f>
        <v>8</v>
      </c>
      <c r="AX48" s="208">
        <f t="shared" ca="1" si="22"/>
        <v>2.8</v>
      </c>
      <c r="AY48" s="168">
        <f t="shared" ca="1" si="6"/>
        <v>9</v>
      </c>
      <c r="AZ48" s="169"/>
      <c r="BA48" s="169"/>
      <c r="BC48" s="168">
        <f t="shared" ca="1" si="24"/>
        <v>42</v>
      </c>
      <c r="BD48" s="209">
        <f t="shared" ca="1" si="8"/>
        <v>14</v>
      </c>
      <c r="BF48" s="173" t="str">
        <f t="shared" ca="1" si="23"/>
        <v>DPL Inc.</v>
      </c>
      <c r="BG48" s="173" t="str">
        <f t="shared" ca="1" si="23"/>
        <v>BB+</v>
      </c>
      <c r="BH48" s="173">
        <f t="shared" ca="1" si="23"/>
        <v>16</v>
      </c>
      <c r="BI48" s="173" t="str">
        <f t="shared" ca="1" si="23"/>
        <v>**DPL</v>
      </c>
    </row>
    <row r="49" spans="1:61" ht="13.8" x14ac:dyDescent="0.25">
      <c r="A49" s="223" t="s">
        <v>301</v>
      </c>
      <c r="B49" s="224" t="s">
        <v>177</v>
      </c>
      <c r="C49" s="224">
        <v>14</v>
      </c>
      <c r="D49" s="224" t="s">
        <v>302</v>
      </c>
      <c r="E49" s="225" t="str">
        <f t="shared" ca="1" si="9"/>
        <v>R</v>
      </c>
      <c r="F49" s="348"/>
      <c r="G49" s="349">
        <f t="shared" ca="1" si="1"/>
        <v>35</v>
      </c>
      <c r="H49" s="350"/>
      <c r="I49" s="350"/>
      <c r="J49" s="191"/>
      <c r="K49" s="191"/>
      <c r="M49" s="351"/>
      <c r="N49" s="351"/>
      <c r="AF49" s="169">
        <f t="shared" ca="1" si="2"/>
        <v>1</v>
      </c>
      <c r="AG49" s="169" t="str">
        <f t="shared" ca="1" si="3"/>
        <v/>
      </c>
      <c r="AH49" s="169" t="str">
        <f t="shared" ca="1" si="19"/>
        <v/>
      </c>
      <c r="AJ49" s="169">
        <f t="shared" ca="1" si="20"/>
        <v>49</v>
      </c>
      <c r="AK49" s="169" t="str">
        <f t="shared" ca="1" si="21"/>
        <v>BB-</v>
      </c>
      <c r="AL49" s="169">
        <f t="shared" ca="1" si="21"/>
        <v>14</v>
      </c>
      <c r="AM49" s="169" t="str">
        <f t="shared" ca="1" si="4"/>
        <v/>
      </c>
      <c r="AQ49" s="207" t="s">
        <v>251</v>
      </c>
      <c r="AR49" s="207" t="s">
        <v>139</v>
      </c>
      <c r="AS49" s="207">
        <v>20</v>
      </c>
      <c r="AT49" s="207" t="s">
        <v>252</v>
      </c>
      <c r="AV49" s="168">
        <f t="shared" ca="1" si="5"/>
        <v>2</v>
      </c>
      <c r="AW49" s="168">
        <f ca="1">COUNTIF( AV$7:AV49, AV49 )</f>
        <v>9</v>
      </c>
      <c r="AX49" s="208">
        <f t="shared" ca="1" si="22"/>
        <v>2.9</v>
      </c>
      <c r="AY49" s="168">
        <f t="shared" ca="1" si="6"/>
        <v>10</v>
      </c>
      <c r="AZ49" s="169"/>
      <c r="BA49" s="169"/>
      <c r="BC49" s="168">
        <f t="shared" ca="1" si="24"/>
        <v>43</v>
      </c>
      <c r="BD49" s="209">
        <f t="shared" ca="1" si="8"/>
        <v>32</v>
      </c>
      <c r="BF49" s="173" t="str">
        <f t="shared" ca="1" si="23"/>
        <v>PG&amp;E Corporation</v>
      </c>
      <c r="BG49" s="173" t="str">
        <f t="shared" ca="1" si="23"/>
        <v>BB-</v>
      </c>
      <c r="BH49" s="173">
        <f t="shared" ca="1" si="23"/>
        <v>14</v>
      </c>
      <c r="BI49" s="173" t="str">
        <f t="shared" ca="1" si="23"/>
        <v>PCG</v>
      </c>
    </row>
    <row r="50" spans="1:61" ht="13.8" x14ac:dyDescent="0.25">
      <c r="A50" s="223"/>
      <c r="B50" s="224"/>
      <c r="C50" s="224"/>
      <c r="D50" s="224"/>
      <c r="E50" s="225"/>
      <c r="F50" s="348"/>
      <c r="G50" s="349"/>
      <c r="H50" s="350"/>
      <c r="I50" s="350"/>
      <c r="J50" s="191"/>
      <c r="K50" s="191"/>
      <c r="M50" s="351"/>
      <c r="N50" s="351"/>
      <c r="AF50" s="169">
        <f t="shared" ca="1" si="2"/>
        <v>0</v>
      </c>
      <c r="AG50" s="169" t="str">
        <f t="shared" ca="1" si="3"/>
        <v/>
      </c>
      <c r="AH50" s="169" t="str">
        <f t="shared" ca="1" si="19"/>
        <v/>
      </c>
      <c r="AJ50" s="169" t="e">
        <f t="shared" ca="1" si="20"/>
        <v>#N/A</v>
      </c>
      <c r="AK50" s="169" t="str">
        <f t="shared" ca="1" si="21"/>
        <v/>
      </c>
      <c r="AL50" s="169" t="str">
        <f t="shared" ca="1" si="21"/>
        <v/>
      </c>
      <c r="AM50" s="169" t="str">
        <f t="shared" ca="1" si="4"/>
        <v/>
      </c>
      <c r="AQ50" s="207"/>
      <c r="AR50" s="207"/>
      <c r="AS50" s="207"/>
      <c r="AT50" s="207"/>
      <c r="AV50" s="168">
        <f t="shared" ca="1" si="5"/>
        <v>99</v>
      </c>
      <c r="AW50" s="168">
        <f ca="1">COUNTIF( AV$7:AV50, AV50 )</f>
        <v>1</v>
      </c>
      <c r="AX50" s="208">
        <f t="shared" ca="1" si="22"/>
        <v>99.1</v>
      </c>
      <c r="AY50" s="168">
        <f t="shared" ca="1" si="6"/>
        <v>44</v>
      </c>
      <c r="AZ50" s="169"/>
      <c r="BA50" s="169"/>
      <c r="BC50" s="168">
        <f t="shared" ca="1" si="24"/>
        <v>44</v>
      </c>
      <c r="BD50" s="209">
        <f t="shared" ca="1" si="8"/>
        <v>44</v>
      </c>
      <c r="BF50" s="173">
        <f t="shared" ca="1" si="23"/>
        <v>0</v>
      </c>
      <c r="BG50" s="173">
        <f t="shared" ca="1" si="23"/>
        <v>0</v>
      </c>
      <c r="BH50" s="173">
        <f t="shared" ca="1" si="23"/>
        <v>0</v>
      </c>
      <c r="BI50" s="173">
        <f t="shared" ca="1" si="23"/>
        <v>0</v>
      </c>
    </row>
    <row r="51" spans="1:61" ht="13.8" x14ac:dyDescent="0.25">
      <c r="A51" s="223"/>
      <c r="B51" s="224"/>
      <c r="C51" s="224"/>
      <c r="D51" s="224"/>
      <c r="E51" s="225"/>
      <c r="F51" s="348"/>
      <c r="G51" s="349"/>
      <c r="H51" s="350"/>
      <c r="I51" s="350"/>
      <c r="J51" s="191"/>
      <c r="K51" s="191"/>
      <c r="M51" s="351"/>
      <c r="N51" s="351"/>
      <c r="AF51" s="169">
        <f t="shared" ca="1" si="2"/>
        <v>0</v>
      </c>
      <c r="AG51" s="169" t="str">
        <f t="shared" ca="1" si="3"/>
        <v/>
      </c>
      <c r="AH51" s="169" t="str">
        <f t="shared" ca="1" si="19"/>
        <v/>
      </c>
      <c r="AJ51" s="169" t="e">
        <f t="shared" ca="1" si="20"/>
        <v>#N/A</v>
      </c>
      <c r="AK51" s="169" t="str">
        <f t="shared" ca="1" si="21"/>
        <v/>
      </c>
      <c r="AL51" s="169" t="str">
        <f t="shared" ca="1" si="21"/>
        <v/>
      </c>
      <c r="AM51" s="169" t="str">
        <f t="shared" ca="1" si="4"/>
        <v/>
      </c>
      <c r="AQ51" s="207"/>
      <c r="AR51" s="207"/>
      <c r="AS51" s="207"/>
      <c r="AT51" s="207"/>
      <c r="AV51" s="168">
        <f t="shared" ca="1" si="5"/>
        <v>99</v>
      </c>
      <c r="AW51" s="168">
        <f ca="1">COUNTIF( AV$7:AV51, AV51 )</f>
        <v>2</v>
      </c>
      <c r="AX51" s="208">
        <f t="shared" ca="1" si="22"/>
        <v>99.2</v>
      </c>
      <c r="AY51" s="168">
        <f t="shared" ca="1" si="6"/>
        <v>45</v>
      </c>
      <c r="AZ51" s="169"/>
      <c r="BA51" s="169"/>
      <c r="BC51" s="168">
        <f t="shared" ca="1" si="24"/>
        <v>45</v>
      </c>
      <c r="BD51" s="209">
        <f t="shared" ca="1" si="8"/>
        <v>45</v>
      </c>
      <c r="BF51" s="173">
        <f t="shared" ref="BF51:BI63" ca="1" si="25">OFFSET( AQ$6, $BD52, 0 )</f>
        <v>0</v>
      </c>
      <c r="BG51" s="173">
        <f t="shared" ca="1" si="25"/>
        <v>0</v>
      </c>
      <c r="BH51" s="173">
        <f t="shared" ca="1" si="25"/>
        <v>0</v>
      </c>
      <c r="BI51" s="173">
        <f t="shared" ca="1" si="25"/>
        <v>0</v>
      </c>
    </row>
    <row r="52" spans="1:61" ht="13.8" x14ac:dyDescent="0.25">
      <c r="A52" s="223"/>
      <c r="B52" s="224"/>
      <c r="C52" s="224"/>
      <c r="D52" s="224"/>
      <c r="E52" s="225"/>
      <c r="F52" s="348"/>
      <c r="G52" s="349"/>
      <c r="H52" s="350"/>
      <c r="I52" s="350"/>
      <c r="J52" s="191"/>
      <c r="K52" s="191"/>
      <c r="AF52" s="169">
        <f t="shared" ca="1" si="2"/>
        <v>0</v>
      </c>
      <c r="AG52" s="169" t="str">
        <f t="shared" ca="1" si="3"/>
        <v/>
      </c>
      <c r="AH52" s="169" t="str">
        <f t="shared" ca="1" si="19"/>
        <v/>
      </c>
      <c r="AJ52" s="169" t="e">
        <f t="shared" ca="1" si="20"/>
        <v>#N/A</v>
      </c>
      <c r="AK52" s="169" t="str">
        <f t="shared" ca="1" si="21"/>
        <v/>
      </c>
      <c r="AL52" s="169" t="str">
        <f t="shared" ca="1" si="21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ca="1" si="5"/>
        <v>99</v>
      </c>
      <c r="AW52" s="168">
        <f ca="1">COUNTIF( AV$7:AV52, AV52 )</f>
        <v>3</v>
      </c>
      <c r="AX52" s="208">
        <f t="shared" ca="1" si="22"/>
        <v>99.3</v>
      </c>
      <c r="AY52" s="168">
        <f t="shared" ca="1" si="6"/>
        <v>46</v>
      </c>
      <c r="AZ52" s="169"/>
      <c r="BA52" s="169"/>
      <c r="BC52" s="168">
        <f t="shared" ca="1" si="24"/>
        <v>46</v>
      </c>
      <c r="BD52" s="209">
        <f t="shared" ca="1" si="8"/>
        <v>46</v>
      </c>
      <c r="BF52" s="173">
        <f t="shared" ca="1" si="25"/>
        <v>0</v>
      </c>
      <c r="BG52" s="173">
        <f t="shared" ca="1" si="25"/>
        <v>0</v>
      </c>
      <c r="BH52" s="173">
        <f t="shared" ca="1" si="25"/>
        <v>0</v>
      </c>
      <c r="BI52" s="173">
        <f t="shared" ca="1" si="25"/>
        <v>0</v>
      </c>
    </row>
    <row r="53" spans="1:61" ht="13.8" x14ac:dyDescent="0.25">
      <c r="A53" s="223"/>
      <c r="B53" s="224"/>
      <c r="C53" s="224"/>
      <c r="D53" s="224"/>
      <c r="E53" s="225"/>
      <c r="F53" s="348"/>
      <c r="G53" s="349" t="str">
        <f t="shared" ca="1" si="1"/>
        <v/>
      </c>
      <c r="H53" s="350"/>
      <c r="I53" s="350"/>
      <c r="J53" s="191"/>
      <c r="K53" s="191"/>
      <c r="AF53" s="169">
        <f t="shared" ca="1" si="2"/>
        <v>0</v>
      </c>
      <c r="AG53" s="169" t="str">
        <f t="shared" ca="1" si="3"/>
        <v/>
      </c>
      <c r="AH53" s="169" t="str">
        <f t="shared" ca="1" si="19"/>
        <v/>
      </c>
      <c r="AJ53" s="169" t="e">
        <f t="shared" ca="1" si="20"/>
        <v>#N/A</v>
      </c>
      <c r="AK53" s="169" t="str">
        <f t="shared" ca="1" si="21"/>
        <v/>
      </c>
      <c r="AL53" s="169" t="str">
        <f t="shared" ca="1" si="21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ca="1" si="5"/>
        <v>99</v>
      </c>
      <c r="AW53" s="168">
        <f ca="1">COUNTIF( AV$7:AV53, AV53 )</f>
        <v>4</v>
      </c>
      <c r="AX53" s="208">
        <f t="shared" ca="1" si="22"/>
        <v>99.4</v>
      </c>
      <c r="AY53" s="168">
        <f t="shared" ca="1" si="6"/>
        <v>47</v>
      </c>
      <c r="AZ53" s="169"/>
      <c r="BA53" s="169"/>
      <c r="BC53" s="168">
        <f t="shared" ca="1" si="24"/>
        <v>47</v>
      </c>
      <c r="BD53" s="209">
        <f t="shared" ca="1" si="8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ht="13.8" x14ac:dyDescent="0.25">
      <c r="A54" s="223"/>
      <c r="B54" s="224"/>
      <c r="C54" s="224"/>
      <c r="D54" s="224"/>
      <c r="E54" s="225"/>
      <c r="F54" s="348"/>
      <c r="G54" s="349" t="str">
        <f t="shared" ca="1" si="1"/>
        <v/>
      </c>
      <c r="H54" s="350"/>
      <c r="I54" s="350"/>
      <c r="J54" s="191"/>
      <c r="K54" s="191"/>
      <c r="AF54" s="169">
        <f t="shared" ca="1" si="2"/>
        <v>0</v>
      </c>
      <c r="AG54" s="169" t="str">
        <f t="shared" ca="1" si="3"/>
        <v/>
      </c>
      <c r="AH54" s="169" t="str">
        <f t="shared" ca="1" si="19"/>
        <v/>
      </c>
      <c r="AJ54" s="169" t="e">
        <f t="shared" ca="1" si="20"/>
        <v>#N/A</v>
      </c>
      <c r="AK54" s="169" t="str">
        <f t="shared" ca="1" si="21"/>
        <v/>
      </c>
      <c r="AL54" s="169" t="str">
        <f t="shared" ca="1" si="21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ca="1" si="5"/>
        <v>99</v>
      </c>
      <c r="AW54" s="168">
        <f ca="1">COUNTIF( AV$7:AV54, AV54 )</f>
        <v>5</v>
      </c>
      <c r="AX54" s="208">
        <f t="shared" ca="1" si="22"/>
        <v>99.5</v>
      </c>
      <c r="AY54" s="168">
        <f t="shared" ca="1" si="6"/>
        <v>48</v>
      </c>
      <c r="AZ54" s="169"/>
      <c r="BA54" s="169"/>
      <c r="BC54" s="168">
        <f t="shared" ca="1" si="24"/>
        <v>48</v>
      </c>
      <c r="BD54" s="209">
        <f t="shared" ca="1" si="8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3.8" x14ac:dyDescent="0.25">
      <c r="A55" s="223"/>
      <c r="B55" s="224"/>
      <c r="C55" s="224"/>
      <c r="D55" s="224"/>
      <c r="E55" s="225"/>
      <c r="F55" s="348"/>
      <c r="G55" s="349" t="str">
        <f t="shared" ca="1" si="1"/>
        <v/>
      </c>
      <c r="H55" s="350"/>
      <c r="I55" s="350"/>
      <c r="J55" s="191"/>
      <c r="K55" s="191"/>
      <c r="AF55" s="169">
        <f t="shared" ca="1" si="2"/>
        <v>0</v>
      </c>
      <c r="AG55" s="169" t="str">
        <f t="shared" ca="1" si="3"/>
        <v/>
      </c>
      <c r="AH55" s="169" t="str">
        <f t="shared" ca="1" si="19"/>
        <v/>
      </c>
      <c r="AJ55" s="169" t="e">
        <f t="shared" ca="1" si="20"/>
        <v>#N/A</v>
      </c>
      <c r="AK55" s="169" t="str">
        <f t="shared" ca="1" si="21"/>
        <v/>
      </c>
      <c r="AL55" s="169" t="str">
        <f t="shared" ca="1" si="21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ca="1" si="5"/>
        <v>99</v>
      </c>
      <c r="AW55" s="168">
        <f ca="1">COUNTIF( AV$7:AV55, AV55 )</f>
        <v>6</v>
      </c>
      <c r="AX55" s="208">
        <f t="shared" ca="1" si="22"/>
        <v>99.6</v>
      </c>
      <c r="AY55" s="168">
        <f t="shared" ca="1" si="6"/>
        <v>49</v>
      </c>
      <c r="AZ55" s="169"/>
      <c r="BA55" s="169"/>
      <c r="BC55" s="168">
        <f t="shared" ca="1" si="24"/>
        <v>49</v>
      </c>
      <c r="BD55" s="209">
        <f t="shared" ca="1" si="8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3.8" x14ac:dyDescent="0.25">
      <c r="A56" s="223"/>
      <c r="B56" s="224"/>
      <c r="C56" s="224"/>
      <c r="D56" s="224"/>
      <c r="E56" s="225"/>
      <c r="F56" s="348"/>
      <c r="G56" s="349" t="str">
        <f t="shared" ca="1" si="1"/>
        <v/>
      </c>
      <c r="H56" s="350"/>
      <c r="I56" s="350"/>
      <c r="J56" s="191"/>
      <c r="K56" s="191"/>
      <c r="AF56" s="169">
        <f t="shared" ca="1" si="2"/>
        <v>0</v>
      </c>
      <c r="AG56" s="169" t="str">
        <f t="shared" ca="1" si="3"/>
        <v/>
      </c>
      <c r="AH56" s="169" t="str">
        <f t="shared" ca="1" si="19"/>
        <v/>
      </c>
      <c r="AJ56" s="169" t="e">
        <f t="shared" ca="1" si="20"/>
        <v>#N/A</v>
      </c>
      <c r="AK56" s="169" t="str">
        <f t="shared" ca="1" si="21"/>
        <v/>
      </c>
      <c r="AL56" s="169" t="str">
        <f t="shared" ca="1" si="21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ca="1" si="5"/>
        <v>99</v>
      </c>
      <c r="AW56" s="168">
        <f ca="1">COUNTIF( AV$7:AV56, AV56 )</f>
        <v>7</v>
      </c>
      <c r="AX56" s="208">
        <f t="shared" ca="1" si="22"/>
        <v>99.7</v>
      </c>
      <c r="AY56" s="168">
        <f t="shared" ca="1" si="6"/>
        <v>50</v>
      </c>
      <c r="AZ56" s="169"/>
      <c r="BA56" s="169"/>
      <c r="BC56" s="168">
        <f t="shared" ca="1" si="24"/>
        <v>50</v>
      </c>
      <c r="BD56" s="209">
        <f t="shared" ca="1" si="8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8" x14ac:dyDescent="0.25">
      <c r="A57" s="223"/>
      <c r="B57" s="224"/>
      <c r="C57" s="224"/>
      <c r="D57" s="224"/>
      <c r="E57" s="225"/>
      <c r="F57" s="348"/>
      <c r="G57" s="349" t="str">
        <f t="shared" ca="1" si="1"/>
        <v/>
      </c>
      <c r="H57" s="350"/>
      <c r="I57" s="350"/>
      <c r="J57" s="191"/>
      <c r="K57" s="191"/>
      <c r="AF57" s="169">
        <f t="shared" ca="1" si="2"/>
        <v>0</v>
      </c>
      <c r="AG57" s="169" t="str">
        <f t="shared" ca="1" si="3"/>
        <v/>
      </c>
      <c r="AH57" s="169" t="str">
        <f t="shared" ca="1" si="19"/>
        <v/>
      </c>
      <c r="AJ57" s="169" t="e">
        <f t="shared" ca="1" si="20"/>
        <v>#N/A</v>
      </c>
      <c r="AK57" s="169" t="str">
        <f t="shared" ca="1" si="21"/>
        <v/>
      </c>
      <c r="AL57" s="169" t="str">
        <f t="shared" ca="1" si="21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ca="1" si="5"/>
        <v>99</v>
      </c>
      <c r="AW57" s="168">
        <f ca="1">COUNTIF( AV$7:AV57, AV57 )</f>
        <v>8</v>
      </c>
      <c r="AX57" s="208">
        <f t="shared" ca="1" si="22"/>
        <v>99.8</v>
      </c>
      <c r="AY57" s="168">
        <f t="shared" ca="1" si="6"/>
        <v>51</v>
      </c>
      <c r="AZ57" s="169"/>
      <c r="BA57" s="169"/>
      <c r="BC57" s="168">
        <f t="shared" ca="1" si="24"/>
        <v>51</v>
      </c>
      <c r="BD57" s="209">
        <f t="shared" ca="1" si="8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8" x14ac:dyDescent="0.25">
      <c r="A58" s="223"/>
      <c r="B58" s="224"/>
      <c r="C58" s="224"/>
      <c r="D58" s="224"/>
      <c r="E58" s="225"/>
      <c r="F58" s="348"/>
      <c r="G58" s="349" t="str">
        <f t="shared" ca="1" si="1"/>
        <v/>
      </c>
      <c r="H58" s="350"/>
      <c r="I58" s="350"/>
      <c r="J58" s="191"/>
      <c r="K58" s="191"/>
      <c r="AF58" s="169">
        <f t="shared" ca="1" si="2"/>
        <v>0</v>
      </c>
      <c r="AG58" s="169" t="str">
        <f t="shared" ca="1" si="3"/>
        <v/>
      </c>
      <c r="AH58" s="169" t="str">
        <f t="shared" ca="1" si="19"/>
        <v/>
      </c>
      <c r="AJ58" s="169" t="e">
        <f t="shared" ca="1" si="20"/>
        <v>#N/A</v>
      </c>
      <c r="AK58" s="169" t="str">
        <f t="shared" ca="1" si="21"/>
        <v/>
      </c>
      <c r="AL58" s="169" t="str">
        <f t="shared" ca="1" si="21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ca="1" si="5"/>
        <v>99</v>
      </c>
      <c r="AW58" s="168">
        <f ca="1">COUNTIF( AV$7:AV58, AV58 )</f>
        <v>9</v>
      </c>
      <c r="AX58" s="208">
        <f t="shared" ca="1" si="22"/>
        <v>99.9</v>
      </c>
      <c r="AY58" s="168">
        <f t="shared" ca="1" si="6"/>
        <v>52</v>
      </c>
      <c r="AZ58" s="169"/>
      <c r="BA58" s="169"/>
      <c r="BC58" s="168">
        <f t="shared" ca="1" si="24"/>
        <v>52</v>
      </c>
      <c r="BD58" s="209">
        <f t="shared" ca="1" si="8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8" x14ac:dyDescent="0.25">
      <c r="A59" s="223"/>
      <c r="B59" s="224"/>
      <c r="C59" s="224"/>
      <c r="D59" s="224"/>
      <c r="E59" s="225" t="str">
        <f t="shared" ca="1" si="9"/>
        <v/>
      </c>
      <c r="F59" s="348"/>
      <c r="G59" s="349" t="str">
        <f t="shared" ca="1" si="1"/>
        <v/>
      </c>
      <c r="H59" s="350"/>
      <c r="I59" s="350"/>
      <c r="J59" s="191"/>
      <c r="K59" s="191"/>
      <c r="AF59" s="169">
        <f t="shared" ca="1" si="2"/>
        <v>0</v>
      </c>
      <c r="AG59" s="169" t="str">
        <f t="shared" ca="1" si="3"/>
        <v/>
      </c>
      <c r="AH59" s="169" t="str">
        <f t="shared" ca="1" si="19"/>
        <v/>
      </c>
      <c r="AJ59" s="169" t="e">
        <f t="shared" ca="1" si="20"/>
        <v>#N/A</v>
      </c>
      <c r="AK59" s="169" t="str">
        <f t="shared" ca="1" si="21"/>
        <v/>
      </c>
      <c r="AL59" s="169" t="str">
        <f t="shared" ca="1" si="21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ca="1" si="5"/>
        <v>99</v>
      </c>
      <c r="AW59" s="168">
        <f ca="1">COUNTIF( AV$7:AV59, AV59 )</f>
        <v>10</v>
      </c>
      <c r="AX59" s="208">
        <f t="shared" ca="1" si="22"/>
        <v>100</v>
      </c>
      <c r="AY59" s="168">
        <f t="shared" ca="1" si="6"/>
        <v>53</v>
      </c>
      <c r="AZ59" s="169"/>
      <c r="BA59" s="169"/>
      <c r="BC59" s="168">
        <f t="shared" ca="1" si="24"/>
        <v>53</v>
      </c>
      <c r="BD59" s="209">
        <f t="shared" ca="1" si="8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" thickBot="1" x14ac:dyDescent="0.3">
      <c r="A60" s="192"/>
      <c r="B60" s="193"/>
      <c r="C60" s="193"/>
      <c r="D60" s="193"/>
      <c r="E60" s="194" t="str">
        <f t="shared" ca="1" si="9"/>
        <v/>
      </c>
      <c r="F60" s="350"/>
      <c r="G60" s="353" t="str">
        <f t="shared" ca="1" si="1"/>
        <v/>
      </c>
      <c r="H60" s="350"/>
      <c r="I60" s="350"/>
      <c r="AF60" s="169">
        <f t="shared" ca="1" si="2"/>
        <v>0</v>
      </c>
      <c r="AG60" s="169" t="str">
        <f t="shared" ca="1" si="3"/>
        <v/>
      </c>
      <c r="AH60" s="169" t="str">
        <f t="shared" ca="1" si="19"/>
        <v/>
      </c>
      <c r="AJ60" s="169" t="e">
        <f t="shared" ca="1" si="20"/>
        <v>#N/A</v>
      </c>
      <c r="AK60" s="169" t="str">
        <f t="shared" ca="1" si="21"/>
        <v/>
      </c>
      <c r="AL60" s="169" t="str">
        <f t="shared" ca="1" si="21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ca="1" si="5"/>
        <v>99</v>
      </c>
      <c r="AW60" s="168">
        <f ca="1">COUNTIF( AV$7:AV60, AV60 )</f>
        <v>11</v>
      </c>
      <c r="AX60" s="208">
        <f t="shared" ca="1" si="22"/>
        <v>100.1</v>
      </c>
      <c r="AY60" s="168">
        <f t="shared" ca="1" si="6"/>
        <v>54</v>
      </c>
      <c r="AZ60" s="169"/>
      <c r="BA60" s="169"/>
      <c r="BC60" s="168">
        <f t="shared" ca="1" si="24"/>
        <v>54</v>
      </c>
      <c r="BD60" s="209">
        <f t="shared" ca="1" si="8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8" x14ac:dyDescent="0.25">
      <c r="A61" s="226" t="s">
        <v>308</v>
      </c>
      <c r="B61" s="227" t="s">
        <v>162</v>
      </c>
      <c r="C61" s="227">
        <v>23</v>
      </c>
      <c r="D61" s="227" t="s">
        <v>309</v>
      </c>
      <c r="E61" s="228" t="str">
        <f t="shared" ca="1" si="9"/>
        <v>R</v>
      </c>
      <c r="F61" s="354"/>
      <c r="G61" s="355">
        <f t="shared" ca="1" si="1"/>
        <v>29</v>
      </c>
      <c r="H61" s="350"/>
      <c r="I61" s="350"/>
      <c r="AF61" s="169">
        <f t="shared" ca="1" si="2"/>
        <v>1</v>
      </c>
      <c r="AG61" s="169" t="str">
        <f t="shared" ca="1" si="3"/>
        <v/>
      </c>
      <c r="AH61" s="169" t="str">
        <f t="shared" ca="1" si="19"/>
        <v/>
      </c>
      <c r="AJ61" s="169">
        <f t="shared" ca="1" si="20"/>
        <v>61</v>
      </c>
      <c r="AK61" s="169" t="str">
        <f t="shared" ca="1" si="21"/>
        <v>AA-</v>
      </c>
      <c r="AL61" s="169">
        <f t="shared" ca="1" si="21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ca="1" si="5"/>
        <v>99</v>
      </c>
      <c r="AW61" s="168">
        <f ca="1">COUNTIF( AV$7:AV61, AV61 )</f>
        <v>12</v>
      </c>
      <c r="AX61" s="208">
        <f t="shared" ca="1" si="22"/>
        <v>100.2</v>
      </c>
      <c r="AY61" s="168">
        <f t="shared" ca="1" si="6"/>
        <v>55</v>
      </c>
      <c r="AZ61" s="169"/>
      <c r="BA61" s="169"/>
      <c r="BC61" s="168">
        <f t="shared" ca="1" si="24"/>
        <v>55</v>
      </c>
      <c r="BD61" s="209">
        <f t="shared" ca="1" si="8"/>
        <v>55</v>
      </c>
      <c r="BF61" s="173">
        <f ca="1">OFFSET( AQ$6, $BD62, 0 )</f>
        <v>0</v>
      </c>
      <c r="BG61" s="173">
        <f ca="1">OFFSET( AR$6, $BD62, 0 )</f>
        <v>0</v>
      </c>
      <c r="BH61" s="173">
        <f ca="1">OFFSET( AS$6, $BD62, 0 )</f>
        <v>0</v>
      </c>
      <c r="BI61" s="173">
        <f ca="1">OFFSET( AT$6, $BD62, 0 )</f>
        <v>0</v>
      </c>
    </row>
    <row r="62" spans="1:61" ht="13.8" x14ac:dyDescent="0.25">
      <c r="A62" s="223"/>
      <c r="B62" s="224"/>
      <c r="C62" s="224"/>
      <c r="D62" s="224"/>
      <c r="E62" s="225"/>
      <c r="F62" s="348"/>
      <c r="G62" s="349" t="str">
        <f t="shared" ca="1" si="1"/>
        <v/>
      </c>
      <c r="H62" s="350"/>
      <c r="I62" s="350"/>
      <c r="AF62" s="169">
        <f ca="1">IF( LEN( C62 ) = 0, 0, IF( C62 = C61, AF61, IF( AF61 = 1, 0, 1 ) ) )</f>
        <v>0</v>
      </c>
      <c r="AG62" s="169" t="str">
        <f t="shared" ca="1" si="3"/>
        <v/>
      </c>
      <c r="AH62" s="169" t="str">
        <f t="shared" ca="1" si="19"/>
        <v/>
      </c>
      <c r="AJ62" s="169" t="e">
        <f t="shared" ca="1" si="20"/>
        <v>#N/A</v>
      </c>
      <c r="AK62" s="169" t="str">
        <f t="shared" ca="1" si="21"/>
        <v/>
      </c>
      <c r="AL62" s="169" t="str">
        <f t="shared" ca="1" si="21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ca="1" si="5"/>
        <v>99</v>
      </c>
      <c r="AW62" s="168">
        <f ca="1">COUNTIF( AV$7:AV62, AV62 )</f>
        <v>13</v>
      </c>
      <c r="AX62" s="208">
        <f t="shared" ca="1" si="22"/>
        <v>100.3</v>
      </c>
      <c r="AY62" s="168">
        <f t="shared" ca="1" si="6"/>
        <v>56</v>
      </c>
      <c r="AZ62" s="169"/>
      <c r="BA62" s="169"/>
      <c r="BC62" s="168">
        <f t="shared" ca="1" si="24"/>
        <v>56</v>
      </c>
      <c r="BD62" s="209">
        <f t="shared" ca="1" si="8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/>
      <c r="B63" s="229"/>
      <c r="C63" s="224"/>
      <c r="D63" s="224"/>
      <c r="E63" s="225"/>
      <c r="F63" s="348"/>
      <c r="G63" s="349"/>
      <c r="H63" s="350"/>
      <c r="I63" s="350"/>
      <c r="AF63" s="169">
        <f t="shared" ca="1" si="2"/>
        <v>0</v>
      </c>
      <c r="AG63" s="169" t="str">
        <f t="shared" ca="1" si="3"/>
        <v/>
      </c>
      <c r="AH63" s="169" t="str">
        <f t="shared" ca="1" si="19"/>
        <v/>
      </c>
      <c r="AJ63" s="169" t="e">
        <f t="shared" ca="1" si="20"/>
        <v>#N/A</v>
      </c>
      <c r="AK63" s="169" t="str">
        <f t="shared" ca="1" si="21"/>
        <v/>
      </c>
      <c r="AL63" s="169" t="str">
        <f t="shared" ca="1" si="21"/>
        <v/>
      </c>
      <c r="AM63" s="169" t="str">
        <f t="shared" ca="1" si="4"/>
        <v/>
      </c>
      <c r="AU63" s="207"/>
      <c r="AV63" s="168">
        <f t="shared" ca="1" si="5"/>
        <v>99</v>
      </c>
      <c r="AW63" s="168">
        <f ca="1">COUNTIF( AV$7:AV63, AV63 )</f>
        <v>14</v>
      </c>
      <c r="AX63" s="208">
        <f t="shared" ca="1" si="22"/>
        <v>100.4</v>
      </c>
      <c r="AY63" s="168">
        <f t="shared" ca="1" si="6"/>
        <v>57</v>
      </c>
      <c r="AZ63" s="169"/>
      <c r="BA63" s="169"/>
      <c r="BC63" s="168">
        <f t="shared" ca="1" si="24"/>
        <v>57</v>
      </c>
      <c r="BD63" s="209">
        <f t="shared" ca="1" si="8"/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/>
      <c r="B64" s="229"/>
      <c r="C64" s="224"/>
      <c r="D64" s="224"/>
      <c r="E64" s="225"/>
      <c r="F64" s="348"/>
      <c r="G64" s="349"/>
      <c r="H64" s="350"/>
      <c r="I64" s="350"/>
      <c r="AF64" s="169">
        <f t="shared" ca="1" si="2"/>
        <v>0</v>
      </c>
      <c r="AG64" s="169" t="str">
        <f t="shared" ca="1" si="3"/>
        <v/>
      </c>
      <c r="AH64" s="169" t="str">
        <f t="shared" ca="1" si="19"/>
        <v/>
      </c>
      <c r="AJ64" s="169" t="e">
        <f t="shared" ca="1" si="20"/>
        <v>#N/A</v>
      </c>
      <c r="AK64" s="169" t="str">
        <f t="shared" ca="1" si="21"/>
        <v/>
      </c>
      <c r="AL64" s="169" t="str">
        <f t="shared" ca="1" si="21"/>
        <v/>
      </c>
      <c r="AM64" s="169" t="str">
        <f t="shared" ca="1" si="4"/>
        <v/>
      </c>
      <c r="AQ64" s="207" t="s">
        <v>308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61" ht="13.8" x14ac:dyDescent="0.25">
      <c r="A65" s="223"/>
      <c r="B65" s="229"/>
      <c r="C65" s="224"/>
      <c r="D65" s="224"/>
      <c r="E65" s="225"/>
      <c r="F65" s="348"/>
      <c r="G65" s="349"/>
      <c r="H65" s="350"/>
      <c r="I65" s="350"/>
      <c r="N65" s="168" t="s">
        <v>310</v>
      </c>
      <c r="AF65" s="169">
        <f t="shared" ca="1" si="2"/>
        <v>0</v>
      </c>
      <c r="AG65" s="169" t="str">
        <f ca="1">IF( LEN( $C65 ) = 0, "", IF( $C65 &gt; $AL65, 1, "" ) )</f>
        <v/>
      </c>
      <c r="AH65" s="169" t="str">
        <f t="shared" ca="1" si="19"/>
        <v/>
      </c>
      <c r="AJ65" s="169" t="e">
        <f t="shared" ca="1" si="20"/>
        <v>#N/A</v>
      </c>
      <c r="AK65" s="169" t="str">
        <f t="shared" ca="1" si="21"/>
        <v/>
      </c>
      <c r="AL65" s="169" t="str">
        <f t="shared" ca="1" si="21"/>
        <v/>
      </c>
      <c r="AM65" s="169" t="str">
        <f t="shared" ca="1" si="4"/>
        <v/>
      </c>
      <c r="AU65" s="207"/>
      <c r="AZ65" s="169"/>
      <c r="BA65" s="169"/>
      <c r="BF65" s="169"/>
    </row>
    <row r="66" spans="1:61" ht="13.8" x14ac:dyDescent="0.25">
      <c r="A66" s="195"/>
      <c r="B66" s="196"/>
      <c r="C66" s="185"/>
      <c r="D66" s="185"/>
      <c r="E66" s="182"/>
      <c r="F66" s="350"/>
      <c r="H66" s="350"/>
      <c r="I66" s="350"/>
      <c r="AF66" s="169">
        <f t="shared" ca="1" si="2"/>
        <v>0</v>
      </c>
      <c r="AG66" s="169" t="str">
        <f t="shared" ref="AG66:AG67" ca="1" si="26">IF( LEN( $C66 ) = 0, "", IF( $C66 &gt; $AL66, 1, "" ) )</f>
        <v/>
      </c>
      <c r="AH66" s="169" t="str">
        <f t="shared" ca="1" si="19"/>
        <v/>
      </c>
      <c r="AJ66" s="169" t="e">
        <f t="shared" ca="1" si="20"/>
        <v>#N/A</v>
      </c>
      <c r="AK66" s="169" t="str">
        <f t="shared" ca="1" si="21"/>
        <v/>
      </c>
      <c r="AL66" s="169" t="str">
        <f t="shared" ca="1" si="21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61" ht="14.4" thickBot="1" x14ac:dyDescent="0.3">
      <c r="A67" s="197"/>
      <c r="B67" s="198"/>
      <c r="C67" s="248"/>
      <c r="D67" s="198"/>
      <c r="E67" s="199"/>
      <c r="F67" s="350"/>
      <c r="H67" s="350"/>
      <c r="I67" s="350"/>
      <c r="AF67" s="169">
        <f t="shared" ca="1" si="2"/>
        <v>0</v>
      </c>
      <c r="AG67" s="169" t="str">
        <f t="shared" ca="1" si="26"/>
        <v/>
      </c>
      <c r="AH67" s="169" t="str">
        <f t="shared" ca="1" si="19"/>
        <v/>
      </c>
      <c r="AJ67" s="169" t="e">
        <f t="shared" ca="1" si="20"/>
        <v>#N/A</v>
      </c>
      <c r="AK67" s="169" t="str">
        <f t="shared" ca="1" si="21"/>
        <v/>
      </c>
      <c r="AL67" s="169" t="str">
        <f t="shared" ca="1" si="21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61" ht="13.8" x14ac:dyDescent="0.25">
      <c r="A68" s="200" t="s">
        <v>311</v>
      </c>
      <c r="B68" s="189" t="str">
        <f ca="1">OFFSET( Scale!$H$5, ROUND( C68, 0 ) - 1, 1 )</f>
        <v>BBB+</v>
      </c>
      <c r="C68" s="201">
        <f ca="1">AVERAGE(C7:C65)</f>
        <v>18.795454545454547</v>
      </c>
      <c r="D68" s="201"/>
      <c r="E68" s="201"/>
      <c r="F68" s="350"/>
      <c r="H68" s="350"/>
      <c r="I68" s="350"/>
      <c r="J68" s="351"/>
      <c r="K68" s="351"/>
      <c r="AX68" s="208"/>
      <c r="AZ68" s="169"/>
      <c r="BA68" s="169"/>
      <c r="BD68" s="209"/>
      <c r="BF68" s="169"/>
    </row>
    <row r="69" spans="1:61" x14ac:dyDescent="0.25">
      <c r="A69" s="202"/>
      <c r="B69" s="202"/>
      <c r="F69" s="350"/>
      <c r="H69" s="350"/>
      <c r="I69" s="350"/>
      <c r="AX69" s="208"/>
      <c r="AZ69" s="169"/>
      <c r="BA69" s="169"/>
      <c r="BD69" s="209"/>
    </row>
    <row r="70" spans="1:61" x14ac:dyDescent="0.25">
      <c r="A70" s="202"/>
      <c r="B70" s="202"/>
      <c r="F70" s="173"/>
      <c r="H70" s="173"/>
      <c r="I70" s="173"/>
      <c r="J70" s="351"/>
      <c r="K70" s="351"/>
    </row>
    <row r="71" spans="1:61" x14ac:dyDescent="0.25">
      <c r="A71" s="203" t="s">
        <v>312</v>
      </c>
      <c r="F71" s="173"/>
      <c r="H71" s="173"/>
      <c r="I71" s="173"/>
    </row>
    <row r="72" spans="1:61" x14ac:dyDescent="0.25">
      <c r="A72" s="203" t="s">
        <v>313</v>
      </c>
      <c r="B72" s="173"/>
      <c r="D72" s="173"/>
      <c r="E72" s="173"/>
      <c r="F72" s="204"/>
      <c r="H72" s="204"/>
      <c r="I72" s="204"/>
    </row>
    <row r="73" spans="1:61" x14ac:dyDescent="0.25">
      <c r="A73" s="205" t="s">
        <v>314</v>
      </c>
      <c r="B73" s="173"/>
      <c r="D73" s="173"/>
      <c r="E73" s="173"/>
      <c r="F73" s="204"/>
      <c r="H73" s="204"/>
      <c r="I73" s="204"/>
      <c r="AQ73" s="207"/>
      <c r="AR73" s="207"/>
      <c r="AS73" s="207"/>
    </row>
    <row r="74" spans="1:61" x14ac:dyDescent="0.25">
      <c r="A74" s="203" t="s">
        <v>315</v>
      </c>
      <c r="D74" s="204"/>
      <c r="F74" s="206"/>
      <c r="H74" s="206"/>
      <c r="I74" s="206"/>
      <c r="AQ74" s="207"/>
      <c r="AR74" s="207"/>
      <c r="AS74" s="207"/>
    </row>
    <row r="75" spans="1:61" x14ac:dyDescent="0.25">
      <c r="A75" s="203" t="s">
        <v>316</v>
      </c>
      <c r="D75" s="204"/>
      <c r="F75" s="206"/>
      <c r="H75" s="206"/>
      <c r="I75" s="206"/>
      <c r="AQ75" s="207"/>
      <c r="AR75" s="207"/>
      <c r="AS75" s="207"/>
    </row>
    <row r="76" spans="1:61" x14ac:dyDescent="0.25">
      <c r="A76" s="203"/>
      <c r="AQ76" s="207"/>
      <c r="AR76" s="207"/>
      <c r="AS76" s="207"/>
    </row>
    <row r="77" spans="1:61" x14ac:dyDescent="0.25">
      <c r="C77" s="190">
        <f ca="1">SUMPRODUCT( L8:L13, Y8:Y13 ) / L14</f>
        <v>18.795454545454547</v>
      </c>
      <c r="E77" s="191"/>
      <c r="G77" s="353"/>
      <c r="J77" s="173"/>
      <c r="K77" s="173"/>
      <c r="AQ77" s="207"/>
      <c r="AR77" s="207"/>
      <c r="AS77" s="207"/>
      <c r="AT77" s="173"/>
      <c r="BF77" s="173"/>
      <c r="BG77" s="173"/>
      <c r="BH77" s="173"/>
      <c r="BI77" s="173"/>
    </row>
    <row r="78" spans="1:61" s="173" customFormat="1" ht="13.8" x14ac:dyDescent="0.2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168"/>
      <c r="AR78" s="168"/>
      <c r="AS78" s="168"/>
      <c r="AT78" s="168"/>
      <c r="BF78" s="168"/>
      <c r="BG78" s="168"/>
      <c r="BH78" s="168"/>
      <c r="BI78" s="168"/>
    </row>
  </sheetData>
  <sortState ref="AQ7:AT51">
    <sortCondition ref="AQ7:AQ51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523" priority="31" stopIfTrue="1">
      <formula>IF( $AH7 = 1, TRUE, FALSE )</formula>
    </cfRule>
    <cfRule type="expression" dxfId="1522" priority="32" stopIfTrue="1">
      <formula>IF( $AG7 = 1, TRUE, FALSE )</formula>
    </cfRule>
    <cfRule type="expression" dxfId="1521" priority="33" stopIfTrue="1">
      <formula>IF( $AF7 = 1, TRUE, FALSE )</formula>
    </cfRule>
  </conditionalFormatting>
  <conditionalFormatting sqref="A67:E67">
    <cfRule type="expression" dxfId="1520" priority="34" stopIfTrue="1">
      <formula>IF( $AH67 = 1, TRUE, FALSE )</formula>
    </cfRule>
    <cfRule type="expression" dxfId="1519" priority="35" stopIfTrue="1">
      <formula>IF( $AG67 = 1, TRUE, FALSE )</formula>
    </cfRule>
    <cfRule type="expression" dxfId="1518" priority="36" stopIfTrue="1">
      <formula>IF( $AF67 = 1, TRUE, FALSE )</formula>
    </cfRule>
  </conditionalFormatting>
  <conditionalFormatting sqref="A66:E66">
    <cfRule type="expression" dxfId="1517" priority="28" stopIfTrue="1">
      <formula>IF( $AH66 = 1, TRUE, FALSE )</formula>
    </cfRule>
    <cfRule type="expression" dxfId="1516" priority="29" stopIfTrue="1">
      <formula>IF( $AG66 = 1, TRUE, FALSE )</formula>
    </cfRule>
    <cfRule type="expression" dxfId="1515" priority="30" stopIfTrue="1">
      <formula>IF( $AF66 = 1, TRUE, FALSE )</formula>
    </cfRule>
  </conditionalFormatting>
  <conditionalFormatting sqref="A8:D33 B7:D7 A35:D58">
    <cfRule type="expression" dxfId="1514" priority="25" stopIfTrue="1">
      <formula>IF( $AH7 = 1, TRUE, FALSE )</formula>
    </cfRule>
    <cfRule type="expression" dxfId="1513" priority="26" stopIfTrue="1">
      <formula>IF( $AG7 = 1, TRUE, FALSE )</formula>
    </cfRule>
    <cfRule type="expression" dxfId="1512" priority="27" stopIfTrue="1">
      <formula>IF( $AF7 = 1, TRUE, FALSE )</formula>
    </cfRule>
  </conditionalFormatting>
  <conditionalFormatting sqref="A59:D59">
    <cfRule type="expression" dxfId="1511" priority="22" stopIfTrue="1">
      <formula>IF( $AH59 = 1, TRUE, FALSE )</formula>
    </cfRule>
    <cfRule type="expression" dxfId="1510" priority="23" stopIfTrue="1">
      <formula>IF( $AG59 = 1, TRUE, FALSE )</formula>
    </cfRule>
    <cfRule type="expression" dxfId="1509" priority="24" stopIfTrue="1">
      <formula>IF( $AF59 = 1, TRUE, FALSE )</formula>
    </cfRule>
  </conditionalFormatting>
  <conditionalFormatting sqref="A61:D65">
    <cfRule type="expression" dxfId="1508" priority="19" stopIfTrue="1">
      <formula>IF( $AH61 = 1, TRUE, FALSE )</formula>
    </cfRule>
    <cfRule type="expression" dxfId="1507" priority="20" stopIfTrue="1">
      <formula>IF( $AG61 = 1, TRUE, FALSE )</formula>
    </cfRule>
    <cfRule type="expression" dxfId="1506" priority="21" stopIfTrue="1">
      <formula>IF( $AF61 = 1, TRUE, FALSE )</formula>
    </cfRule>
  </conditionalFormatting>
  <conditionalFormatting sqref="U8:U12">
    <cfRule type="cellIs" dxfId="1505" priority="18" operator="equal">
      <formula>0</formula>
    </cfRule>
  </conditionalFormatting>
  <conditionalFormatting sqref="O8:O12 Q8:Q12">
    <cfRule type="cellIs" dxfId="1504" priority="17" operator="equal">
      <formula>0</formula>
    </cfRule>
  </conditionalFormatting>
  <conditionalFormatting sqref="V8:V12">
    <cfRule type="cellIs" dxfId="1503" priority="16" operator="equal">
      <formula>0</formula>
    </cfRule>
  </conditionalFormatting>
  <conditionalFormatting sqref="S8:S12">
    <cfRule type="cellIs" dxfId="1502" priority="14" operator="equal">
      <formula>0</formula>
    </cfRule>
  </conditionalFormatting>
  <conditionalFormatting sqref="R8:R12">
    <cfRule type="cellIs" dxfId="1501" priority="15" operator="equal">
      <formula>0</formula>
    </cfRule>
  </conditionalFormatting>
  <conditionalFormatting sqref="P8:P12">
    <cfRule type="cellIs" dxfId="1500" priority="13" operator="equal">
      <formula>0</formula>
    </cfRule>
  </conditionalFormatting>
  <conditionalFormatting sqref="M8:M12">
    <cfRule type="cellIs" dxfId="1499" priority="12" operator="equal">
      <formula>0</formula>
    </cfRule>
  </conditionalFormatting>
  <conditionalFormatting sqref="T8:T12">
    <cfRule type="cellIs" dxfId="1498" priority="11" operator="equal">
      <formula>0</formula>
    </cfRule>
  </conditionalFormatting>
  <conditionalFormatting sqref="N8:N12">
    <cfRule type="cellIs" dxfId="1497" priority="10" operator="equal">
      <formula>0</formula>
    </cfRule>
  </conditionalFormatting>
  <conditionalFormatting sqref="K8:K12">
    <cfRule type="cellIs" dxfId="1496" priority="9" operator="equal">
      <formula>0</formula>
    </cfRule>
  </conditionalFormatting>
  <conditionalFormatting sqref="I8:I12">
    <cfRule type="cellIs" dxfId="1495" priority="8" operator="equal">
      <formula>0</formula>
    </cfRule>
  </conditionalFormatting>
  <conditionalFormatting sqref="W8:W12">
    <cfRule type="cellIs" dxfId="1494" priority="7" operator="equal">
      <formula>0</formula>
    </cfRule>
  </conditionalFormatting>
  <conditionalFormatting sqref="A7">
    <cfRule type="expression" dxfId="1493" priority="4" stopIfTrue="1">
      <formula>IF( $AH7 = 1, TRUE, FALSE )</formula>
    </cfRule>
    <cfRule type="expression" dxfId="1492" priority="5" stopIfTrue="1">
      <formula>IF( $AG7 = 1, TRUE, FALSE )</formula>
    </cfRule>
    <cfRule type="expression" dxfId="1491" priority="6" stopIfTrue="1">
      <formula>IF( $AF7 = 1, TRUE, FALSE )</formula>
    </cfRule>
  </conditionalFormatting>
  <conditionalFormatting sqref="A34:D34">
    <cfRule type="expression" dxfId="1490" priority="1" stopIfTrue="1">
      <formula>IF( $AH34 = 1, TRUE, FALSE )</formula>
    </cfRule>
    <cfRule type="expression" dxfId="1489" priority="2" stopIfTrue="1">
      <formula>IF( $AG34 = 1, TRUE, FALSE )</formula>
    </cfRule>
    <cfRule type="expression" dxfId="1488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hidden="1" customWidth="1" outlineLevel="1"/>
    <col min="23" max="23" width="2" style="168" hidden="1" customWidth="1" outlineLevel="1"/>
    <col min="24" max="24" width="4.109375" style="168" customWidth="1" collapsed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15.88671875" style="169" hidden="1" customWidth="1" outlineLevel="1" collapsed="1"/>
    <col min="37" max="38" width="15.88671875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collapsed="1"/>
    <col min="63" max="16384" width="9.109375" style="168"/>
  </cols>
  <sheetData>
    <row r="1" spans="1:61" ht="18" x14ac:dyDescent="0.25">
      <c r="A1" s="238" t="str">
        <f ca="1">"I.  S&amp;P Utility Credit Ratings Distribution -- " &amp; B6</f>
        <v>I.  S&amp;P Utility Credit Ratings Distribution -- 2021 Q3</v>
      </c>
      <c r="G1" s="175" t="s">
        <v>195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 x14ac:dyDescent="0.25">
      <c r="A2" s="167"/>
      <c r="E2" s="171" t="str">
        <f ca="1">G2</f>
        <v>Reg_Percent_2020</v>
      </c>
      <c r="G2" s="172" t="s">
        <v>202</v>
      </c>
      <c r="AJ2" s="173" t="str">
        <f ca="1">AJ4 &amp; AJ3</f>
        <v>'Credit_2021Q2'!d:d</v>
      </c>
      <c r="AK2" s="173" t="str">
        <f ca="1">AK4 &amp; AK3</f>
        <v>'Credit_2021Q2'!b1</v>
      </c>
      <c r="AL2" s="173" t="str">
        <f ca="1">AL4 &amp; AL3</f>
        <v>'Credit_2021Q2'!c1</v>
      </c>
      <c r="AQ2" s="169"/>
    </row>
    <row r="3" spans="1:61" ht="18" hidden="1" outlineLevel="1" x14ac:dyDescent="0.25">
      <c r="A3" s="167"/>
      <c r="E3" s="174" t="str">
        <f ca="1">"'" &amp; E2 &amp; "'!"</f>
        <v>'Reg_Percent_2020'!</v>
      </c>
      <c r="G3" s="168" t="str">
        <f ca="1">"'" &amp; G2 &amp; "'!"</f>
        <v>'Reg_Percent_2020'!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205</v>
      </c>
      <c r="AK3" s="149" t="s">
        <v>206</v>
      </c>
      <c r="AL3" s="149" t="s">
        <v>207</v>
      </c>
      <c r="AQ3" s="169"/>
    </row>
    <row r="4" spans="1:61" ht="18" hidden="1" outlineLevel="1" x14ac:dyDescent="0.25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 ca="1">$AQ$5</f>
        <v>'Credit_2021Q2'!</v>
      </c>
      <c r="AK4" s="169" t="str">
        <f t="shared" ref="AK4:AL4" ca="1" si="0">$AQ$5</f>
        <v>'Credit_2021Q2'!</v>
      </c>
      <c r="AL4" s="169" t="str">
        <f t="shared" ca="1" si="0"/>
        <v>'Credit_2021Q2'!</v>
      </c>
      <c r="AQ4" s="169"/>
    </row>
    <row r="5" spans="1:61" ht="13.8" collapsed="1" x14ac:dyDescent="0.25">
      <c r="E5" s="176" t="s">
        <v>209</v>
      </c>
      <c r="G5" s="170" t="s">
        <v>199</v>
      </c>
      <c r="I5" s="230"/>
      <c r="J5" s="389" t="s">
        <v>210</v>
      </c>
      <c r="K5" s="230"/>
      <c r="L5" s="391" t="str">
        <f ca="1">"All Companies" &amp; CHAR( 10 ) &amp; "("&amp; L14 &amp; ")"</f>
        <v>All Companies
(44)</v>
      </c>
      <c r="M5" s="391"/>
      <c r="N5" s="230"/>
      <c r="O5" s="389" t="str">
        <f ca="1">"Regulated" &amp; CHAR( 10 ) &amp; "(" &amp; O14 &amp; ")"</f>
        <v>Regulated
(35)</v>
      </c>
      <c r="P5" s="393"/>
      <c r="Q5" s="230"/>
      <c r="R5" s="389" t="str">
        <f ca="1">"Mostly Regulated" &amp; CHAR( 10 ) &amp; "(" &amp; R14 &amp; ")"</f>
        <v>Mostly Regulated
(9)</v>
      </c>
      <c r="S5" s="393"/>
      <c r="T5" s="230"/>
      <c r="U5" s="389" t="str">
        <f ca="1">"Diversified" &amp; CHAR( 10 ) &amp; "(" &amp; U14 &amp; ")"</f>
        <v>Diversified
(0)</v>
      </c>
      <c r="V5" s="393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317</v>
      </c>
    </row>
    <row r="6" spans="1:61" ht="28.5" customHeight="1" x14ac:dyDescent="0.25">
      <c r="A6" s="219" t="s">
        <v>212</v>
      </c>
      <c r="B6" s="220" t="s">
        <v>318</v>
      </c>
      <c r="C6" s="249" t="s">
        <v>214</v>
      </c>
      <c r="D6" s="221"/>
      <c r="E6" s="222">
        <f ca="1">INDIRECT( E3 &amp; G1 )</f>
        <v>44196</v>
      </c>
      <c r="I6" s="231"/>
      <c r="J6" s="390"/>
      <c r="K6" s="231"/>
      <c r="L6" s="392"/>
      <c r="M6" s="392"/>
      <c r="N6" s="231"/>
      <c r="O6" s="390"/>
      <c r="P6" s="390"/>
      <c r="Q6" s="231"/>
      <c r="R6" s="390" t="s">
        <v>136</v>
      </c>
      <c r="S6" s="390"/>
      <c r="T6" s="231"/>
      <c r="U6" s="390"/>
      <c r="V6" s="390"/>
      <c r="W6" s="231"/>
      <c r="AE6" s="178"/>
      <c r="AJ6" s="179"/>
    </row>
    <row r="7" spans="1:61" ht="13.8" x14ac:dyDescent="0.25">
      <c r="A7" s="223" t="s">
        <v>215</v>
      </c>
      <c r="B7" s="224" t="s">
        <v>166</v>
      </c>
      <c r="C7" s="224">
        <v>21</v>
      </c>
      <c r="D7" s="224" t="s">
        <v>216</v>
      </c>
      <c r="E7" s="225" t="str">
        <f ca="1">IF( LEN( $G7 ) = 0, "", OFFSET( INDIRECT( E$3 &amp; E$4 ), $G7 - 1, 0 ) )</f>
        <v>MR</v>
      </c>
      <c r="F7" s="348"/>
      <c r="G7" s="349">
        <f t="shared" ref="G7:G62" ca="1" si="1">IF( LEN( $D7 ) = 0, "", MATCH( $D7, INDIRECT( G$3 &amp; G$4 ), 0 ) )</f>
        <v>56</v>
      </c>
      <c r="H7" s="350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ca="1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217</v>
      </c>
      <c r="AR7" s="207" t="s">
        <v>141</v>
      </c>
      <c r="AS7" s="207">
        <v>18</v>
      </c>
      <c r="AT7" s="207" t="s">
        <v>218</v>
      </c>
      <c r="AV7" s="168">
        <f t="shared" ref="AV7:AV63" ca="1" si="5">IF( LEN( AS7 ) = 0, 99, RANK( AS7, $AS$7:$AS$62 ) )</f>
        <v>30</v>
      </c>
      <c r="AW7" s="168">
        <f ca="1">COUNTIF( AV7:AV$7, AV7 )</f>
        <v>1</v>
      </c>
      <c r="AX7" s="208">
        <f ca="1">AV7 + AW7 / 10</f>
        <v>30.1</v>
      </c>
      <c r="AY7" s="168">
        <f t="shared" ref="AY7:AY63" ca="1" si="6">RANK( AX7, $AX$7:$AX$63, 1 )</f>
        <v>30</v>
      </c>
      <c r="AZ7" s="169"/>
      <c r="BA7" s="169"/>
      <c r="BC7" s="168">
        <f t="shared" ref="BC7" ca="1" si="7">OFFSET( BC7, -1, 0 ) + 1</f>
        <v>1</v>
      </c>
      <c r="BD7" s="209">
        <f t="shared" ref="BD7:BD63" ca="1" si="8">MATCH( BC7, $AY$7:$AY$63, 0 )</f>
        <v>7</v>
      </c>
      <c r="BF7" s="173" t="str">
        <f ca="1">OFFSET( AQ$6, $BD7, 0 )</f>
        <v>Berkshire Energy Holdings Company</v>
      </c>
      <c r="BG7" s="173" t="str">
        <f ca="1">OFFSET( AR$6, $BD7, 0 )</f>
        <v>A</v>
      </c>
      <c r="BH7" s="173">
        <f ca="1">OFFSET( AS$6, $BD7, 0 )</f>
        <v>21</v>
      </c>
      <c r="BI7" s="173" t="str">
        <f ca="1">OFFSET( AT$6, $BD7, 0 )</f>
        <v>**BRK</v>
      </c>
    </row>
    <row r="8" spans="1:61" ht="13.8" x14ac:dyDescent="0.25">
      <c r="A8" s="223" t="s">
        <v>219</v>
      </c>
      <c r="B8" s="224" t="s">
        <v>139</v>
      </c>
      <c r="C8" s="224">
        <v>20</v>
      </c>
      <c r="D8" s="224" t="s">
        <v>220</v>
      </c>
      <c r="E8" s="225" t="str">
        <f t="shared" ref="E8:E61" ca="1" si="9">IF( LEN( $G8 ) = 0, "", OFFSET( INDIRECT( E$3 &amp; E$4 ), $G8 - 1, 0 ) )</f>
        <v>R</v>
      </c>
      <c r="F8" s="348"/>
      <c r="G8" s="349">
        <f t="shared" ca="1" si="1"/>
        <v>8</v>
      </c>
      <c r="H8" s="350"/>
      <c r="I8" s="233"/>
      <c r="J8" s="213" t="s">
        <v>137</v>
      </c>
      <c r="K8" s="233"/>
      <c r="L8" s="213">
        <f t="shared" ref="L8:L13" ca="1" si="10">COUNTIF($C$7:$C$67,$X8)</f>
        <v>2</v>
      </c>
      <c r="M8" s="214">
        <f t="shared" ref="M8:M13" ca="1" si="11">IF( L8 = 0, "", L8/L$14 )</f>
        <v>4.5454545454545456E-2</v>
      </c>
      <c r="N8" s="233"/>
      <c r="O8" s="213">
        <f t="shared" ref="O8:O13" ca="1" si="12">COUNTIFS( $E$7:$E$66, O$3, $C$7:$C$66, $X8 )</f>
        <v>1</v>
      </c>
      <c r="P8" s="214">
        <f t="shared" ref="P8:P13" ca="1" si="13">IF( O8 = 0, "", O8/O$14 )</f>
        <v>2.8571428571428571E-2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0.1111111111111111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8">SUM(O8, R8, U8)</f>
        <v>2</v>
      </c>
      <c r="AC8" s="351"/>
      <c r="AE8" s="184"/>
      <c r="AF8" s="169">
        <f t="shared" ca="1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ref="AJ8:AJ67" ca="1" si="20">MATCH( $D8, INDIRECT( AJ$2 ), 0 )</f>
        <v>8</v>
      </c>
      <c r="AK8" s="169" t="str">
        <f t="shared" ref="AK8:AL67" ca="1" si="21">IF( ISNA( $AJ8 ), "", OFFSET( INDIRECT( AK$2 ), $AJ8-1, 0 ) )</f>
        <v>A-</v>
      </c>
      <c r="AL8" s="169">
        <f t="shared" ca="1" si="21"/>
        <v>20</v>
      </c>
      <c r="AM8" s="169" t="str">
        <f t="shared" ca="1" si="4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ca="1" si="5"/>
        <v>2</v>
      </c>
      <c r="AW8" s="168">
        <f ca="1">COUNTIF( AV$7:AV8, AV8 )</f>
        <v>1</v>
      </c>
      <c r="AX8" s="208">
        <f t="shared" ref="AX8:AX63" ca="1" si="22">AV8 + AW8 / 10</f>
        <v>2.1</v>
      </c>
      <c r="AY8" s="168">
        <f t="shared" ca="1" si="6"/>
        <v>2</v>
      </c>
      <c r="AZ8" s="169"/>
      <c r="BA8" s="169"/>
      <c r="BC8" s="168">
        <f ca="1">OFFSET( BC8, -1, 0 ) + 1</f>
        <v>2</v>
      </c>
      <c r="BD8" s="209">
        <f t="shared" ca="1" si="8"/>
        <v>2</v>
      </c>
      <c r="BF8" s="173" t="str">
        <f t="shared" ref="BF8:BI50" ca="1" si="23">OFFSET( AQ$6, $BD8, 0 )</f>
        <v>Alliant Energy Corporation</v>
      </c>
      <c r="BG8" s="173" t="str">
        <f t="shared" ca="1" si="23"/>
        <v>A-</v>
      </c>
      <c r="BH8" s="173">
        <f t="shared" ca="1" si="23"/>
        <v>20</v>
      </c>
      <c r="BI8" s="173" t="str">
        <f t="shared" ca="1" si="23"/>
        <v>LNT</v>
      </c>
    </row>
    <row r="9" spans="1:61" ht="13.8" x14ac:dyDescent="0.25">
      <c r="A9" s="223" t="s">
        <v>222</v>
      </c>
      <c r="B9" s="224" t="s">
        <v>139</v>
      </c>
      <c r="C9" s="224">
        <v>20</v>
      </c>
      <c r="D9" s="224" t="s">
        <v>223</v>
      </c>
      <c r="E9" s="225" t="str">
        <f t="shared" ca="1" si="9"/>
        <v>R</v>
      </c>
      <c r="F9" s="348"/>
      <c r="G9" s="349">
        <f t="shared" ca="1" si="1"/>
        <v>10</v>
      </c>
      <c r="H9" s="350"/>
      <c r="I9" s="234"/>
      <c r="J9" s="215" t="s">
        <v>139</v>
      </c>
      <c r="K9" s="234"/>
      <c r="L9" s="215">
        <f t="shared" ca="1" si="10"/>
        <v>11</v>
      </c>
      <c r="M9" s="216">
        <f t="shared" ca="1" si="11"/>
        <v>0.25</v>
      </c>
      <c r="N9" s="234"/>
      <c r="O9" s="215">
        <f t="shared" ca="1" si="12"/>
        <v>10</v>
      </c>
      <c r="P9" s="216">
        <f t="shared" ca="1" si="13"/>
        <v>0.2857142857142857</v>
      </c>
      <c r="Q9" s="234"/>
      <c r="R9" s="215">
        <f t="shared" ca="1" si="14"/>
        <v>1</v>
      </c>
      <c r="S9" s="216">
        <f t="shared" ca="1" si="15"/>
        <v>0.1111111111111111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8"/>
        <v>11</v>
      </c>
      <c r="AC9" s="351"/>
      <c r="AE9" s="184"/>
      <c r="AF9" s="169">
        <f t="shared" ca="1" si="2"/>
        <v>0</v>
      </c>
      <c r="AG9" s="169" t="str">
        <f t="shared" ca="1" si="3"/>
        <v/>
      </c>
      <c r="AH9" s="169" t="str">
        <f t="shared" ca="1" si="19"/>
        <v/>
      </c>
      <c r="AJ9" s="169">
        <f t="shared" ca="1" si="20"/>
        <v>9</v>
      </c>
      <c r="AK9" s="169" t="str">
        <f t="shared" ca="1" si="21"/>
        <v>A-</v>
      </c>
      <c r="AL9" s="169">
        <f t="shared" ca="1" si="21"/>
        <v>20</v>
      </c>
      <c r="AM9" s="169" t="str">
        <f t="shared" ca="1" si="4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ca="1" si="5"/>
        <v>13</v>
      </c>
      <c r="AW9" s="168">
        <f ca="1">COUNTIF( AV$7:AV9, AV9 )</f>
        <v>1</v>
      </c>
      <c r="AX9" s="208">
        <f t="shared" ca="1" si="22"/>
        <v>13.1</v>
      </c>
      <c r="AY9" s="168">
        <f t="shared" ca="1" si="6"/>
        <v>13</v>
      </c>
      <c r="AZ9" s="169"/>
      <c r="BA9" s="169"/>
      <c r="BC9" s="168">
        <f t="shared" ref="BC9:BC63" ca="1" si="24">OFFSET( BC9, -1, 0 ) + 1</f>
        <v>3</v>
      </c>
      <c r="BD9" s="209">
        <f t="shared" ca="1" si="8"/>
        <v>4</v>
      </c>
      <c r="BF9" s="173" t="str">
        <f t="shared" ca="1" si="23"/>
        <v>American Electric Power Company, Inc.</v>
      </c>
      <c r="BG9" s="173" t="str">
        <f t="shared" ca="1" si="23"/>
        <v>A-</v>
      </c>
      <c r="BH9" s="173">
        <f t="shared" ca="1" si="23"/>
        <v>20</v>
      </c>
      <c r="BI9" s="173" t="str">
        <f t="shared" ca="1" si="23"/>
        <v>AEP</v>
      </c>
    </row>
    <row r="10" spans="1:61" ht="13.8" x14ac:dyDescent="0.25">
      <c r="A10" s="223" t="s">
        <v>227</v>
      </c>
      <c r="B10" s="224" t="s">
        <v>139</v>
      </c>
      <c r="C10" s="224">
        <v>20</v>
      </c>
      <c r="D10" s="224" t="s">
        <v>228</v>
      </c>
      <c r="E10" s="225" t="str">
        <f t="shared" ca="1" si="9"/>
        <v>R</v>
      </c>
      <c r="F10" s="348"/>
      <c r="G10" s="349">
        <f t="shared" ca="1" si="1"/>
        <v>16</v>
      </c>
      <c r="H10" s="350"/>
      <c r="I10" s="234"/>
      <c r="J10" s="215" t="s">
        <v>140</v>
      </c>
      <c r="K10" s="234"/>
      <c r="L10" s="215">
        <f t="shared" ca="1" si="10"/>
        <v>17</v>
      </c>
      <c r="M10" s="216">
        <f t="shared" ca="1" si="11"/>
        <v>0.38636363636363635</v>
      </c>
      <c r="N10" s="234"/>
      <c r="O10" s="215">
        <f t="shared" ca="1" si="12"/>
        <v>12</v>
      </c>
      <c r="P10" s="216">
        <f t="shared" ca="1" si="13"/>
        <v>0.34285714285714286</v>
      </c>
      <c r="Q10" s="234"/>
      <c r="R10" s="215">
        <f t="shared" ca="1" si="14"/>
        <v>5</v>
      </c>
      <c r="S10" s="216">
        <f t="shared" ca="1" si="15"/>
        <v>0.55555555555555558</v>
      </c>
      <c r="T10" s="234"/>
      <c r="U10" s="215">
        <f t="shared" ca="1" si="16"/>
        <v>0</v>
      </c>
      <c r="V10" s="216" t="str">
        <f t="shared" ca="1" si="17"/>
        <v/>
      </c>
      <c r="W10" s="234"/>
      <c r="X10" s="186" t="s">
        <v>229</v>
      </c>
      <c r="Y10" s="186">
        <v>19</v>
      </c>
      <c r="Z10" s="186">
        <v>1</v>
      </c>
      <c r="AA10" s="185">
        <f t="shared" ca="1" si="18"/>
        <v>17</v>
      </c>
      <c r="AE10" s="184"/>
      <c r="AF10" s="169">
        <f t="shared" ca="1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20"/>
        <v>10</v>
      </c>
      <c r="AK10" s="169" t="str">
        <f t="shared" ca="1" si="21"/>
        <v>A-</v>
      </c>
      <c r="AL10" s="169">
        <f t="shared" ca="1" si="21"/>
        <v>20</v>
      </c>
      <c r="AM10" s="169" t="str">
        <f t="shared" ca="1" si="4"/>
        <v/>
      </c>
      <c r="AQ10" s="207" t="s">
        <v>222</v>
      </c>
      <c r="AR10" s="207" t="s">
        <v>139</v>
      </c>
      <c r="AS10" s="207">
        <v>20</v>
      </c>
      <c r="AT10" s="207" t="s">
        <v>223</v>
      </c>
      <c r="AV10" s="168">
        <f t="shared" ca="1" si="5"/>
        <v>2</v>
      </c>
      <c r="AW10" s="168">
        <f ca="1">COUNTIF( AV$7:AV10, AV10 )</f>
        <v>2</v>
      </c>
      <c r="AX10" s="208">
        <f t="shared" ca="1" si="22"/>
        <v>2.2000000000000002</v>
      </c>
      <c r="AY10" s="168">
        <f t="shared" ca="1" si="6"/>
        <v>3</v>
      </c>
      <c r="AZ10" s="169"/>
      <c r="BA10" s="169"/>
      <c r="BC10" s="168">
        <f t="shared" ca="1" si="24"/>
        <v>4</v>
      </c>
      <c r="BD10" s="209">
        <f t="shared" ca="1" si="8"/>
        <v>12</v>
      </c>
      <c r="BF10" s="173" t="str">
        <f t="shared" ca="1" si="23"/>
        <v>Consolidated Edison, Inc.</v>
      </c>
      <c r="BG10" s="173" t="str">
        <f t="shared" ca="1" si="23"/>
        <v>A-</v>
      </c>
      <c r="BH10" s="173">
        <f t="shared" ca="1" si="23"/>
        <v>20</v>
      </c>
      <c r="BI10" s="173" t="str">
        <f t="shared" ca="1" si="23"/>
        <v>ED</v>
      </c>
    </row>
    <row r="11" spans="1:61" ht="13.8" x14ac:dyDescent="0.25">
      <c r="A11" s="223" t="s">
        <v>230</v>
      </c>
      <c r="B11" s="224" t="s">
        <v>139</v>
      </c>
      <c r="C11" s="224">
        <v>20</v>
      </c>
      <c r="D11" s="224" t="s">
        <v>231</v>
      </c>
      <c r="E11" s="225" t="str">
        <f t="shared" ca="1" si="9"/>
        <v>R</v>
      </c>
      <c r="F11" s="348"/>
      <c r="G11" s="349">
        <f t="shared" ca="1" si="1"/>
        <v>22</v>
      </c>
      <c r="H11" s="350"/>
      <c r="I11" s="234"/>
      <c r="J11" s="215" t="s">
        <v>141</v>
      </c>
      <c r="K11" s="234"/>
      <c r="L11" s="215">
        <f t="shared" ca="1" si="10"/>
        <v>8</v>
      </c>
      <c r="M11" s="216">
        <f t="shared" ca="1" si="11"/>
        <v>0.18181818181818182</v>
      </c>
      <c r="N11" s="234"/>
      <c r="O11" s="215">
        <f t="shared" ca="1" si="12"/>
        <v>7</v>
      </c>
      <c r="P11" s="216">
        <f t="shared" ca="1" si="13"/>
        <v>0.2</v>
      </c>
      <c r="Q11" s="234"/>
      <c r="R11" s="215">
        <f t="shared" ca="1" si="14"/>
        <v>1</v>
      </c>
      <c r="S11" s="216">
        <f t="shared" ca="1" si="15"/>
        <v>0.1111111111111111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8"/>
        <v>8</v>
      </c>
      <c r="AE11" s="184"/>
      <c r="AF11" s="169">
        <f t="shared" ca="1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20"/>
        <v>11</v>
      </c>
      <c r="AK11" s="169" t="str">
        <f t="shared" ca="1" si="21"/>
        <v>A-</v>
      </c>
      <c r="AL11" s="169">
        <f t="shared" ca="1" si="21"/>
        <v>20</v>
      </c>
      <c r="AM11" s="169" t="str">
        <f t="shared" ca="1" si="4"/>
        <v/>
      </c>
      <c r="AQ11" s="207" t="s">
        <v>233</v>
      </c>
      <c r="AR11" s="207" t="s">
        <v>140</v>
      </c>
      <c r="AS11" s="207">
        <v>19</v>
      </c>
      <c r="AT11" s="207" t="s">
        <v>234</v>
      </c>
      <c r="AV11" s="168">
        <f t="shared" ca="1" si="5"/>
        <v>13</v>
      </c>
      <c r="AW11" s="168">
        <f ca="1">COUNTIF( AV$7:AV11, AV11 )</f>
        <v>2</v>
      </c>
      <c r="AX11" s="208">
        <f t="shared" ca="1" si="22"/>
        <v>13.2</v>
      </c>
      <c r="AY11" s="168">
        <f t="shared" ca="1" si="6"/>
        <v>14</v>
      </c>
      <c r="AZ11" s="169"/>
      <c r="BA11" s="169"/>
      <c r="BC11" s="168">
        <f t="shared" ca="1" si="24"/>
        <v>5</v>
      </c>
      <c r="BD11" s="209">
        <f t="shared" ca="1" si="8"/>
        <v>19</v>
      </c>
      <c r="BF11" s="173" t="str">
        <f t="shared" ca="1" si="23"/>
        <v>Evergy, Inc.</v>
      </c>
      <c r="BG11" s="173" t="str">
        <f t="shared" ca="1" si="23"/>
        <v>A-</v>
      </c>
      <c r="BH11" s="173">
        <f t="shared" ca="1" si="23"/>
        <v>20</v>
      </c>
      <c r="BI11" s="173" t="str">
        <f t="shared" ca="1" si="23"/>
        <v>EVRG</v>
      </c>
    </row>
    <row r="12" spans="1:61" ht="13.8" x14ac:dyDescent="0.25">
      <c r="A12" s="223" t="s">
        <v>235</v>
      </c>
      <c r="B12" s="224" t="s">
        <v>139</v>
      </c>
      <c r="C12" s="224">
        <v>20</v>
      </c>
      <c r="D12" s="224" t="s">
        <v>236</v>
      </c>
      <c r="E12" s="225" t="str">
        <f t="shared" ca="1" si="9"/>
        <v>R</v>
      </c>
      <c r="F12" s="348"/>
      <c r="G12" s="349">
        <f t="shared" ca="1" si="1"/>
        <v>23</v>
      </c>
      <c r="H12" s="350"/>
      <c r="I12" s="234"/>
      <c r="J12" s="215" t="s">
        <v>142</v>
      </c>
      <c r="K12" s="234"/>
      <c r="L12" s="215">
        <f t="shared" ca="1" si="10"/>
        <v>3</v>
      </c>
      <c r="M12" s="216">
        <f t="shared" ca="1" si="11"/>
        <v>6.8181818181818177E-2</v>
      </c>
      <c r="N12" s="234"/>
      <c r="O12" s="215">
        <f t="shared" ca="1" si="12"/>
        <v>2</v>
      </c>
      <c r="P12" s="216">
        <f t="shared" ca="1" si="13"/>
        <v>5.7142857142857141E-2</v>
      </c>
      <c r="Q12" s="234"/>
      <c r="R12" s="215">
        <f t="shared" ca="1" si="14"/>
        <v>1</v>
      </c>
      <c r="S12" s="216">
        <f t="shared" ca="1" si="15"/>
        <v>0.1111111111111111</v>
      </c>
      <c r="T12" s="234"/>
      <c r="U12" s="215">
        <f t="shared" ca="1" si="16"/>
        <v>0</v>
      </c>
      <c r="V12" s="216" t="str">
        <f t="shared" ca="1" si="17"/>
        <v/>
      </c>
      <c r="W12" s="234"/>
      <c r="X12" s="186" t="s">
        <v>237</v>
      </c>
      <c r="Y12" s="186">
        <v>17</v>
      </c>
      <c r="Z12" s="186">
        <v>1</v>
      </c>
      <c r="AA12" s="185">
        <f t="shared" ca="1" si="18"/>
        <v>3</v>
      </c>
      <c r="AE12" s="184"/>
      <c r="AF12" s="169">
        <f t="shared" ca="1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20"/>
        <v>12</v>
      </c>
      <c r="AK12" s="169" t="str">
        <f t="shared" ca="1" si="21"/>
        <v>A-</v>
      </c>
      <c r="AL12" s="169">
        <f t="shared" ca="1" si="21"/>
        <v>20</v>
      </c>
      <c r="AM12" s="169" t="str">
        <f t="shared" ca="1" si="4"/>
        <v/>
      </c>
      <c r="AQ12" s="207" t="s">
        <v>238</v>
      </c>
      <c r="AR12" s="207" t="s">
        <v>141</v>
      </c>
      <c r="AS12" s="207">
        <v>18</v>
      </c>
      <c r="AT12" s="207" t="s">
        <v>239</v>
      </c>
      <c r="AV12" s="168">
        <f t="shared" ca="1" si="5"/>
        <v>30</v>
      </c>
      <c r="AW12" s="168">
        <f ca="1">COUNTIF( AV$7:AV12, AV12 )</f>
        <v>2</v>
      </c>
      <c r="AX12" s="208">
        <f t="shared" ca="1" si="22"/>
        <v>30.2</v>
      </c>
      <c r="AY12" s="168">
        <f t="shared" ca="1" si="6"/>
        <v>31</v>
      </c>
      <c r="AZ12" s="169"/>
      <c r="BA12" s="169"/>
      <c r="BC12" s="168">
        <f t="shared" ca="1" si="24"/>
        <v>6</v>
      </c>
      <c r="BD12" s="209">
        <f t="shared" ca="1" si="8"/>
        <v>20</v>
      </c>
      <c r="BF12" s="173" t="str">
        <f t="shared" ca="1" si="23"/>
        <v>Eversource Energy</v>
      </c>
      <c r="BG12" s="173" t="str">
        <f t="shared" ca="1" si="23"/>
        <v>A-</v>
      </c>
      <c r="BH12" s="173">
        <f t="shared" ca="1" si="23"/>
        <v>20</v>
      </c>
      <c r="BI12" s="173" t="str">
        <f t="shared" ca="1" si="23"/>
        <v>ES</v>
      </c>
    </row>
    <row r="13" spans="1:61" ht="13.8" x14ac:dyDescent="0.25">
      <c r="A13" s="223" t="s">
        <v>240</v>
      </c>
      <c r="B13" s="224" t="s">
        <v>139</v>
      </c>
      <c r="C13" s="224">
        <v>20</v>
      </c>
      <c r="D13" s="224" t="s">
        <v>241</v>
      </c>
      <c r="E13" s="225" t="str">
        <f t="shared" ca="1" si="9"/>
        <v>MR</v>
      </c>
      <c r="F13" s="348"/>
      <c r="G13" s="349">
        <f t="shared" ca="1" si="1"/>
        <v>30</v>
      </c>
      <c r="H13" s="350"/>
      <c r="I13" s="235"/>
      <c r="J13" s="217" t="s">
        <v>143</v>
      </c>
      <c r="K13" s="235"/>
      <c r="L13" s="217">
        <f t="shared" ca="1" si="10"/>
        <v>3</v>
      </c>
      <c r="M13" s="218">
        <f t="shared" ca="1" si="11"/>
        <v>6.8181818181818177E-2</v>
      </c>
      <c r="N13" s="235"/>
      <c r="O13" s="217">
        <f t="shared" ca="1" si="12"/>
        <v>3</v>
      </c>
      <c r="P13" s="218">
        <f t="shared" ca="1" si="13"/>
        <v>8.5714285714285715E-2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0</v>
      </c>
      <c r="V13" s="218" t="str">
        <f t="shared" ca="1" si="17"/>
        <v/>
      </c>
      <c r="W13" s="235"/>
      <c r="X13" s="186" t="s">
        <v>242</v>
      </c>
      <c r="Y13" s="186">
        <v>16</v>
      </c>
      <c r="Z13" s="186">
        <v>1</v>
      </c>
      <c r="AA13" s="188">
        <f t="shared" ca="1" si="18"/>
        <v>3</v>
      </c>
      <c r="AE13" s="184"/>
      <c r="AF13" s="169">
        <f t="shared" ca="1" si="2"/>
        <v>0</v>
      </c>
      <c r="AG13" s="169" t="str">
        <f t="shared" ca="1" si="3"/>
        <v/>
      </c>
      <c r="AH13" s="169" t="str">
        <f t="shared" ca="1" si="19"/>
        <v/>
      </c>
      <c r="AJ13" s="169">
        <f t="shared" ca="1" si="20"/>
        <v>13</v>
      </c>
      <c r="AK13" s="169" t="str">
        <f t="shared" ca="1" si="21"/>
        <v>A-</v>
      </c>
      <c r="AL13" s="169">
        <f t="shared" ca="1" si="21"/>
        <v>20</v>
      </c>
      <c r="AM13" s="169" t="str">
        <f t="shared" ca="1" si="4"/>
        <v/>
      </c>
      <c r="AQ13" s="207" t="s">
        <v>215</v>
      </c>
      <c r="AR13" s="207" t="s">
        <v>166</v>
      </c>
      <c r="AS13" s="207">
        <v>21</v>
      </c>
      <c r="AT13" s="207" t="s">
        <v>216</v>
      </c>
      <c r="AV13" s="168">
        <f t="shared" ca="1" si="5"/>
        <v>1</v>
      </c>
      <c r="AW13" s="168">
        <f ca="1">COUNTIF( AV$7:AV13, AV13 )</f>
        <v>1</v>
      </c>
      <c r="AX13" s="208">
        <f t="shared" ca="1" si="22"/>
        <v>1.1000000000000001</v>
      </c>
      <c r="AY13" s="168">
        <f t="shared" ca="1" si="6"/>
        <v>1</v>
      </c>
      <c r="AZ13" s="169"/>
      <c r="BA13" s="169"/>
      <c r="BC13" s="168">
        <f t="shared" ca="1" si="24"/>
        <v>7</v>
      </c>
      <c r="BD13" s="209">
        <f t="shared" ca="1" si="8"/>
        <v>27</v>
      </c>
      <c r="BF13" s="173" t="str">
        <f t="shared" ca="1" si="23"/>
        <v>NextEra Energy, Inc.</v>
      </c>
      <c r="BG13" s="173" t="str">
        <f t="shared" ca="1" si="23"/>
        <v>A-</v>
      </c>
      <c r="BH13" s="173">
        <f t="shared" ca="1" si="23"/>
        <v>20</v>
      </c>
      <c r="BI13" s="173" t="str">
        <f t="shared" ca="1" si="23"/>
        <v>NEE</v>
      </c>
    </row>
    <row r="14" spans="1:61" ht="13.8" x14ac:dyDescent="0.25">
      <c r="A14" s="223" t="s">
        <v>281</v>
      </c>
      <c r="B14" s="224" t="s">
        <v>139</v>
      </c>
      <c r="C14" s="224">
        <v>20</v>
      </c>
      <c r="D14" s="224" t="s">
        <v>282</v>
      </c>
      <c r="E14" s="225" t="str">
        <f t="shared" ca="1" si="9"/>
        <v>R</v>
      </c>
      <c r="F14" s="348"/>
      <c r="G14" s="349">
        <f t="shared" ca="1" si="1"/>
        <v>36</v>
      </c>
      <c r="H14" s="350"/>
      <c r="I14" s="236"/>
      <c r="J14" s="211" t="s">
        <v>144</v>
      </c>
      <c r="K14" s="236"/>
      <c r="L14" s="211">
        <f ca="1">SUM(L8:L13)</f>
        <v>44</v>
      </c>
      <c r="M14" s="212">
        <f ca="1"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9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 ca="1">SUMPRODUCT( L8:L13, Y8:Y13 ) / L14</f>
        <v>18.818181818181817</v>
      </c>
      <c r="Z14" s="190"/>
      <c r="AA14" s="189">
        <f ca="1">SUM(AA8:AA13)</f>
        <v>44</v>
      </c>
      <c r="AE14" s="184"/>
      <c r="AF14" s="169">
        <f t="shared" ca="1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20"/>
        <v>14</v>
      </c>
      <c r="AK14" s="169" t="str">
        <f t="shared" ca="1" si="21"/>
        <v>A-</v>
      </c>
      <c r="AL14" s="169">
        <f t="shared" ca="1" si="21"/>
        <v>20</v>
      </c>
      <c r="AM14" s="169" t="str">
        <f t="shared" ca="1" si="4"/>
        <v/>
      </c>
      <c r="AQ14" s="207" t="s">
        <v>245</v>
      </c>
      <c r="AR14" s="207" t="s">
        <v>140</v>
      </c>
      <c r="AS14" s="207">
        <v>19</v>
      </c>
      <c r="AT14" s="207" t="s">
        <v>246</v>
      </c>
      <c r="AV14" s="168">
        <f t="shared" ca="1" si="5"/>
        <v>13</v>
      </c>
      <c r="AW14" s="168">
        <f ca="1">COUNTIF( AV$7:AV14, AV14 )</f>
        <v>3</v>
      </c>
      <c r="AX14" s="208">
        <f t="shared" ca="1" si="22"/>
        <v>13.3</v>
      </c>
      <c r="AY14" s="168">
        <f t="shared" ca="1" si="6"/>
        <v>15</v>
      </c>
      <c r="AZ14" s="169"/>
      <c r="BA14" s="169"/>
      <c r="BC14" s="168">
        <f t="shared" ca="1" si="24"/>
        <v>8</v>
      </c>
      <c r="BD14" s="209">
        <f t="shared" ca="1" si="8"/>
        <v>33</v>
      </c>
      <c r="BF14" s="173" t="str">
        <f t="shared" ca="1" si="23"/>
        <v>Pinnacle West Capital Corporation</v>
      </c>
      <c r="BG14" s="173" t="str">
        <f t="shared" ca="1" si="23"/>
        <v>A-</v>
      </c>
      <c r="BH14" s="173">
        <f t="shared" ca="1" si="23"/>
        <v>20</v>
      </c>
      <c r="BI14" s="173" t="str">
        <f t="shared" ca="1" si="23"/>
        <v>PNW</v>
      </c>
    </row>
    <row r="15" spans="1:61" ht="13.8" x14ac:dyDescent="0.25">
      <c r="A15" s="223" t="s">
        <v>243</v>
      </c>
      <c r="B15" s="224" t="s">
        <v>139</v>
      </c>
      <c r="C15" s="224">
        <v>20</v>
      </c>
      <c r="D15" s="224" t="s">
        <v>244</v>
      </c>
      <c r="E15" s="225" t="str">
        <f t="shared" ca="1" si="9"/>
        <v>R</v>
      </c>
      <c r="F15" s="348"/>
      <c r="G15" s="349">
        <f t="shared" ca="1" si="1"/>
        <v>39</v>
      </c>
      <c r="H15" s="350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ca="1" si="2"/>
        <v>0</v>
      </c>
      <c r="AG15" s="169" t="str">
        <f t="shared" ca="1" si="3"/>
        <v/>
      </c>
      <c r="AH15" s="169" t="str">
        <f t="shared" ca="1" si="19"/>
        <v/>
      </c>
      <c r="AJ15" s="169">
        <f t="shared" ca="1" si="20"/>
        <v>15</v>
      </c>
      <c r="AK15" s="169" t="str">
        <f t="shared" ca="1" si="21"/>
        <v>A-</v>
      </c>
      <c r="AL15" s="169">
        <f t="shared" ca="1" si="21"/>
        <v>20</v>
      </c>
      <c r="AM15" s="169" t="str">
        <f t="shared" ca="1" si="4"/>
        <v/>
      </c>
      <c r="AQ15" s="207" t="s">
        <v>249</v>
      </c>
      <c r="AR15" s="207" t="s">
        <v>140</v>
      </c>
      <c r="AS15" s="207">
        <v>19</v>
      </c>
      <c r="AT15" s="207" t="s">
        <v>250</v>
      </c>
      <c r="AV15" s="168">
        <f t="shared" ca="1" si="5"/>
        <v>13</v>
      </c>
      <c r="AW15" s="168">
        <f ca="1">COUNTIF( AV$7:AV15, AV15 )</f>
        <v>4</v>
      </c>
      <c r="AX15" s="208">
        <f t="shared" ca="1" si="22"/>
        <v>13.4</v>
      </c>
      <c r="AY15" s="168">
        <f t="shared" ca="1" si="6"/>
        <v>16</v>
      </c>
      <c r="AZ15" s="169"/>
      <c r="BA15" s="169"/>
      <c r="BC15" s="168">
        <f t="shared" ca="1" si="24"/>
        <v>9</v>
      </c>
      <c r="BD15" s="209">
        <f t="shared" ca="1" si="8"/>
        <v>36</v>
      </c>
      <c r="BF15" s="173" t="str">
        <f t="shared" ca="1" si="23"/>
        <v>PPL Corporation</v>
      </c>
      <c r="BG15" s="173" t="str">
        <f t="shared" ca="1" si="23"/>
        <v>A-</v>
      </c>
      <c r="BH15" s="173">
        <f t="shared" ca="1" si="23"/>
        <v>20</v>
      </c>
      <c r="BI15" s="173" t="str">
        <f t="shared" ca="1" si="23"/>
        <v>PPL</v>
      </c>
    </row>
    <row r="16" spans="1:61" ht="13.8" x14ac:dyDescent="0.25">
      <c r="A16" s="223" t="s">
        <v>293</v>
      </c>
      <c r="B16" s="224" t="s">
        <v>139</v>
      </c>
      <c r="C16" s="224">
        <v>20</v>
      </c>
      <c r="D16" s="224" t="s">
        <v>294</v>
      </c>
      <c r="E16" s="225" t="str">
        <f t="shared" ca="1" si="9"/>
        <v>R</v>
      </c>
      <c r="F16" s="348"/>
      <c r="G16" s="349">
        <f t="shared" ca="1" si="1"/>
        <v>42</v>
      </c>
      <c r="H16" s="350"/>
      <c r="I16" s="232"/>
      <c r="J16" s="210" t="s">
        <v>253</v>
      </c>
      <c r="K16" s="232"/>
      <c r="L16" s="386">
        <f t="array" aca="1" ref="L16" ca="1">SUM( IF( LEN( $C$7:$C$65 ) = 0, 0, $C$7:$C$65 ) ) / SUM( IF( LEN( $C$7:$C$65 ) = 0, 0, 1  ) )</f>
        <v>18.795454545454547</v>
      </c>
      <c r="M16" s="387"/>
      <c r="N16" s="232"/>
      <c r="O16" s="386">
        <f t="array" aca="1" ref="O16" ca="1">SUM( IF( LEN( $C$7:$C$65 ) = 0, 0, IF( $E$7:$E$65 = O3, $C$7:$C$65, 0 ) ) ) / SUM( IF( LEN( $C$7:$C$65 ) = 0, 0, IF( $E$7:$E$65 = O3, 1, 0 ) ) )</f>
        <v>18.742857142857144</v>
      </c>
      <c r="P16" s="387"/>
      <c r="Q16" s="232"/>
      <c r="R16" s="386">
        <f t="array" aca="1" ref="R16" ca="1">SUM( IF( LEN( $C$7:$C$65 ) = 0, 0, IF( $E$7:$E$65 = R3, $C$7:$C$65, 0 ) ) ) / SUM( IF( LEN( $C$7:$C$65 ) = 0, 0, IF( $E$7:$E$65 = R3, 1, 0 ) ) )</f>
        <v>19</v>
      </c>
      <c r="S16" s="387"/>
      <c r="T16" s="232"/>
      <c r="U16" s="386" t="e">
        <f t="array" aca="1" ref="U16" ca="1">SUM( IF( LEN( $C$7:$C$65 ) = 0, 0, IF( $E$7:$E$65 = U3, $C$7:$C$65, 0 ) ) ) / SUM( IF( LEN( $C$7:$C$65 ) = 0, 0, IF( $E$7:$E$65 = U3, 1, 0 ) ) )</f>
        <v>#DIV/0!</v>
      </c>
      <c r="V16" s="388"/>
      <c r="W16" s="232"/>
      <c r="AE16" s="184"/>
      <c r="AF16" s="169">
        <f t="shared" ca="1" si="2"/>
        <v>0</v>
      </c>
      <c r="AG16" s="169" t="str">
        <f t="shared" ca="1" si="3"/>
        <v/>
      </c>
      <c r="AH16" s="169" t="str">
        <f t="shared" ca="1" si="19"/>
        <v/>
      </c>
      <c r="AJ16" s="169">
        <f t="shared" ca="1" si="20"/>
        <v>16</v>
      </c>
      <c r="AK16" s="169" t="str">
        <f t="shared" ca="1" si="21"/>
        <v>A-</v>
      </c>
      <c r="AL16" s="169">
        <f t="shared" ca="1" si="21"/>
        <v>20</v>
      </c>
      <c r="AM16" s="169" t="str">
        <f t="shared" ca="1" si="4"/>
        <v/>
      </c>
      <c r="AQ16" s="207" t="s">
        <v>254</v>
      </c>
      <c r="AR16" s="207" t="s">
        <v>142</v>
      </c>
      <c r="AS16" s="207">
        <v>17</v>
      </c>
      <c r="AT16" s="207" t="s">
        <v>255</v>
      </c>
      <c r="AV16" s="168">
        <f t="shared" ca="1" si="5"/>
        <v>38</v>
      </c>
      <c r="AW16" s="168">
        <f ca="1">COUNTIF( AV$7:AV16, AV16 )</f>
        <v>1</v>
      </c>
      <c r="AX16" s="208">
        <f t="shared" ca="1" si="22"/>
        <v>38.1</v>
      </c>
      <c r="AY16" s="168">
        <f t="shared" ca="1" si="6"/>
        <v>38</v>
      </c>
      <c r="AZ16" s="169"/>
      <c r="BA16" s="169"/>
      <c r="BC16" s="168">
        <f t="shared" ca="1" si="24"/>
        <v>10</v>
      </c>
      <c r="BD16" s="209">
        <f t="shared" ca="1" si="8"/>
        <v>40</v>
      </c>
      <c r="BF16" s="173" t="str">
        <f t="shared" ca="1" si="23"/>
        <v>Southern Company</v>
      </c>
      <c r="BG16" s="173" t="str">
        <f t="shared" ca="1" si="23"/>
        <v>A-</v>
      </c>
      <c r="BH16" s="173">
        <f t="shared" ca="1" si="23"/>
        <v>20</v>
      </c>
      <c r="BI16" s="173" t="str">
        <f t="shared" ca="1" si="23"/>
        <v>SO</v>
      </c>
    </row>
    <row r="17" spans="1:61" ht="13.8" x14ac:dyDescent="0.25">
      <c r="A17" s="223" t="s">
        <v>247</v>
      </c>
      <c r="B17" s="224" t="s">
        <v>139</v>
      </c>
      <c r="C17" s="224">
        <v>20</v>
      </c>
      <c r="D17" s="224" t="s">
        <v>248</v>
      </c>
      <c r="E17" s="225" t="str">
        <f t="shared" ca="1" si="9"/>
        <v>R</v>
      </c>
      <c r="F17" s="348"/>
      <c r="G17" s="349">
        <f t="shared" ca="1" si="1"/>
        <v>44</v>
      </c>
      <c r="H17" s="350"/>
      <c r="I17" s="237"/>
      <c r="K17" s="237"/>
      <c r="N17" s="237"/>
      <c r="O17" s="173"/>
      <c r="Q17" s="237"/>
      <c r="T17" s="237"/>
      <c r="W17" s="237"/>
      <c r="AE17" s="178"/>
      <c r="AF17" s="169">
        <f t="shared" ca="1" si="2"/>
        <v>0</v>
      </c>
      <c r="AG17" s="169" t="str">
        <f t="shared" ca="1" si="3"/>
        <v/>
      </c>
      <c r="AH17" s="169" t="str">
        <f t="shared" ca="1" si="19"/>
        <v/>
      </c>
      <c r="AJ17" s="169">
        <f t="shared" ca="1" si="20"/>
        <v>17</v>
      </c>
      <c r="AK17" s="169" t="str">
        <f t="shared" ca="1" si="21"/>
        <v>A-</v>
      </c>
      <c r="AL17" s="169">
        <f t="shared" ca="1" si="21"/>
        <v>20</v>
      </c>
      <c r="AM17" s="169" t="str">
        <f t="shared" ca="1" si="4"/>
        <v/>
      </c>
      <c r="AQ17" s="207" t="s">
        <v>256</v>
      </c>
      <c r="AR17" s="207" t="s">
        <v>140</v>
      </c>
      <c r="AS17" s="207">
        <v>19</v>
      </c>
      <c r="AT17" s="207" t="s">
        <v>257</v>
      </c>
      <c r="AV17" s="168">
        <f t="shared" ca="1" si="5"/>
        <v>13</v>
      </c>
      <c r="AW17" s="168">
        <f ca="1">COUNTIF( AV$7:AV17, AV17 )</f>
        <v>5</v>
      </c>
      <c r="AX17" s="208">
        <f t="shared" ca="1" si="22"/>
        <v>13.5</v>
      </c>
      <c r="AY17" s="168">
        <f t="shared" ca="1" si="6"/>
        <v>17</v>
      </c>
      <c r="AZ17" s="169"/>
      <c r="BA17" s="169"/>
      <c r="BC17" s="168">
        <f t="shared" ca="1" si="24"/>
        <v>11</v>
      </c>
      <c r="BD17" s="209">
        <f t="shared" ca="1" si="8"/>
        <v>42</v>
      </c>
      <c r="BF17" s="173" t="str">
        <f t="shared" ca="1" si="23"/>
        <v>Wisconsin Energy Corporation</v>
      </c>
      <c r="BG17" s="173" t="str">
        <f t="shared" ca="1" si="23"/>
        <v>A-</v>
      </c>
      <c r="BH17" s="173">
        <f t="shared" ca="1" si="23"/>
        <v>20</v>
      </c>
      <c r="BI17" s="173" t="str">
        <f t="shared" ca="1" si="23"/>
        <v>WEC</v>
      </c>
    </row>
    <row r="18" spans="1:61" ht="13.8" x14ac:dyDescent="0.25">
      <c r="A18" s="223" t="s">
        <v>251</v>
      </c>
      <c r="B18" s="224" t="s">
        <v>139</v>
      </c>
      <c r="C18" s="224">
        <v>20</v>
      </c>
      <c r="D18" s="224" t="s">
        <v>252</v>
      </c>
      <c r="E18" s="225" t="str">
        <f t="shared" ca="1" si="9"/>
        <v>R</v>
      </c>
      <c r="F18" s="348"/>
      <c r="G18" s="349">
        <f t="shared" ca="1" si="1"/>
        <v>45</v>
      </c>
      <c r="H18" s="350"/>
      <c r="I18" s="237"/>
      <c r="K18" s="237"/>
      <c r="N18" s="237"/>
      <c r="O18" s="173"/>
      <c r="Q18" s="237"/>
      <c r="T18" s="237"/>
      <c r="W18" s="237"/>
      <c r="AE18" s="184"/>
      <c r="AF18" s="169">
        <f t="shared" ca="1" si="2"/>
        <v>0</v>
      </c>
      <c r="AG18" s="169" t="str">
        <f t="shared" ca="1" si="3"/>
        <v/>
      </c>
      <c r="AH18" s="169" t="str">
        <f t="shared" ca="1" si="19"/>
        <v/>
      </c>
      <c r="AJ18" s="169">
        <f t="shared" ca="1" si="20"/>
        <v>18</v>
      </c>
      <c r="AK18" s="169" t="str">
        <f t="shared" ca="1" si="21"/>
        <v>A-</v>
      </c>
      <c r="AL18" s="169">
        <f t="shared" ca="1" si="21"/>
        <v>20</v>
      </c>
      <c r="AM18" s="169" t="str">
        <f t="shared" ca="1" si="4"/>
        <v/>
      </c>
      <c r="AQ18" s="207" t="s">
        <v>227</v>
      </c>
      <c r="AR18" s="207" t="s">
        <v>139</v>
      </c>
      <c r="AS18" s="207">
        <v>20</v>
      </c>
      <c r="AT18" s="207" t="s">
        <v>228</v>
      </c>
      <c r="AV18" s="168">
        <f t="shared" ca="1" si="5"/>
        <v>2</v>
      </c>
      <c r="AW18" s="168">
        <f ca="1">COUNTIF( AV$7:AV18, AV18 )</f>
        <v>3</v>
      </c>
      <c r="AX18" s="208">
        <f t="shared" ca="1" si="22"/>
        <v>2.2999999999999998</v>
      </c>
      <c r="AY18" s="168">
        <f t="shared" ca="1" si="6"/>
        <v>4</v>
      </c>
      <c r="AZ18" s="169"/>
      <c r="BA18" s="169"/>
      <c r="BC18" s="168">
        <f t="shared" ca="1" si="24"/>
        <v>12</v>
      </c>
      <c r="BD18" s="209">
        <f t="shared" ca="1" si="8"/>
        <v>43</v>
      </c>
      <c r="BF18" s="173" t="str">
        <f t="shared" ca="1" si="23"/>
        <v>Xcel Energy Inc.</v>
      </c>
      <c r="BG18" s="173" t="str">
        <f t="shared" ca="1" si="23"/>
        <v>A-</v>
      </c>
      <c r="BH18" s="173">
        <f t="shared" ca="1" si="23"/>
        <v>20</v>
      </c>
      <c r="BI18" s="173" t="str">
        <f t="shared" ca="1" si="23"/>
        <v>XEL</v>
      </c>
    </row>
    <row r="19" spans="1:61" ht="13.8" x14ac:dyDescent="0.25">
      <c r="A19" s="223" t="s">
        <v>225</v>
      </c>
      <c r="B19" s="224" t="s">
        <v>140</v>
      </c>
      <c r="C19" s="224">
        <v>19</v>
      </c>
      <c r="D19" s="224" t="s">
        <v>226</v>
      </c>
      <c r="E19" s="225" t="str">
        <f t="shared" ca="1" si="9"/>
        <v>R</v>
      </c>
      <c r="F19" s="348"/>
      <c r="G19" s="349">
        <f t="shared" ca="1" si="1"/>
        <v>9</v>
      </c>
      <c r="H19" s="350"/>
      <c r="I19" s="237"/>
      <c r="K19" s="237"/>
      <c r="N19" s="237"/>
      <c r="O19" s="173"/>
      <c r="Q19" s="237"/>
      <c r="T19" s="237"/>
      <c r="W19" s="237"/>
      <c r="AE19" s="184"/>
      <c r="AF19" s="169">
        <f t="shared" ca="1" si="2"/>
        <v>1</v>
      </c>
      <c r="AG19" s="169" t="str">
        <f t="shared" ca="1" si="3"/>
        <v/>
      </c>
      <c r="AH19" s="169" t="str">
        <f t="shared" ca="1" si="19"/>
        <v/>
      </c>
      <c r="AJ19" s="169">
        <f t="shared" ca="1" si="20"/>
        <v>19</v>
      </c>
      <c r="AK19" s="169" t="str">
        <f t="shared" ca="1" si="21"/>
        <v>BBB+</v>
      </c>
      <c r="AL19" s="169">
        <f t="shared" ca="1" si="21"/>
        <v>19</v>
      </c>
      <c r="AM19" s="169" t="str">
        <f t="shared" ca="1" si="4"/>
        <v/>
      </c>
      <c r="AQ19" s="207" t="s">
        <v>258</v>
      </c>
      <c r="AR19" s="207" t="s">
        <v>140</v>
      </c>
      <c r="AS19" s="207">
        <v>19</v>
      </c>
      <c r="AT19" s="207" t="s">
        <v>194</v>
      </c>
      <c r="AV19" s="168">
        <f t="shared" ca="1" si="5"/>
        <v>13</v>
      </c>
      <c r="AW19" s="168">
        <f ca="1">COUNTIF( AV$7:AV19, AV19 )</f>
        <v>6</v>
      </c>
      <c r="AX19" s="208">
        <f t="shared" ca="1" si="22"/>
        <v>13.6</v>
      </c>
      <c r="AY19" s="168">
        <f t="shared" ca="1" si="6"/>
        <v>18</v>
      </c>
      <c r="AZ19" s="169"/>
      <c r="BA19" s="169"/>
      <c r="BC19" s="168">
        <f t="shared" ca="1" si="24"/>
        <v>13</v>
      </c>
      <c r="BD19" s="209">
        <f t="shared" ca="1" si="8"/>
        <v>3</v>
      </c>
      <c r="BF19" s="173" t="str">
        <f t="shared" ca="1" si="23"/>
        <v>Ameren Corporation</v>
      </c>
      <c r="BG19" s="173" t="str">
        <f t="shared" ca="1" si="23"/>
        <v>BBB+</v>
      </c>
      <c r="BH19" s="173">
        <f t="shared" ca="1" si="23"/>
        <v>19</v>
      </c>
      <c r="BI19" s="173" t="str">
        <f t="shared" ca="1" si="23"/>
        <v>AEE</v>
      </c>
    </row>
    <row r="20" spans="1:61" ht="13.8" x14ac:dyDescent="0.25">
      <c r="A20" s="223" t="s">
        <v>233</v>
      </c>
      <c r="B20" s="224" t="s">
        <v>140</v>
      </c>
      <c r="C20" s="224">
        <v>19</v>
      </c>
      <c r="D20" s="224" t="s">
        <v>234</v>
      </c>
      <c r="E20" s="225" t="str">
        <f t="shared" ca="1" si="9"/>
        <v>MR</v>
      </c>
      <c r="F20" s="348"/>
      <c r="G20" s="349">
        <f t="shared" ca="1" si="1"/>
        <v>11</v>
      </c>
      <c r="H20" s="350"/>
      <c r="I20" s="352"/>
      <c r="K20" s="352"/>
      <c r="N20" s="352"/>
      <c r="O20" s="173"/>
      <c r="Q20" s="352"/>
      <c r="T20" s="352"/>
      <c r="W20" s="352"/>
      <c r="AE20" s="184"/>
      <c r="AF20" s="169">
        <f t="shared" ca="1" si="2"/>
        <v>1</v>
      </c>
      <c r="AG20" s="169" t="str">
        <f t="shared" ca="1" si="3"/>
        <v/>
      </c>
      <c r="AH20" s="169" t="str">
        <f t="shared" ca="1" si="19"/>
        <v/>
      </c>
      <c r="AJ20" s="169">
        <f t="shared" ca="1" si="20"/>
        <v>20</v>
      </c>
      <c r="AK20" s="169" t="str">
        <f t="shared" ca="1" si="21"/>
        <v>BBB+</v>
      </c>
      <c r="AL20" s="169">
        <f t="shared" ca="1" si="21"/>
        <v>19</v>
      </c>
      <c r="AM20" s="169" t="str">
        <f t="shared" ca="1" si="4"/>
        <v/>
      </c>
      <c r="AQ20" s="207" t="s">
        <v>259</v>
      </c>
      <c r="AR20" s="207" t="s">
        <v>173</v>
      </c>
      <c r="AS20" s="207">
        <v>16</v>
      </c>
      <c r="AT20" s="207" t="s">
        <v>260</v>
      </c>
      <c r="AV20" s="168">
        <f t="shared" ca="1" si="5"/>
        <v>41</v>
      </c>
      <c r="AW20" s="168">
        <f ca="1">COUNTIF( AV$7:AV20, AV20 )</f>
        <v>1</v>
      </c>
      <c r="AX20" s="208">
        <f t="shared" ca="1" si="22"/>
        <v>41.1</v>
      </c>
      <c r="AY20" s="168">
        <f t="shared" ca="1" si="6"/>
        <v>41</v>
      </c>
      <c r="AZ20" s="169"/>
      <c r="BA20" s="169"/>
      <c r="BC20" s="168">
        <f t="shared" ca="1" si="24"/>
        <v>14</v>
      </c>
      <c r="BD20" s="209">
        <f t="shared" ca="1" si="8"/>
        <v>5</v>
      </c>
      <c r="BF20" s="173" t="str">
        <f t="shared" ca="1" si="23"/>
        <v>AVANGRID, Inc.</v>
      </c>
      <c r="BG20" s="173" t="str">
        <f t="shared" ca="1" si="23"/>
        <v>BBB+</v>
      </c>
      <c r="BH20" s="173">
        <f t="shared" ca="1" si="23"/>
        <v>19</v>
      </c>
      <c r="BI20" s="173" t="str">
        <f t="shared" ca="1" si="23"/>
        <v>AGR</v>
      </c>
    </row>
    <row r="21" spans="1:61" ht="13.8" x14ac:dyDescent="0.25">
      <c r="A21" s="223" t="s">
        <v>245</v>
      </c>
      <c r="B21" s="224" t="s">
        <v>140</v>
      </c>
      <c r="C21" s="224">
        <v>19</v>
      </c>
      <c r="D21" s="224" t="s">
        <v>246</v>
      </c>
      <c r="E21" s="225" t="str">
        <f t="shared" ca="1" si="9"/>
        <v>R</v>
      </c>
      <c r="F21" s="348"/>
      <c r="G21" s="349">
        <f t="shared" ca="1" si="1"/>
        <v>13</v>
      </c>
      <c r="H21" s="350"/>
      <c r="I21" s="237"/>
      <c r="K21" s="237"/>
      <c r="N21" s="237"/>
      <c r="Q21" s="237"/>
      <c r="T21" s="237"/>
      <c r="W21" s="237"/>
      <c r="AE21" s="184"/>
      <c r="AF21" s="169">
        <f t="shared" ca="1" si="2"/>
        <v>1</v>
      </c>
      <c r="AG21" s="169" t="str">
        <f t="shared" ca="1" si="3"/>
        <v/>
      </c>
      <c r="AH21" s="169" t="str">
        <f t="shared" ca="1" si="19"/>
        <v/>
      </c>
      <c r="AJ21" s="169">
        <f t="shared" ca="1" si="20"/>
        <v>21</v>
      </c>
      <c r="AK21" s="169" t="str">
        <f t="shared" ca="1" si="21"/>
        <v>BBB+</v>
      </c>
      <c r="AL21" s="169">
        <f t="shared" ca="1" si="21"/>
        <v>19</v>
      </c>
      <c r="AM21" s="169" t="str">
        <f t="shared" ca="1" si="4"/>
        <v/>
      </c>
      <c r="AQ21" s="207" t="s">
        <v>261</v>
      </c>
      <c r="AR21" s="207" t="s">
        <v>140</v>
      </c>
      <c r="AS21" s="207">
        <v>19</v>
      </c>
      <c r="AT21" s="207" t="s">
        <v>262</v>
      </c>
      <c r="AV21" s="168">
        <f t="shared" ca="1" si="5"/>
        <v>13</v>
      </c>
      <c r="AW21" s="168">
        <f ca="1">COUNTIF( AV$7:AV21, AV21 )</f>
        <v>7</v>
      </c>
      <c r="AX21" s="208">
        <f t="shared" ca="1" si="22"/>
        <v>13.7</v>
      </c>
      <c r="AY21" s="168">
        <f t="shared" ca="1" si="6"/>
        <v>19</v>
      </c>
      <c r="AZ21" s="169"/>
      <c r="BA21" s="169"/>
      <c r="BC21" s="168">
        <f t="shared" ca="1" si="24"/>
        <v>15</v>
      </c>
      <c r="BD21" s="209">
        <f t="shared" ca="1" si="8"/>
        <v>8</v>
      </c>
      <c r="BF21" s="173" t="str">
        <f t="shared" ca="1" si="23"/>
        <v>Black Hills Corporation</v>
      </c>
      <c r="BG21" s="173" t="str">
        <f t="shared" ca="1" si="23"/>
        <v>BBB+</v>
      </c>
      <c r="BH21" s="173">
        <f t="shared" ca="1" si="23"/>
        <v>19</v>
      </c>
      <c r="BI21" s="173" t="str">
        <f t="shared" ca="1" si="23"/>
        <v>BKH</v>
      </c>
    </row>
    <row r="22" spans="1:61" ht="13.8" x14ac:dyDescent="0.25">
      <c r="A22" s="223" t="s">
        <v>249</v>
      </c>
      <c r="B22" s="224" t="s">
        <v>140</v>
      </c>
      <c r="C22" s="224">
        <v>19</v>
      </c>
      <c r="D22" s="224" t="s">
        <v>250</v>
      </c>
      <c r="E22" s="225" t="str">
        <f t="shared" ca="1" si="9"/>
        <v>R</v>
      </c>
      <c r="F22" s="348"/>
      <c r="G22" s="349">
        <f t="shared" ca="1" si="1"/>
        <v>14</v>
      </c>
      <c r="H22" s="350"/>
      <c r="I22" s="237"/>
      <c r="K22" s="237"/>
      <c r="N22" s="237"/>
      <c r="Q22" s="237"/>
      <c r="T22" s="237"/>
      <c r="W22" s="237"/>
      <c r="AE22" s="184"/>
      <c r="AF22" s="169">
        <f t="shared" ca="1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20"/>
        <v>22</v>
      </c>
      <c r="AK22" s="169" t="str">
        <f t="shared" ca="1" si="21"/>
        <v>BBB+</v>
      </c>
      <c r="AL22" s="169">
        <f t="shared" ca="1" si="21"/>
        <v>19</v>
      </c>
      <c r="AM22" s="169" t="str">
        <f t="shared" ca="1" si="4"/>
        <v/>
      </c>
      <c r="AQ22" s="207" t="s">
        <v>263</v>
      </c>
      <c r="AR22" s="207" t="s">
        <v>140</v>
      </c>
      <c r="AS22" s="207">
        <v>19</v>
      </c>
      <c r="AT22" s="207" t="s">
        <v>264</v>
      </c>
      <c r="AV22" s="168">
        <f t="shared" ca="1" si="5"/>
        <v>13</v>
      </c>
      <c r="AW22" s="168">
        <f ca="1">COUNTIF( AV$7:AV22, AV22 )</f>
        <v>8</v>
      </c>
      <c r="AX22" s="208">
        <f t="shared" ca="1" si="22"/>
        <v>13.8</v>
      </c>
      <c r="AY22" s="168">
        <f t="shared" ca="1" si="6"/>
        <v>20</v>
      </c>
      <c r="AZ22" s="169"/>
      <c r="BA22" s="169"/>
      <c r="BC22" s="168">
        <f t="shared" ca="1" si="24"/>
        <v>16</v>
      </c>
      <c r="BD22" s="209">
        <f t="shared" ca="1" si="8"/>
        <v>9</v>
      </c>
      <c r="BF22" s="173" t="str">
        <f t="shared" ca="1" si="23"/>
        <v>CenterPoint Energy, Inc.</v>
      </c>
      <c r="BG22" s="173" t="str">
        <f t="shared" ca="1" si="23"/>
        <v>BBB+</v>
      </c>
      <c r="BH22" s="173">
        <f t="shared" ca="1" si="23"/>
        <v>19</v>
      </c>
      <c r="BI22" s="173" t="str">
        <f t="shared" ca="1" si="23"/>
        <v>CNP</v>
      </c>
    </row>
    <row r="23" spans="1:61" ht="13.8" x14ac:dyDescent="0.25">
      <c r="A23" s="223" t="s">
        <v>256</v>
      </c>
      <c r="B23" s="224" t="s">
        <v>140</v>
      </c>
      <c r="C23" s="224">
        <v>19</v>
      </c>
      <c r="D23" s="224" t="s">
        <v>257</v>
      </c>
      <c r="E23" s="225" t="str">
        <f t="shared" ca="1" si="9"/>
        <v>R</v>
      </c>
      <c r="F23" s="348"/>
      <c r="G23" s="349">
        <f t="shared" ca="1" si="1"/>
        <v>15</v>
      </c>
      <c r="H23" s="350"/>
      <c r="I23" s="237"/>
      <c r="K23" s="237"/>
      <c r="N23" s="237"/>
      <c r="Q23" s="237"/>
      <c r="T23" s="237"/>
      <c r="W23" s="237"/>
      <c r="AE23" s="184"/>
      <c r="AF23" s="169">
        <f t="shared" ca="1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20"/>
        <v>23</v>
      </c>
      <c r="AK23" s="169" t="str">
        <f t="shared" ca="1" si="21"/>
        <v>BBB+</v>
      </c>
      <c r="AL23" s="169">
        <f t="shared" ca="1" si="21"/>
        <v>19</v>
      </c>
      <c r="AM23" s="169" t="str">
        <f t="shared" ca="1" si="4"/>
        <v/>
      </c>
      <c r="AQ23" s="207" t="s">
        <v>265</v>
      </c>
      <c r="AR23" s="207" t="s">
        <v>141</v>
      </c>
      <c r="AS23" s="207">
        <v>18</v>
      </c>
      <c r="AT23" s="207" t="s">
        <v>266</v>
      </c>
      <c r="AV23" s="168">
        <f t="shared" ca="1" si="5"/>
        <v>30</v>
      </c>
      <c r="AW23" s="168">
        <f ca="1">COUNTIF( AV$7:AV23, AV23 )</f>
        <v>3</v>
      </c>
      <c r="AX23" s="208">
        <f t="shared" ca="1" si="22"/>
        <v>30.3</v>
      </c>
      <c r="AY23" s="168">
        <f t="shared" ca="1" si="6"/>
        <v>32</v>
      </c>
      <c r="AZ23" s="169"/>
      <c r="BA23" s="169"/>
      <c r="BC23" s="168">
        <f t="shared" ca="1" si="24"/>
        <v>17</v>
      </c>
      <c r="BD23" s="209">
        <f t="shared" ca="1" si="8"/>
        <v>11</v>
      </c>
      <c r="BF23" s="173" t="str">
        <f t="shared" ca="1" si="23"/>
        <v>CMS Energy Corporation</v>
      </c>
      <c r="BG23" s="173" t="str">
        <f t="shared" ca="1" si="23"/>
        <v>BBB+</v>
      </c>
      <c r="BH23" s="173">
        <f t="shared" ca="1" si="23"/>
        <v>19</v>
      </c>
      <c r="BI23" s="173" t="str">
        <f t="shared" ca="1" si="23"/>
        <v>CMS</v>
      </c>
    </row>
    <row r="24" spans="1:61" ht="13.8" x14ac:dyDescent="0.25">
      <c r="A24" s="223" t="s">
        <v>258</v>
      </c>
      <c r="B24" s="224" t="s">
        <v>140</v>
      </c>
      <c r="C24" s="224">
        <v>19</v>
      </c>
      <c r="D24" s="224" t="s">
        <v>194</v>
      </c>
      <c r="E24" s="225" t="str">
        <f t="shared" ca="1" si="9"/>
        <v>R</v>
      </c>
      <c r="F24" s="348"/>
      <c r="G24" s="349">
        <f t="shared" ca="1" si="1"/>
        <v>17</v>
      </c>
      <c r="H24" s="350"/>
      <c r="I24" s="237"/>
      <c r="J24" s="191"/>
      <c r="K24" s="237"/>
      <c r="N24" s="237"/>
      <c r="Q24" s="237"/>
      <c r="T24" s="237"/>
      <c r="W24" s="237"/>
      <c r="AE24" s="184"/>
      <c r="AF24" s="169">
        <f t="shared" ca="1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20"/>
        <v>24</v>
      </c>
      <c r="AK24" s="169" t="str">
        <f t="shared" ca="1" si="21"/>
        <v>BBB+</v>
      </c>
      <c r="AL24" s="169">
        <f t="shared" ca="1" si="21"/>
        <v>19</v>
      </c>
      <c r="AM24" s="169" t="str">
        <f t="shared" ca="1" si="4"/>
        <v/>
      </c>
      <c r="AQ24" s="207" t="s">
        <v>267</v>
      </c>
      <c r="AR24" s="207" t="s">
        <v>140</v>
      </c>
      <c r="AS24" s="207">
        <v>19</v>
      </c>
      <c r="AT24" s="207" t="s">
        <v>268</v>
      </c>
      <c r="AV24" s="168">
        <f t="shared" ca="1" si="5"/>
        <v>13</v>
      </c>
      <c r="AW24" s="168">
        <f ca="1">COUNTIF( AV$7:AV24, AV24 )</f>
        <v>9</v>
      </c>
      <c r="AX24" s="208">
        <f t="shared" ca="1" si="22"/>
        <v>13.9</v>
      </c>
      <c r="AY24" s="168">
        <f t="shared" ca="1" si="6"/>
        <v>21</v>
      </c>
      <c r="AZ24" s="169"/>
      <c r="BA24" s="169"/>
      <c r="BC24" s="168">
        <f t="shared" ca="1" si="24"/>
        <v>18</v>
      </c>
      <c r="BD24" s="209">
        <f t="shared" ca="1" si="8"/>
        <v>13</v>
      </c>
      <c r="BF24" s="173" t="str">
        <f t="shared" ca="1" si="23"/>
        <v>Dominion Energy, Inc.</v>
      </c>
      <c r="BG24" s="173" t="str">
        <f t="shared" ca="1" si="23"/>
        <v>BBB+</v>
      </c>
      <c r="BH24" s="173">
        <f t="shared" ca="1" si="23"/>
        <v>19</v>
      </c>
      <c r="BI24" s="173" t="str">
        <f t="shared" ca="1" si="23"/>
        <v>D</v>
      </c>
    </row>
    <row r="25" spans="1:61" ht="13.8" x14ac:dyDescent="0.25">
      <c r="A25" s="223" t="s">
        <v>261</v>
      </c>
      <c r="B25" s="224" t="s">
        <v>140</v>
      </c>
      <c r="C25" s="224">
        <v>19</v>
      </c>
      <c r="D25" s="224" t="s">
        <v>262</v>
      </c>
      <c r="E25" s="225" t="str">
        <f t="shared" ca="1" si="9"/>
        <v>MR</v>
      </c>
      <c r="F25" s="348"/>
      <c r="G25" s="349">
        <f t="shared" ca="1" si="1"/>
        <v>18</v>
      </c>
      <c r="H25" s="350"/>
      <c r="I25" s="237"/>
      <c r="J25" s="191"/>
      <c r="K25" s="237"/>
      <c r="N25" s="237"/>
      <c r="Q25" s="237"/>
      <c r="T25" s="237"/>
      <c r="W25" s="237"/>
      <c r="AE25" s="184"/>
      <c r="AF25" s="169">
        <f t="shared" ca="1" si="2"/>
        <v>1</v>
      </c>
      <c r="AG25" s="169" t="str">
        <f t="shared" ca="1" si="3"/>
        <v/>
      </c>
      <c r="AH25" s="169" t="str">
        <f t="shared" ca="1" si="19"/>
        <v/>
      </c>
      <c r="AJ25" s="169">
        <f t="shared" ca="1" si="20"/>
        <v>25</v>
      </c>
      <c r="AK25" s="169" t="str">
        <f t="shared" ca="1" si="21"/>
        <v>BBB+</v>
      </c>
      <c r="AL25" s="169">
        <f t="shared" ca="1" si="21"/>
        <v>19</v>
      </c>
      <c r="AM25" s="169" t="str">
        <f t="shared" ca="1" si="4"/>
        <v/>
      </c>
      <c r="AQ25" s="207" t="s">
        <v>230</v>
      </c>
      <c r="AR25" s="207" t="s">
        <v>139</v>
      </c>
      <c r="AS25" s="207">
        <v>20</v>
      </c>
      <c r="AT25" s="207" t="s">
        <v>231</v>
      </c>
      <c r="AV25" s="168">
        <f t="shared" ca="1" si="5"/>
        <v>2</v>
      </c>
      <c r="AW25" s="168">
        <f ca="1">COUNTIF( AV$7:AV25, AV25 )</f>
        <v>4</v>
      </c>
      <c r="AX25" s="208">
        <f t="shared" ca="1" si="22"/>
        <v>2.4</v>
      </c>
      <c r="AY25" s="168">
        <f t="shared" ca="1" si="6"/>
        <v>5</v>
      </c>
      <c r="AZ25" s="169"/>
      <c r="BA25" s="169"/>
      <c r="BC25" s="168">
        <f t="shared" ca="1" si="24"/>
        <v>19</v>
      </c>
      <c r="BD25" s="209">
        <f t="shared" ca="1" si="8"/>
        <v>15</v>
      </c>
      <c r="BF25" s="173" t="str">
        <f t="shared" ca="1" si="23"/>
        <v>DTE Energy Company</v>
      </c>
      <c r="BG25" s="173" t="str">
        <f t="shared" ca="1" si="23"/>
        <v>BBB+</v>
      </c>
      <c r="BH25" s="173">
        <f t="shared" ca="1" si="23"/>
        <v>19</v>
      </c>
      <c r="BI25" s="173" t="str">
        <f t="shared" ca="1" si="23"/>
        <v>DTE</v>
      </c>
    </row>
    <row r="26" spans="1:61" ht="13.8" x14ac:dyDescent="0.25">
      <c r="A26" s="223" t="s">
        <v>263</v>
      </c>
      <c r="B26" s="224" t="s">
        <v>140</v>
      </c>
      <c r="C26" s="224">
        <v>19</v>
      </c>
      <c r="D26" s="224" t="s">
        <v>264</v>
      </c>
      <c r="E26" s="225" t="str">
        <f t="shared" ca="1" si="9"/>
        <v>R</v>
      </c>
      <c r="F26" s="348"/>
      <c r="G26" s="349">
        <f t="shared" ca="1" si="1"/>
        <v>19</v>
      </c>
      <c r="H26" s="350"/>
      <c r="I26" s="237"/>
      <c r="J26" s="191"/>
      <c r="K26" s="237"/>
      <c r="N26" s="237"/>
      <c r="Q26" s="237"/>
      <c r="T26" s="237"/>
      <c r="W26" s="237"/>
      <c r="AE26" s="184"/>
      <c r="AF26" s="169">
        <f t="shared" ca="1" si="2"/>
        <v>1</v>
      </c>
      <c r="AG26" s="169" t="str">
        <f t="shared" ca="1" si="3"/>
        <v/>
      </c>
      <c r="AH26" s="169" t="str">
        <f t="shared" ca="1" si="19"/>
        <v/>
      </c>
      <c r="AJ26" s="169">
        <f t="shared" ca="1" si="20"/>
        <v>26</v>
      </c>
      <c r="AK26" s="169" t="str">
        <f t="shared" ca="1" si="21"/>
        <v>BBB+</v>
      </c>
      <c r="AL26" s="169">
        <f t="shared" ca="1" si="21"/>
        <v>19</v>
      </c>
      <c r="AM26" s="169" t="str">
        <f t="shared" ca="1" si="4"/>
        <v/>
      </c>
      <c r="AQ26" s="207" t="s">
        <v>235</v>
      </c>
      <c r="AR26" s="207" t="s">
        <v>139</v>
      </c>
      <c r="AS26" s="207">
        <v>20</v>
      </c>
      <c r="AT26" s="207" t="s">
        <v>236</v>
      </c>
      <c r="AV26" s="168">
        <f t="shared" ca="1" si="5"/>
        <v>2</v>
      </c>
      <c r="AW26" s="168">
        <f ca="1">COUNTIF( AV$7:AV26, AV26 )</f>
        <v>5</v>
      </c>
      <c r="AX26" s="208">
        <f t="shared" ca="1" si="22"/>
        <v>2.5</v>
      </c>
      <c r="AY26" s="168">
        <f t="shared" ca="1" si="6"/>
        <v>6</v>
      </c>
      <c r="AZ26" s="169"/>
      <c r="BA26" s="169"/>
      <c r="BC26" s="168">
        <f t="shared" ca="1" si="24"/>
        <v>20</v>
      </c>
      <c r="BD26" s="209">
        <f t="shared" ca="1" si="8"/>
        <v>16</v>
      </c>
      <c r="BF26" s="173" t="str">
        <f t="shared" ca="1" si="23"/>
        <v>Duke Energy Corporation</v>
      </c>
      <c r="BG26" s="173" t="str">
        <f t="shared" ca="1" si="23"/>
        <v>BBB+</v>
      </c>
      <c r="BH26" s="173">
        <f t="shared" ca="1" si="23"/>
        <v>19</v>
      </c>
      <c r="BI26" s="173" t="str">
        <f t="shared" ca="1" si="23"/>
        <v>DUK</v>
      </c>
    </row>
    <row r="27" spans="1:61" ht="13.8" x14ac:dyDescent="0.25">
      <c r="A27" s="223" t="s">
        <v>267</v>
      </c>
      <c r="B27" s="224" t="s">
        <v>140</v>
      </c>
      <c r="C27" s="224">
        <v>19</v>
      </c>
      <c r="D27" s="224" t="s">
        <v>268</v>
      </c>
      <c r="E27" s="225" t="str">
        <f t="shared" ca="1" si="9"/>
        <v>R</v>
      </c>
      <c r="F27" s="348"/>
      <c r="G27" s="349">
        <f t="shared" ca="1" si="1"/>
        <v>21</v>
      </c>
      <c r="H27" s="350"/>
      <c r="I27" s="237"/>
      <c r="J27" s="191"/>
      <c r="K27" s="237"/>
      <c r="N27" s="237"/>
      <c r="Q27" s="237"/>
      <c r="T27" s="237"/>
      <c r="W27" s="237"/>
      <c r="AE27" s="184"/>
      <c r="AF27" s="169">
        <f t="shared" ca="1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20"/>
        <v>27</v>
      </c>
      <c r="AK27" s="169" t="str">
        <f t="shared" ca="1" si="21"/>
        <v>BBB+</v>
      </c>
      <c r="AL27" s="169">
        <f t="shared" ca="1" si="21"/>
        <v>19</v>
      </c>
      <c r="AM27" s="169" t="str">
        <f t="shared" ca="1" si="4"/>
        <v/>
      </c>
      <c r="AQ27" s="207" t="s">
        <v>269</v>
      </c>
      <c r="AR27" s="207" t="s">
        <v>140</v>
      </c>
      <c r="AS27" s="207">
        <v>19</v>
      </c>
      <c r="AT27" s="207" t="s">
        <v>270</v>
      </c>
      <c r="AV27" s="168">
        <f t="shared" ca="1" si="5"/>
        <v>13</v>
      </c>
      <c r="AW27" s="168">
        <f ca="1">COUNTIF( AV$7:AV27, AV27 )</f>
        <v>10</v>
      </c>
      <c r="AX27" s="208">
        <f t="shared" ca="1" si="22"/>
        <v>14</v>
      </c>
      <c r="AY27" s="168">
        <f t="shared" ca="1" si="6"/>
        <v>22</v>
      </c>
      <c r="AZ27" s="169"/>
      <c r="BA27" s="169"/>
      <c r="BC27" s="168">
        <f t="shared" ca="1" si="24"/>
        <v>21</v>
      </c>
      <c r="BD27" s="209">
        <f t="shared" ca="1" si="8"/>
        <v>18</v>
      </c>
      <c r="BF27" s="173" t="str">
        <f t="shared" ca="1" si="23"/>
        <v>Entergy Corporation</v>
      </c>
      <c r="BG27" s="173" t="str">
        <f t="shared" ca="1" si="23"/>
        <v>BBB+</v>
      </c>
      <c r="BH27" s="173">
        <f t="shared" ca="1" si="23"/>
        <v>19</v>
      </c>
      <c r="BI27" s="173" t="str">
        <f t="shared" ca="1" si="23"/>
        <v>ETR</v>
      </c>
    </row>
    <row r="28" spans="1:61" ht="13.8" x14ac:dyDescent="0.25">
      <c r="A28" s="223" t="s">
        <v>269</v>
      </c>
      <c r="B28" s="224" t="s">
        <v>140</v>
      </c>
      <c r="C28" s="224">
        <v>19</v>
      </c>
      <c r="D28" s="224" t="s">
        <v>270</v>
      </c>
      <c r="E28" s="225" t="str">
        <f t="shared" ca="1" si="9"/>
        <v>MR</v>
      </c>
      <c r="F28" s="348"/>
      <c r="G28" s="349">
        <f t="shared" ca="1" si="1"/>
        <v>24</v>
      </c>
      <c r="H28" s="350"/>
      <c r="I28" s="237"/>
      <c r="J28" s="191"/>
      <c r="K28" s="237"/>
      <c r="N28" s="237"/>
      <c r="Q28" s="237"/>
      <c r="T28" s="237"/>
      <c r="W28" s="237"/>
      <c r="AE28" s="178"/>
      <c r="AF28" s="169">
        <f t="shared" ca="1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20"/>
        <v>28</v>
      </c>
      <c r="AK28" s="169" t="str">
        <f t="shared" ca="1" si="21"/>
        <v>BBB+</v>
      </c>
      <c r="AL28" s="169">
        <f t="shared" ca="1" si="21"/>
        <v>19</v>
      </c>
      <c r="AM28" s="169" t="str">
        <f t="shared" ca="1" si="4"/>
        <v/>
      </c>
      <c r="AQ28" s="207" t="s">
        <v>275</v>
      </c>
      <c r="AR28" s="207" t="s">
        <v>175</v>
      </c>
      <c r="AS28" s="207">
        <v>15</v>
      </c>
      <c r="AT28" s="207" t="s">
        <v>276</v>
      </c>
      <c r="AV28" s="168">
        <f t="shared" ca="1" si="5"/>
        <v>42</v>
      </c>
      <c r="AW28" s="168">
        <f ca="1">COUNTIF( AV$7:AV28, AV28 )</f>
        <v>1</v>
      </c>
      <c r="AX28" s="208">
        <f t="shared" ca="1" si="22"/>
        <v>42.1</v>
      </c>
      <c r="AY28" s="168">
        <f t="shared" ca="1" si="6"/>
        <v>42</v>
      </c>
      <c r="AZ28" s="169"/>
      <c r="BA28" s="169"/>
      <c r="BC28" s="168">
        <f t="shared" ca="1" si="24"/>
        <v>22</v>
      </c>
      <c r="BD28" s="209">
        <f t="shared" ca="1" si="8"/>
        <v>21</v>
      </c>
      <c r="BF28" s="173" t="str">
        <f t="shared" ca="1" si="23"/>
        <v>Exelon Corporation</v>
      </c>
      <c r="BG28" s="173" t="str">
        <f t="shared" ca="1" si="23"/>
        <v>BBB+</v>
      </c>
      <c r="BH28" s="173">
        <f t="shared" ca="1" si="23"/>
        <v>19</v>
      </c>
      <c r="BI28" s="173" t="str">
        <f t="shared" ca="1" si="23"/>
        <v>EXC</v>
      </c>
    </row>
    <row r="29" spans="1:61" ht="13.8" x14ac:dyDescent="0.25">
      <c r="A29" s="223" t="s">
        <v>271</v>
      </c>
      <c r="B29" s="224" t="s">
        <v>140</v>
      </c>
      <c r="C29" s="224">
        <v>19</v>
      </c>
      <c r="D29" s="224" t="s">
        <v>272</v>
      </c>
      <c r="E29" s="225" t="str">
        <f t="shared" ca="1" si="9"/>
        <v>MR</v>
      </c>
      <c r="F29" s="348"/>
      <c r="G29" s="349">
        <f t="shared" ca="1" si="1"/>
        <v>28</v>
      </c>
      <c r="H29" s="350"/>
      <c r="I29" s="237"/>
      <c r="J29" s="191"/>
      <c r="K29" s="237"/>
      <c r="N29" s="237"/>
      <c r="Q29" s="237"/>
      <c r="T29" s="237"/>
      <c r="W29" s="237"/>
      <c r="AF29" s="169">
        <f t="shared" ca="1" si="2"/>
        <v>1</v>
      </c>
      <c r="AG29" s="169" t="str">
        <f t="shared" ca="1" si="3"/>
        <v/>
      </c>
      <c r="AH29" s="169" t="str">
        <f t="shared" ca="1" si="19"/>
        <v/>
      </c>
      <c r="AJ29" s="169">
        <f t="shared" ca="1" si="20"/>
        <v>29</v>
      </c>
      <c r="AK29" s="169" t="str">
        <f t="shared" ca="1" si="21"/>
        <v>BBB+</v>
      </c>
      <c r="AL29" s="169">
        <f t="shared" ca="1" si="21"/>
        <v>19</v>
      </c>
      <c r="AM29" s="169" t="str">
        <f t="shared" ca="1" si="4"/>
        <v/>
      </c>
      <c r="AQ29" s="207" t="s">
        <v>279</v>
      </c>
      <c r="AR29" s="207" t="s">
        <v>142</v>
      </c>
      <c r="AS29" s="207">
        <v>17</v>
      </c>
      <c r="AT29" s="207" t="s">
        <v>280</v>
      </c>
      <c r="AV29" s="168">
        <f t="shared" ca="1" si="5"/>
        <v>38</v>
      </c>
      <c r="AW29" s="168">
        <f ca="1">COUNTIF( AV$7:AV29, AV29 )</f>
        <v>2</v>
      </c>
      <c r="AX29" s="208">
        <f t="shared" ca="1" si="22"/>
        <v>38.200000000000003</v>
      </c>
      <c r="AY29" s="168">
        <f t="shared" ca="1" si="6"/>
        <v>39</v>
      </c>
      <c r="AZ29" s="169"/>
      <c r="BA29" s="169"/>
      <c r="BC29" s="168">
        <f t="shared" ca="1" si="24"/>
        <v>23</v>
      </c>
      <c r="BD29" s="209">
        <f t="shared" ca="1" si="8"/>
        <v>26</v>
      </c>
      <c r="BF29" s="173" t="str">
        <f t="shared" ca="1" si="23"/>
        <v>MDU Resources Group, Inc.</v>
      </c>
      <c r="BG29" s="173" t="str">
        <f t="shared" ca="1" si="23"/>
        <v>BBB+</v>
      </c>
      <c r="BH29" s="173">
        <f t="shared" ca="1" si="23"/>
        <v>19</v>
      </c>
      <c r="BI29" s="173" t="str">
        <f t="shared" ca="1" si="23"/>
        <v>MDU</v>
      </c>
    </row>
    <row r="30" spans="1:61" ht="13.8" x14ac:dyDescent="0.25">
      <c r="A30" s="223" t="s">
        <v>273</v>
      </c>
      <c r="B30" s="224" t="s">
        <v>140</v>
      </c>
      <c r="C30" s="224">
        <v>19</v>
      </c>
      <c r="D30" s="224" t="s">
        <v>274</v>
      </c>
      <c r="E30" s="225" t="str">
        <f t="shared" ca="1" si="9"/>
        <v>R</v>
      </c>
      <c r="F30" s="348"/>
      <c r="G30" s="349">
        <f t="shared" ca="1" si="1"/>
        <v>31</v>
      </c>
      <c r="H30" s="350"/>
      <c r="I30" s="237"/>
      <c r="J30" s="191"/>
      <c r="K30" s="237"/>
      <c r="N30" s="237"/>
      <c r="Q30" s="237"/>
      <c r="T30" s="237"/>
      <c r="W30" s="237"/>
      <c r="AF30" s="169">
        <f t="shared" ca="1" si="2"/>
        <v>1</v>
      </c>
      <c r="AG30" s="169" t="str">
        <f t="shared" ca="1" si="3"/>
        <v/>
      </c>
      <c r="AH30" s="169" t="str">
        <f t="shared" ca="1" si="19"/>
        <v/>
      </c>
      <c r="AJ30" s="169">
        <f t="shared" ca="1" si="20"/>
        <v>30</v>
      </c>
      <c r="AK30" s="169" t="str">
        <f t="shared" ca="1" si="21"/>
        <v>BBB+</v>
      </c>
      <c r="AL30" s="169">
        <f t="shared" ca="1" si="21"/>
        <v>19</v>
      </c>
      <c r="AM30" s="169" t="str">
        <f t="shared" ca="1" si="4"/>
        <v/>
      </c>
      <c r="AQ30" s="207" t="s">
        <v>283</v>
      </c>
      <c r="AR30" s="207" t="s">
        <v>141</v>
      </c>
      <c r="AS30" s="207">
        <v>18</v>
      </c>
      <c r="AT30" s="207" t="s">
        <v>284</v>
      </c>
      <c r="AV30" s="168">
        <f t="shared" ca="1" si="5"/>
        <v>30</v>
      </c>
      <c r="AW30" s="168">
        <f ca="1">COUNTIF( AV$7:AV30, AV30 )</f>
        <v>4</v>
      </c>
      <c r="AX30" s="208">
        <f t="shared" ca="1" si="22"/>
        <v>30.4</v>
      </c>
      <c r="AY30" s="168">
        <f t="shared" ca="1" si="6"/>
        <v>33</v>
      </c>
      <c r="AZ30" s="169"/>
      <c r="BA30" s="169"/>
      <c r="BC30" s="168">
        <f t="shared" ca="1" si="24"/>
        <v>24</v>
      </c>
      <c r="BD30" s="209">
        <f t="shared" ca="1" si="8"/>
        <v>28</v>
      </c>
      <c r="BF30" s="173" t="str">
        <f t="shared" ca="1" si="23"/>
        <v>NiSource Inc.</v>
      </c>
      <c r="BG30" s="173" t="str">
        <f t="shared" ca="1" si="23"/>
        <v>BBB+</v>
      </c>
      <c r="BH30" s="173">
        <f t="shared" ca="1" si="23"/>
        <v>19</v>
      </c>
      <c r="BI30" s="173" t="str">
        <f t="shared" ca="1" si="23"/>
        <v>NI</v>
      </c>
    </row>
    <row r="31" spans="1:61" ht="13.8" x14ac:dyDescent="0.25">
      <c r="A31" s="223" t="s">
        <v>277</v>
      </c>
      <c r="B31" s="224" t="s">
        <v>140</v>
      </c>
      <c r="C31" s="224">
        <v>19</v>
      </c>
      <c r="D31" s="224" t="s">
        <v>278</v>
      </c>
      <c r="E31" s="225" t="str">
        <f t="shared" ca="1" si="9"/>
        <v>R</v>
      </c>
      <c r="F31" s="348"/>
      <c r="G31" s="349">
        <f t="shared" ca="1" si="1"/>
        <v>33</v>
      </c>
      <c r="H31" s="350"/>
      <c r="I31" s="237"/>
      <c r="J31" s="191"/>
      <c r="K31" s="237"/>
      <c r="N31" s="237"/>
      <c r="O31" s="351"/>
      <c r="Q31" s="237"/>
      <c r="T31" s="237"/>
      <c r="W31" s="237"/>
      <c r="AF31" s="169">
        <f t="shared" ca="1" si="2"/>
        <v>1</v>
      </c>
      <c r="AG31" s="169" t="str">
        <f t="shared" ca="1" si="3"/>
        <v/>
      </c>
      <c r="AH31" s="169" t="str">
        <f t="shared" ca="1" si="19"/>
        <v/>
      </c>
      <c r="AJ31" s="169">
        <f t="shared" ca="1" si="20"/>
        <v>31</v>
      </c>
      <c r="AK31" s="169" t="str">
        <f t="shared" ca="1" si="21"/>
        <v>BBB+</v>
      </c>
      <c r="AL31" s="169">
        <f t="shared" ca="1" si="21"/>
        <v>19</v>
      </c>
      <c r="AM31" s="169" t="str">
        <f t="shared" ca="1" si="4"/>
        <v/>
      </c>
      <c r="AQ31" s="207" t="s">
        <v>287</v>
      </c>
      <c r="AR31" s="207" t="s">
        <v>141</v>
      </c>
      <c r="AS31" s="207">
        <v>18</v>
      </c>
      <c r="AT31" s="207" t="s">
        <v>288</v>
      </c>
      <c r="AV31" s="168">
        <f t="shared" ca="1" si="5"/>
        <v>30</v>
      </c>
      <c r="AW31" s="168">
        <f ca="1">COUNTIF( AV$7:AV31, AV31 )</f>
        <v>5</v>
      </c>
      <c r="AX31" s="208">
        <f t="shared" ca="1" si="22"/>
        <v>30.5</v>
      </c>
      <c r="AY31" s="168">
        <f t="shared" ca="1" si="6"/>
        <v>34</v>
      </c>
      <c r="AZ31" s="169"/>
      <c r="BA31" s="169"/>
      <c r="BC31" s="168">
        <f t="shared" ca="1" si="24"/>
        <v>25</v>
      </c>
      <c r="BD31" s="209">
        <f t="shared" ca="1" si="8"/>
        <v>30</v>
      </c>
      <c r="BF31" s="173" t="str">
        <f t="shared" ca="1" si="23"/>
        <v>OGE Energy Corp.</v>
      </c>
      <c r="BG31" s="173" t="str">
        <f t="shared" ca="1" si="23"/>
        <v>BBB+</v>
      </c>
      <c r="BH31" s="173">
        <f t="shared" ca="1" si="23"/>
        <v>19</v>
      </c>
      <c r="BI31" s="173" t="str">
        <f t="shared" ca="1" si="23"/>
        <v>OGE</v>
      </c>
    </row>
    <row r="32" spans="1:61" ht="13.8" x14ac:dyDescent="0.25">
      <c r="A32" s="223" t="s">
        <v>285</v>
      </c>
      <c r="B32" s="224" t="s">
        <v>140</v>
      </c>
      <c r="C32" s="224">
        <v>19</v>
      </c>
      <c r="D32" s="224" t="s">
        <v>286</v>
      </c>
      <c r="E32" s="225" t="str">
        <f t="shared" ca="1" si="9"/>
        <v>R</v>
      </c>
      <c r="F32" s="348"/>
      <c r="G32" s="349">
        <f t="shared" ca="1" si="1"/>
        <v>38</v>
      </c>
      <c r="H32" s="350"/>
      <c r="I32" s="237"/>
      <c r="J32" s="191"/>
      <c r="K32" s="237"/>
      <c r="N32" s="237"/>
      <c r="Q32" s="237"/>
      <c r="T32" s="237"/>
      <c r="W32" s="237"/>
      <c r="AF32" s="169">
        <f t="shared" ca="1" si="2"/>
        <v>1</v>
      </c>
      <c r="AG32" s="169" t="str">
        <f t="shared" ca="1" si="3"/>
        <v/>
      </c>
      <c r="AH32" s="169" t="str">
        <f t="shared" ca="1" si="19"/>
        <v/>
      </c>
      <c r="AJ32" s="169">
        <f t="shared" ca="1" si="20"/>
        <v>32</v>
      </c>
      <c r="AK32" s="169" t="str">
        <f t="shared" ca="1" si="21"/>
        <v>BBB+</v>
      </c>
      <c r="AL32" s="169">
        <f t="shared" ca="1" si="21"/>
        <v>19</v>
      </c>
      <c r="AM32" s="169" t="str">
        <f t="shared" ca="1" si="4"/>
        <v/>
      </c>
      <c r="AQ32" s="207" t="s">
        <v>271</v>
      </c>
      <c r="AR32" s="207" t="s">
        <v>140</v>
      </c>
      <c r="AS32" s="207">
        <v>19</v>
      </c>
      <c r="AT32" s="207" t="s">
        <v>272</v>
      </c>
      <c r="AV32" s="168">
        <f t="shared" ca="1" si="5"/>
        <v>13</v>
      </c>
      <c r="AW32" s="168">
        <f ca="1">COUNTIF( AV$7:AV32, AV32 )</f>
        <v>11</v>
      </c>
      <c r="AX32" s="208">
        <f t="shared" ca="1" si="22"/>
        <v>14.1</v>
      </c>
      <c r="AY32" s="168">
        <f t="shared" ca="1" si="6"/>
        <v>23</v>
      </c>
      <c r="AZ32" s="169"/>
      <c r="BA32" s="169"/>
      <c r="BC32" s="168">
        <f t="shared" ca="1" si="24"/>
        <v>26</v>
      </c>
      <c r="BD32" s="209">
        <f t="shared" ca="1" si="8"/>
        <v>35</v>
      </c>
      <c r="BF32" s="173" t="str">
        <f t="shared" ca="1" si="23"/>
        <v>Portland General Electric Company</v>
      </c>
      <c r="BG32" s="173" t="str">
        <f t="shared" ca="1" si="23"/>
        <v>BBB+</v>
      </c>
      <c r="BH32" s="173">
        <f t="shared" ca="1" si="23"/>
        <v>19</v>
      </c>
      <c r="BI32" s="173" t="str">
        <f t="shared" ca="1" si="23"/>
        <v>POR</v>
      </c>
    </row>
    <row r="33" spans="1:61" ht="13.8" x14ac:dyDescent="0.25">
      <c r="A33" s="223" t="s">
        <v>289</v>
      </c>
      <c r="B33" s="224" t="s">
        <v>140</v>
      </c>
      <c r="C33" s="224">
        <v>19</v>
      </c>
      <c r="D33" s="224" t="s">
        <v>290</v>
      </c>
      <c r="E33" s="225" t="str">
        <f t="shared" ca="1" si="9"/>
        <v>MR</v>
      </c>
      <c r="F33" s="348"/>
      <c r="G33" s="349">
        <f t="shared" ca="1" si="1"/>
        <v>40</v>
      </c>
      <c r="H33" s="350"/>
      <c r="I33" s="237"/>
      <c r="J33" s="191"/>
      <c r="K33" s="237"/>
      <c r="N33" s="237"/>
      <c r="Q33" s="237"/>
      <c r="T33" s="237"/>
      <c r="W33" s="237"/>
      <c r="AF33" s="169">
        <f t="shared" ca="1" si="2"/>
        <v>1</v>
      </c>
      <c r="AG33" s="169" t="str">
        <f t="shared" ca="1" si="3"/>
        <v/>
      </c>
      <c r="AH33" s="169" t="str">
        <f t="shared" ca="1" si="19"/>
        <v/>
      </c>
      <c r="AJ33" s="169">
        <f t="shared" ca="1" si="20"/>
        <v>33</v>
      </c>
      <c r="AK33" s="169" t="str">
        <f t="shared" ca="1" si="21"/>
        <v>BBB+</v>
      </c>
      <c r="AL33" s="169">
        <f t="shared" ca="1" si="21"/>
        <v>19</v>
      </c>
      <c r="AM33" s="169" t="str">
        <f t="shared" ca="1" si="4"/>
        <v/>
      </c>
      <c r="AQ33" s="207" t="s">
        <v>240</v>
      </c>
      <c r="AR33" s="207" t="s">
        <v>139</v>
      </c>
      <c r="AS33" s="207">
        <v>20</v>
      </c>
      <c r="AT33" s="207" t="s">
        <v>241</v>
      </c>
      <c r="AV33" s="168">
        <f t="shared" ca="1" si="5"/>
        <v>2</v>
      </c>
      <c r="AW33" s="168">
        <f ca="1">COUNTIF( AV$7:AV33, AV33 )</f>
        <v>6</v>
      </c>
      <c r="AX33" s="208">
        <f t="shared" ca="1" si="22"/>
        <v>2.6</v>
      </c>
      <c r="AY33" s="168">
        <f t="shared" ca="1" si="6"/>
        <v>7</v>
      </c>
      <c r="AZ33" s="169"/>
      <c r="BA33" s="169"/>
      <c r="BC33" s="168">
        <f t="shared" ca="1" si="24"/>
        <v>27</v>
      </c>
      <c r="BD33" s="209">
        <f t="shared" ca="1" si="8"/>
        <v>37</v>
      </c>
      <c r="BF33" s="173" t="str">
        <f t="shared" ca="1" si="23"/>
        <v>Public Service Enterprise Group Incorporated</v>
      </c>
      <c r="BG33" s="173" t="str">
        <f t="shared" ca="1" si="23"/>
        <v>BBB+</v>
      </c>
      <c r="BH33" s="173">
        <f t="shared" ca="1" si="23"/>
        <v>19</v>
      </c>
      <c r="BI33" s="173" t="str">
        <f t="shared" ca="1" si="23"/>
        <v>PEG</v>
      </c>
    </row>
    <row r="34" spans="1:61" ht="13.8" x14ac:dyDescent="0.25">
      <c r="A34" s="223" t="s">
        <v>291</v>
      </c>
      <c r="B34" s="224" t="s">
        <v>140</v>
      </c>
      <c r="C34" s="224">
        <v>19</v>
      </c>
      <c r="D34" s="224" t="s">
        <v>292</v>
      </c>
      <c r="E34" s="225" t="str">
        <f t="shared" ca="1" si="9"/>
        <v>R</v>
      </c>
      <c r="F34" s="348"/>
      <c r="G34" s="349">
        <f t="shared" ca="1" si="1"/>
        <v>41</v>
      </c>
      <c r="H34" s="350"/>
      <c r="I34" s="237"/>
      <c r="J34" s="191"/>
      <c r="K34" s="237"/>
      <c r="N34" s="237"/>
      <c r="Q34" s="237"/>
      <c r="T34" s="237"/>
      <c r="W34" s="237"/>
      <c r="AF34" s="169">
        <f t="shared" ca="1" si="2"/>
        <v>1</v>
      </c>
      <c r="AG34" s="169" t="str">
        <f t="shared" ca="1" si="3"/>
        <v/>
      </c>
      <c r="AH34" s="169" t="str">
        <f t="shared" ca="1" si="19"/>
        <v/>
      </c>
      <c r="AJ34" s="169">
        <f t="shared" ca="1" si="20"/>
        <v>34</v>
      </c>
      <c r="AK34" s="169" t="str">
        <f t="shared" ca="1" si="21"/>
        <v>BBB+</v>
      </c>
      <c r="AL34" s="169">
        <f t="shared" ca="1" si="21"/>
        <v>19</v>
      </c>
      <c r="AM34" s="169" t="str">
        <f t="shared" ca="1" si="4"/>
        <v/>
      </c>
      <c r="AQ34" s="207" t="s">
        <v>273</v>
      </c>
      <c r="AR34" s="207" t="s">
        <v>140</v>
      </c>
      <c r="AS34" s="207">
        <v>19</v>
      </c>
      <c r="AT34" s="207" t="s">
        <v>274</v>
      </c>
      <c r="AV34" s="168">
        <f t="shared" ca="1" si="5"/>
        <v>13</v>
      </c>
      <c r="AW34" s="168">
        <f ca="1">COUNTIF( AV$7:AV34, AV34 )</f>
        <v>12</v>
      </c>
      <c r="AX34" s="208">
        <f t="shared" ca="1" si="22"/>
        <v>14.2</v>
      </c>
      <c r="AY34" s="168">
        <f t="shared" ca="1" si="6"/>
        <v>24</v>
      </c>
      <c r="AZ34" s="169"/>
      <c r="BA34" s="169"/>
      <c r="BC34" s="168">
        <f t="shared" ca="1" si="24"/>
        <v>28</v>
      </c>
      <c r="BD34" s="209">
        <f t="shared" ca="1" si="8"/>
        <v>39</v>
      </c>
      <c r="BF34" s="173" t="str">
        <f t="shared" ca="1" si="23"/>
        <v>Sempra Energy</v>
      </c>
      <c r="BG34" s="173" t="str">
        <f t="shared" ca="1" si="23"/>
        <v>BBB+</v>
      </c>
      <c r="BH34" s="173">
        <f t="shared" ca="1" si="23"/>
        <v>19</v>
      </c>
      <c r="BI34" s="173" t="str">
        <f t="shared" ca="1" si="23"/>
        <v>SRE</v>
      </c>
    </row>
    <row r="35" spans="1:61" ht="13.8" x14ac:dyDescent="0.25">
      <c r="A35" s="223" t="s">
        <v>295</v>
      </c>
      <c r="B35" s="224" t="s">
        <v>140</v>
      </c>
      <c r="C35" s="224">
        <v>19</v>
      </c>
      <c r="D35" s="224" t="s">
        <v>296</v>
      </c>
      <c r="E35" s="225" t="str">
        <f t="shared" ca="1" si="9"/>
        <v>R</v>
      </c>
      <c r="F35" s="348"/>
      <c r="G35" s="349">
        <f t="shared" ca="1" si="1"/>
        <v>43</v>
      </c>
      <c r="H35" s="350"/>
      <c r="I35" s="237"/>
      <c r="K35" s="237"/>
      <c r="N35" s="237"/>
      <c r="Q35" s="237"/>
      <c r="T35" s="237"/>
      <c r="W35" s="237"/>
      <c r="AF35" s="169">
        <f t="shared" ca="1" si="2"/>
        <v>1</v>
      </c>
      <c r="AG35" s="169" t="str">
        <f t="shared" ca="1" si="3"/>
        <v/>
      </c>
      <c r="AH35" s="169" t="str">
        <f t="shared" ca="1" si="19"/>
        <v/>
      </c>
      <c r="AJ35" s="169">
        <f t="shared" ca="1" si="20"/>
        <v>35</v>
      </c>
      <c r="AK35" s="169" t="str">
        <f t="shared" ca="1" si="21"/>
        <v>BBB+</v>
      </c>
      <c r="AL35" s="169">
        <f t="shared" ca="1" si="21"/>
        <v>19</v>
      </c>
      <c r="AM35" s="169" t="str">
        <f t="shared" ca="1" si="4"/>
        <v/>
      </c>
      <c r="AQ35" s="207" t="s">
        <v>297</v>
      </c>
      <c r="AR35" s="207" t="s">
        <v>141</v>
      </c>
      <c r="AS35" s="207">
        <v>18</v>
      </c>
      <c r="AT35" s="207" t="s">
        <v>298</v>
      </c>
      <c r="AV35" s="168">
        <f t="shared" ca="1" si="5"/>
        <v>30</v>
      </c>
      <c r="AW35" s="168">
        <f ca="1">COUNTIF( AV$7:AV35, AV35 )</f>
        <v>6</v>
      </c>
      <c r="AX35" s="208">
        <f t="shared" ca="1" si="22"/>
        <v>30.6</v>
      </c>
      <c r="AY35" s="168">
        <f t="shared" ca="1" si="6"/>
        <v>35</v>
      </c>
      <c r="AZ35" s="169"/>
      <c r="BA35" s="169"/>
      <c r="BC35" s="168">
        <f t="shared" ca="1" si="24"/>
        <v>29</v>
      </c>
      <c r="BD35" s="209">
        <f t="shared" ca="1" si="8"/>
        <v>41</v>
      </c>
      <c r="BF35" s="173" t="str">
        <f t="shared" ca="1" si="23"/>
        <v>Unitil Corporation</v>
      </c>
      <c r="BG35" s="173" t="str">
        <f t="shared" ca="1" si="23"/>
        <v>BBB+</v>
      </c>
      <c r="BH35" s="173">
        <f t="shared" ca="1" si="23"/>
        <v>19</v>
      </c>
      <c r="BI35" s="173" t="str">
        <f t="shared" ca="1" si="23"/>
        <v>UTL</v>
      </c>
    </row>
    <row r="36" spans="1:61" ht="13.8" x14ac:dyDescent="0.25">
      <c r="A36" s="223" t="s">
        <v>217</v>
      </c>
      <c r="B36" s="224" t="s">
        <v>141</v>
      </c>
      <c r="C36" s="224">
        <v>18</v>
      </c>
      <c r="D36" s="224" t="s">
        <v>218</v>
      </c>
      <c r="E36" s="225" t="str">
        <f t="shared" ca="1" si="9"/>
        <v>MR</v>
      </c>
      <c r="F36" s="348"/>
      <c r="G36" s="349">
        <f t="shared" ca="1" si="1"/>
        <v>7</v>
      </c>
      <c r="H36" s="350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ca="1" si="2"/>
        <v>0</v>
      </c>
      <c r="AG36" s="169" t="str">
        <f t="shared" ca="1" si="3"/>
        <v/>
      </c>
      <c r="AH36" s="169" t="str">
        <f t="shared" ca="1" si="19"/>
        <v/>
      </c>
      <c r="AJ36" s="169">
        <f t="shared" ca="1" si="20"/>
        <v>36</v>
      </c>
      <c r="AK36" s="169" t="str">
        <f t="shared" ca="1" si="21"/>
        <v>BBB</v>
      </c>
      <c r="AL36" s="169">
        <f t="shared" ca="1" si="21"/>
        <v>18</v>
      </c>
      <c r="AM36" s="169" t="str">
        <f t="shared" ca="1" si="4"/>
        <v/>
      </c>
      <c r="AQ36" s="207" t="s">
        <v>277</v>
      </c>
      <c r="AR36" s="207" t="s">
        <v>140</v>
      </c>
      <c r="AS36" s="207">
        <v>19</v>
      </c>
      <c r="AT36" s="207" t="s">
        <v>278</v>
      </c>
      <c r="AV36" s="168">
        <f t="shared" ca="1" si="5"/>
        <v>13</v>
      </c>
      <c r="AW36" s="168">
        <f ca="1">COUNTIF( AV$7:AV36, AV36 )</f>
        <v>13</v>
      </c>
      <c r="AX36" s="208">
        <f t="shared" ca="1" si="22"/>
        <v>14.3</v>
      </c>
      <c r="AY36" s="168">
        <f t="shared" ca="1" si="6"/>
        <v>25</v>
      </c>
      <c r="AZ36" s="169"/>
      <c r="BA36" s="169"/>
      <c r="BC36" s="168">
        <f t="shared" ca="1" si="24"/>
        <v>30</v>
      </c>
      <c r="BD36" s="209">
        <f t="shared" ca="1" si="8"/>
        <v>1</v>
      </c>
      <c r="BF36" s="173" t="str">
        <f t="shared" ca="1" si="23"/>
        <v>ALLETE, Inc.</v>
      </c>
      <c r="BG36" s="173" t="str">
        <f t="shared" ca="1" si="23"/>
        <v>BBB</v>
      </c>
      <c r="BH36" s="173">
        <f t="shared" ca="1" si="23"/>
        <v>18</v>
      </c>
      <c r="BI36" s="173" t="str">
        <f t="shared" ca="1" si="23"/>
        <v>ALE</v>
      </c>
    </row>
    <row r="37" spans="1:61" ht="13.8" x14ac:dyDescent="0.25">
      <c r="A37" s="223" t="s">
        <v>238</v>
      </c>
      <c r="B37" s="224" t="s">
        <v>141</v>
      </c>
      <c r="C37" s="224">
        <v>18</v>
      </c>
      <c r="D37" s="224" t="s">
        <v>239</v>
      </c>
      <c r="E37" s="225" t="str">
        <f t="shared" ca="1" si="9"/>
        <v>R</v>
      </c>
      <c r="F37" s="348"/>
      <c r="G37" s="349">
        <f t="shared" ca="1" si="1"/>
        <v>12</v>
      </c>
      <c r="H37" s="350"/>
      <c r="I37" s="237"/>
      <c r="K37" s="237"/>
      <c r="L37" s="173"/>
      <c r="N37" s="237"/>
      <c r="Q37" s="237"/>
      <c r="T37" s="237"/>
      <c r="W37" s="237"/>
      <c r="AF37" s="169">
        <f t="shared" ca="1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20"/>
        <v>37</v>
      </c>
      <c r="AK37" s="169" t="str">
        <f t="shared" ca="1" si="21"/>
        <v>BBB</v>
      </c>
      <c r="AL37" s="169">
        <f t="shared" ca="1" si="21"/>
        <v>18</v>
      </c>
      <c r="AM37" s="169" t="str">
        <f t="shared" ca="1" si="4"/>
        <v/>
      </c>
      <c r="AQ37" s="207" t="s">
        <v>299</v>
      </c>
      <c r="AR37" s="207" t="s">
        <v>141</v>
      </c>
      <c r="AS37" s="207">
        <v>18</v>
      </c>
      <c r="AT37" s="207" t="s">
        <v>300</v>
      </c>
      <c r="AV37" s="168">
        <f t="shared" ca="1" si="5"/>
        <v>30</v>
      </c>
      <c r="AW37" s="168">
        <f ca="1">COUNTIF( AV$7:AV37, AV37 )</f>
        <v>7</v>
      </c>
      <c r="AX37" s="208">
        <f t="shared" ca="1" si="22"/>
        <v>30.7</v>
      </c>
      <c r="AY37" s="168">
        <f t="shared" ca="1" si="6"/>
        <v>36</v>
      </c>
      <c r="AZ37" s="169"/>
      <c r="BA37" s="169"/>
      <c r="BC37" s="168">
        <f t="shared" ca="1" si="24"/>
        <v>31</v>
      </c>
      <c r="BD37" s="209">
        <f t="shared" ca="1" si="8"/>
        <v>6</v>
      </c>
      <c r="BF37" s="173" t="str">
        <f t="shared" ca="1" si="23"/>
        <v>Avista Corporation</v>
      </c>
      <c r="BG37" s="173" t="str">
        <f t="shared" ca="1" si="23"/>
        <v>BBB</v>
      </c>
      <c r="BH37" s="173">
        <f t="shared" ca="1" si="23"/>
        <v>18</v>
      </c>
      <c r="BI37" s="173" t="str">
        <f t="shared" ca="1" si="23"/>
        <v>AVA</v>
      </c>
    </row>
    <row r="38" spans="1:61" ht="13.2" customHeight="1" x14ac:dyDescent="0.25">
      <c r="A38" s="223" t="s">
        <v>265</v>
      </c>
      <c r="B38" s="224" t="s">
        <v>141</v>
      </c>
      <c r="C38" s="224">
        <v>18</v>
      </c>
      <c r="D38" s="224" t="s">
        <v>266</v>
      </c>
      <c r="E38" s="225" t="str">
        <f t="shared" ca="1" si="9"/>
        <v>R</v>
      </c>
      <c r="F38" s="348"/>
      <c r="G38" s="349">
        <f t="shared" ca="1" si="1"/>
        <v>20</v>
      </c>
      <c r="H38" s="350"/>
      <c r="I38" s="237"/>
      <c r="J38" s="191"/>
      <c r="K38" s="237"/>
      <c r="L38" s="173"/>
      <c r="N38" s="237"/>
      <c r="Q38" s="237"/>
      <c r="T38" s="237"/>
      <c r="W38" s="237"/>
      <c r="AF38" s="169">
        <f t="shared" ca="1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20"/>
        <v>38</v>
      </c>
      <c r="AK38" s="169" t="str">
        <f t="shared" ca="1" si="21"/>
        <v>BBB</v>
      </c>
      <c r="AL38" s="169">
        <f t="shared" ca="1" si="21"/>
        <v>18</v>
      </c>
      <c r="AM38" s="169" t="str">
        <f t="shared" ca="1" si="4"/>
        <v/>
      </c>
      <c r="AQ38" s="207" t="s">
        <v>301</v>
      </c>
      <c r="AR38" s="207" t="s">
        <v>177</v>
      </c>
      <c r="AS38" s="207">
        <v>14</v>
      </c>
      <c r="AT38" s="207" t="s">
        <v>302</v>
      </c>
      <c r="AV38" s="168">
        <f t="shared" ca="1" si="5"/>
        <v>43</v>
      </c>
      <c r="AW38" s="168">
        <f ca="1">COUNTIF( AV$7:AV38, AV38 )</f>
        <v>1</v>
      </c>
      <c r="AX38" s="208">
        <f t="shared" ca="1" si="22"/>
        <v>43.1</v>
      </c>
      <c r="AY38" s="168">
        <f t="shared" ca="1" si="6"/>
        <v>43</v>
      </c>
      <c r="AZ38" s="169"/>
      <c r="BA38" s="169"/>
      <c r="BC38" s="168">
        <f t="shared" ca="1" si="24"/>
        <v>32</v>
      </c>
      <c r="BD38" s="209">
        <f t="shared" ca="1" si="8"/>
        <v>17</v>
      </c>
      <c r="BF38" s="173" t="str">
        <f t="shared" ca="1" si="23"/>
        <v>Edison International</v>
      </c>
      <c r="BG38" s="173" t="str">
        <f t="shared" ca="1" si="23"/>
        <v>BBB</v>
      </c>
      <c r="BH38" s="173">
        <f t="shared" ca="1" si="23"/>
        <v>18</v>
      </c>
      <c r="BI38" s="173" t="str">
        <f t="shared" ca="1" si="23"/>
        <v>EIX</v>
      </c>
    </row>
    <row r="39" spans="1:61" ht="13.8" x14ac:dyDescent="0.25">
      <c r="A39" s="223" t="s">
        <v>283</v>
      </c>
      <c r="B39" s="224" t="s">
        <v>141</v>
      </c>
      <c r="C39" s="224">
        <v>18</v>
      </c>
      <c r="D39" s="224" t="s">
        <v>284</v>
      </c>
      <c r="E39" s="225" t="str">
        <f t="shared" ca="1" si="9"/>
        <v>R</v>
      </c>
      <c r="F39" s="348"/>
      <c r="G39" s="349">
        <f t="shared" ca="1" si="1"/>
        <v>27</v>
      </c>
      <c r="H39" s="350"/>
      <c r="I39" s="237"/>
      <c r="K39" s="237"/>
      <c r="L39" s="173"/>
      <c r="N39" s="237"/>
      <c r="Q39" s="237"/>
      <c r="T39" s="237"/>
      <c r="W39" s="237"/>
      <c r="AF39" s="169">
        <f t="shared" ca="1" si="2"/>
        <v>0</v>
      </c>
      <c r="AG39" s="169" t="str">
        <f t="shared" ca="1" si="3"/>
        <v/>
      </c>
      <c r="AH39" s="169" t="str">
        <f t="shared" ca="1" si="19"/>
        <v/>
      </c>
      <c r="AJ39" s="169">
        <f t="shared" ca="1" si="20"/>
        <v>39</v>
      </c>
      <c r="AK39" s="169" t="str">
        <f t="shared" ca="1" si="21"/>
        <v>BBB</v>
      </c>
      <c r="AL39" s="169">
        <f t="shared" ca="1" si="21"/>
        <v>18</v>
      </c>
      <c r="AM39" s="169" t="str">
        <f t="shared" ca="1" si="4"/>
        <v/>
      </c>
      <c r="AQ39" s="207" t="s">
        <v>281</v>
      </c>
      <c r="AR39" s="207" t="s">
        <v>139</v>
      </c>
      <c r="AS39" s="207">
        <v>20</v>
      </c>
      <c r="AT39" s="207" t="s">
        <v>282</v>
      </c>
      <c r="AV39" s="168">
        <f t="shared" ca="1" si="5"/>
        <v>2</v>
      </c>
      <c r="AW39" s="168">
        <f ca="1">COUNTIF( AV$7:AV39, AV39 )</f>
        <v>7</v>
      </c>
      <c r="AX39" s="208">
        <f t="shared" ca="1" si="22"/>
        <v>2.7</v>
      </c>
      <c r="AY39" s="168">
        <f t="shared" ca="1" si="6"/>
        <v>8</v>
      </c>
      <c r="AZ39" s="169"/>
      <c r="BA39" s="169"/>
      <c r="BC39" s="168">
        <f t="shared" ca="1" si="24"/>
        <v>33</v>
      </c>
      <c r="BD39" s="209">
        <f t="shared" ca="1" si="8"/>
        <v>24</v>
      </c>
      <c r="BF39" s="173" t="str">
        <f t="shared" ca="1" si="23"/>
        <v>IDACORP, Inc.</v>
      </c>
      <c r="BG39" s="173" t="str">
        <f t="shared" ca="1" si="23"/>
        <v>BBB</v>
      </c>
      <c r="BH39" s="173">
        <f t="shared" ca="1" si="23"/>
        <v>18</v>
      </c>
      <c r="BI39" s="173" t="str">
        <f t="shared" ca="1" si="23"/>
        <v>IDA</v>
      </c>
    </row>
    <row r="40" spans="1:61" ht="13.8" x14ac:dyDescent="0.25">
      <c r="A40" s="223" t="s">
        <v>287</v>
      </c>
      <c r="B40" s="224" t="s">
        <v>141</v>
      </c>
      <c r="C40" s="224">
        <v>18</v>
      </c>
      <c r="D40" s="224" t="s">
        <v>288</v>
      </c>
      <c r="E40" s="225" t="str">
        <f t="shared" ca="1" si="9"/>
        <v>R</v>
      </c>
      <c r="F40" s="348"/>
      <c r="G40" s="349">
        <f t="shared" ca="1" si="1"/>
        <v>55</v>
      </c>
      <c r="H40" s="350"/>
      <c r="I40" s="237"/>
      <c r="J40" s="191"/>
      <c r="K40" s="237"/>
      <c r="L40" s="173"/>
      <c r="N40" s="237"/>
      <c r="Q40" s="237"/>
      <c r="T40" s="237"/>
      <c r="W40" s="237"/>
      <c r="AF40" s="169">
        <f t="shared" ca="1" si="2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20"/>
        <v>40</v>
      </c>
      <c r="AK40" s="169" t="str">
        <f t="shared" ca="1" si="21"/>
        <v>BBB</v>
      </c>
      <c r="AL40" s="169">
        <f t="shared" ca="1" si="21"/>
        <v>18</v>
      </c>
      <c r="AM40" s="169" t="str">
        <f t="shared" ca="1" si="4"/>
        <v/>
      </c>
      <c r="AQ40" s="207" t="s">
        <v>303</v>
      </c>
      <c r="AR40" s="207" t="s">
        <v>141</v>
      </c>
      <c r="AS40" s="207">
        <v>18</v>
      </c>
      <c r="AT40" s="207" t="s">
        <v>304</v>
      </c>
      <c r="AV40" s="168">
        <f t="shared" ca="1" si="5"/>
        <v>30</v>
      </c>
      <c r="AW40" s="168">
        <f ca="1">COUNTIF( AV$7:AV40, AV40 )</f>
        <v>8</v>
      </c>
      <c r="AX40" s="208">
        <f t="shared" ca="1" si="22"/>
        <v>30.8</v>
      </c>
      <c r="AY40" s="168">
        <f t="shared" ca="1" si="6"/>
        <v>37</v>
      </c>
      <c r="AZ40" s="169"/>
      <c r="BA40" s="169"/>
      <c r="BC40" s="168">
        <f t="shared" ca="1" si="24"/>
        <v>34</v>
      </c>
      <c r="BD40" s="209">
        <f t="shared" ca="1" si="8"/>
        <v>25</v>
      </c>
      <c r="BF40" s="173" t="str">
        <f t="shared" ca="1" si="23"/>
        <v>IPALCO Enterprises, Inc.</v>
      </c>
      <c r="BG40" s="173" t="str">
        <f t="shared" ca="1" si="23"/>
        <v>BBB</v>
      </c>
      <c r="BH40" s="173">
        <f t="shared" ca="1" si="23"/>
        <v>18</v>
      </c>
      <c r="BI40" s="173" t="str">
        <f t="shared" ca="1" si="23"/>
        <v>**IPALCO</v>
      </c>
    </row>
    <row r="41" spans="1:61" ht="13.8" x14ac:dyDescent="0.25">
      <c r="A41" s="223" t="s">
        <v>297</v>
      </c>
      <c r="B41" s="224" t="s">
        <v>141</v>
      </c>
      <c r="C41" s="224">
        <v>18</v>
      </c>
      <c r="D41" s="224" t="s">
        <v>298</v>
      </c>
      <c r="E41" s="225" t="str">
        <f t="shared" ca="1" si="9"/>
        <v>R</v>
      </c>
      <c r="F41" s="348"/>
      <c r="G41" s="349">
        <f t="shared" ca="1" si="1"/>
        <v>32</v>
      </c>
      <c r="H41" s="350"/>
      <c r="I41" s="237"/>
      <c r="J41" s="191"/>
      <c r="K41" s="237"/>
      <c r="L41" s="173"/>
      <c r="N41" s="237"/>
      <c r="Q41" s="237"/>
      <c r="T41" s="237"/>
      <c r="W41" s="237"/>
      <c r="AF41" s="169">
        <f t="shared" ca="1" si="2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20"/>
        <v>41</v>
      </c>
      <c r="AK41" s="169" t="str">
        <f t="shared" ca="1" si="21"/>
        <v>BBB</v>
      </c>
      <c r="AL41" s="169">
        <f t="shared" ca="1" si="21"/>
        <v>18</v>
      </c>
      <c r="AM41" s="169" t="str">
        <f t="shared" ca="1" si="4"/>
        <v/>
      </c>
      <c r="AQ41" s="207" t="s">
        <v>285</v>
      </c>
      <c r="AR41" s="207" t="s">
        <v>140</v>
      </c>
      <c r="AS41" s="207">
        <v>19</v>
      </c>
      <c r="AT41" s="207" t="s">
        <v>286</v>
      </c>
      <c r="AV41" s="168">
        <f t="shared" ca="1" si="5"/>
        <v>13</v>
      </c>
      <c r="AW41" s="168">
        <f ca="1">COUNTIF( AV$7:AV41, AV41 )</f>
        <v>14</v>
      </c>
      <c r="AX41" s="208">
        <f t="shared" ca="1" si="22"/>
        <v>14.4</v>
      </c>
      <c r="AY41" s="168">
        <f t="shared" ca="1" si="6"/>
        <v>26</v>
      </c>
      <c r="AZ41" s="169"/>
      <c r="BA41" s="169"/>
      <c r="BC41" s="168">
        <f t="shared" ca="1" si="24"/>
        <v>35</v>
      </c>
      <c r="BD41" s="209">
        <f t="shared" ca="1" si="8"/>
        <v>29</v>
      </c>
      <c r="BF41" s="173" t="str">
        <f t="shared" ca="1" si="23"/>
        <v>NorthWestern Corporation</v>
      </c>
      <c r="BG41" s="173" t="str">
        <f t="shared" ca="1" si="23"/>
        <v>BBB</v>
      </c>
      <c r="BH41" s="173">
        <f t="shared" ca="1" si="23"/>
        <v>18</v>
      </c>
      <c r="BI41" s="173" t="str">
        <f t="shared" ca="1" si="23"/>
        <v>NWE</v>
      </c>
    </row>
    <row r="42" spans="1:61" ht="13.8" x14ac:dyDescent="0.25">
      <c r="A42" s="223" t="s">
        <v>299</v>
      </c>
      <c r="B42" s="224" t="s">
        <v>141</v>
      </c>
      <c r="C42" s="224">
        <v>18</v>
      </c>
      <c r="D42" s="224" t="s">
        <v>300</v>
      </c>
      <c r="E42" s="225" t="str">
        <f t="shared" ca="1" si="9"/>
        <v>R</v>
      </c>
      <c r="F42" s="348"/>
      <c r="G42" s="349">
        <f t="shared" ca="1" si="1"/>
        <v>34</v>
      </c>
      <c r="H42" s="350"/>
      <c r="I42" s="237"/>
      <c r="J42" s="191"/>
      <c r="K42" s="237"/>
      <c r="L42" s="173"/>
      <c r="N42" s="237"/>
      <c r="Q42" s="237"/>
      <c r="T42" s="237"/>
      <c r="W42" s="237"/>
      <c r="AF42" s="169">
        <f t="shared" ca="1" si="2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20"/>
        <v>42</v>
      </c>
      <c r="AK42" s="169" t="str">
        <f t="shared" ca="1" si="21"/>
        <v>BBB</v>
      </c>
      <c r="AL42" s="169">
        <f t="shared" ca="1" si="21"/>
        <v>18</v>
      </c>
      <c r="AM42" s="169" t="str">
        <f t="shared" ca="1" si="4"/>
        <v/>
      </c>
      <c r="AQ42" s="207" t="s">
        <v>243</v>
      </c>
      <c r="AR42" s="207" t="s">
        <v>139</v>
      </c>
      <c r="AS42" s="207">
        <v>20</v>
      </c>
      <c r="AT42" s="207" t="s">
        <v>244</v>
      </c>
      <c r="AV42" s="168">
        <f t="shared" ca="1" si="5"/>
        <v>2</v>
      </c>
      <c r="AW42" s="168">
        <f ca="1">COUNTIF( AV$7:AV42, AV42 )</f>
        <v>8</v>
      </c>
      <c r="AX42" s="208">
        <f t="shared" ca="1" si="22"/>
        <v>2.8</v>
      </c>
      <c r="AY42" s="168">
        <f t="shared" ca="1" si="6"/>
        <v>9</v>
      </c>
      <c r="AZ42" s="169"/>
      <c r="BA42" s="169"/>
      <c r="BC42" s="168">
        <f t="shared" ca="1" si="24"/>
        <v>36</v>
      </c>
      <c r="BD42" s="209">
        <f t="shared" ca="1" si="8"/>
        <v>31</v>
      </c>
      <c r="BF42" s="173" t="str">
        <f t="shared" ca="1" si="23"/>
        <v>Otter Tail Corporation</v>
      </c>
      <c r="BG42" s="173" t="str">
        <f t="shared" ca="1" si="23"/>
        <v>BBB</v>
      </c>
      <c r="BH42" s="173">
        <f t="shared" ca="1" si="23"/>
        <v>18</v>
      </c>
      <c r="BI42" s="173" t="str">
        <f t="shared" ca="1" si="23"/>
        <v>OTTR</v>
      </c>
    </row>
    <row r="43" spans="1:61" ht="13.8" x14ac:dyDescent="0.25">
      <c r="A43" s="223" t="s">
        <v>303</v>
      </c>
      <c r="B43" s="224" t="s">
        <v>141</v>
      </c>
      <c r="C43" s="224">
        <v>18</v>
      </c>
      <c r="D43" s="224" t="s">
        <v>304</v>
      </c>
      <c r="E43" s="225" t="str">
        <f t="shared" ca="1" si="9"/>
        <v>R</v>
      </c>
      <c r="F43" s="348"/>
      <c r="G43" s="349">
        <f t="shared" ca="1" si="1"/>
        <v>37</v>
      </c>
      <c r="H43" s="350"/>
      <c r="I43" s="237"/>
      <c r="J43" s="191"/>
      <c r="K43" s="237"/>
      <c r="N43" s="237"/>
      <c r="Q43" s="237"/>
      <c r="T43" s="237"/>
      <c r="W43" s="237"/>
      <c r="AF43" s="169">
        <f t="shared" ca="1" si="2"/>
        <v>0</v>
      </c>
      <c r="AG43" s="169" t="str">
        <f t="shared" ca="1" si="3"/>
        <v/>
      </c>
      <c r="AH43" s="169" t="str">
        <f t="shared" ca="1" si="19"/>
        <v/>
      </c>
      <c r="AJ43" s="169">
        <f t="shared" ca="1" si="20"/>
        <v>43</v>
      </c>
      <c r="AK43" s="169" t="str">
        <f t="shared" ca="1" si="21"/>
        <v>BBB</v>
      </c>
      <c r="AL43" s="169">
        <f t="shared" ca="1" si="21"/>
        <v>18</v>
      </c>
      <c r="AM43" s="169" t="str">
        <f t="shared" ca="1" si="4"/>
        <v/>
      </c>
      <c r="AQ43" s="207" t="s">
        <v>289</v>
      </c>
      <c r="AR43" s="207" t="s">
        <v>140</v>
      </c>
      <c r="AS43" s="207">
        <v>19</v>
      </c>
      <c r="AT43" s="207" t="s">
        <v>290</v>
      </c>
      <c r="AV43" s="168">
        <f t="shared" ca="1" si="5"/>
        <v>13</v>
      </c>
      <c r="AW43" s="168">
        <f ca="1">COUNTIF( AV$7:AV43, AV43 )</f>
        <v>15</v>
      </c>
      <c r="AX43" s="208">
        <f t="shared" ca="1" si="22"/>
        <v>14.5</v>
      </c>
      <c r="AY43" s="168">
        <f t="shared" ca="1" si="6"/>
        <v>27</v>
      </c>
      <c r="AZ43" s="169"/>
      <c r="BA43" s="169"/>
      <c r="BC43" s="168">
        <f t="shared" ca="1" si="24"/>
        <v>37</v>
      </c>
      <c r="BD43" s="209">
        <f t="shared" ca="1" si="8"/>
        <v>34</v>
      </c>
      <c r="BF43" s="173" t="str">
        <f t="shared" ca="1" si="23"/>
        <v>PNM Resources, Inc.</v>
      </c>
      <c r="BG43" s="173" t="str">
        <f t="shared" ca="1" si="23"/>
        <v>BBB</v>
      </c>
      <c r="BH43" s="173">
        <f t="shared" ca="1" si="23"/>
        <v>18</v>
      </c>
      <c r="BI43" s="173" t="str">
        <f t="shared" ca="1" si="23"/>
        <v>PNM</v>
      </c>
    </row>
    <row r="44" spans="1:61" ht="13.8" x14ac:dyDescent="0.25">
      <c r="A44" s="223" t="s">
        <v>254</v>
      </c>
      <c r="B44" s="224" t="s">
        <v>142</v>
      </c>
      <c r="C44" s="224">
        <v>17</v>
      </c>
      <c r="D44" s="224" t="s">
        <v>255</v>
      </c>
      <c r="E44" s="225" t="str">
        <f t="shared" ca="1" si="9"/>
        <v>R</v>
      </c>
      <c r="F44" s="348"/>
      <c r="G44" s="349">
        <f t="shared" ca="1" si="1"/>
        <v>53</v>
      </c>
      <c r="H44" s="350"/>
      <c r="I44" s="237"/>
      <c r="J44" s="191"/>
      <c r="K44" s="237"/>
      <c r="N44" s="237"/>
      <c r="Q44" s="237"/>
      <c r="T44" s="237"/>
      <c r="W44" s="237"/>
      <c r="AF44" s="169">
        <f t="shared" ca="1" si="2"/>
        <v>1</v>
      </c>
      <c r="AG44" s="169" t="str">
        <f t="shared" ca="1" si="3"/>
        <v/>
      </c>
      <c r="AH44" s="169" t="str">
        <f t="shared" ca="1" si="19"/>
        <v/>
      </c>
      <c r="AJ44" s="169">
        <f t="shared" ca="1" si="20"/>
        <v>44</v>
      </c>
      <c r="AK44" s="169" t="str">
        <f t="shared" ca="1" si="21"/>
        <v>BBB-</v>
      </c>
      <c r="AL44" s="169">
        <f t="shared" ca="1" si="21"/>
        <v>17</v>
      </c>
      <c r="AM44" s="169" t="str">
        <f t="shared" ca="1" si="4"/>
        <v/>
      </c>
      <c r="AQ44" s="207" t="s">
        <v>305</v>
      </c>
      <c r="AR44" s="207" t="s">
        <v>142</v>
      </c>
      <c r="AS44" s="207">
        <v>17</v>
      </c>
      <c r="AT44" s="207" t="s">
        <v>306</v>
      </c>
      <c r="AV44" s="168">
        <f t="shared" ca="1" si="5"/>
        <v>38</v>
      </c>
      <c r="AW44" s="168">
        <f ca="1">COUNTIF( AV$7:AV44, AV44 )</f>
        <v>3</v>
      </c>
      <c r="AX44" s="208">
        <f t="shared" ca="1" si="22"/>
        <v>38.299999999999997</v>
      </c>
      <c r="AY44" s="168">
        <f t="shared" ca="1" si="6"/>
        <v>40</v>
      </c>
      <c r="AZ44" s="169"/>
      <c r="BA44" s="169"/>
      <c r="BC44" s="168">
        <f t="shared" ca="1" si="24"/>
        <v>38</v>
      </c>
      <c r="BD44" s="209">
        <f t="shared" ca="1" si="8"/>
        <v>10</v>
      </c>
      <c r="BF44" s="173" t="str">
        <f t="shared" ca="1" si="23"/>
        <v>Cleco Corporation</v>
      </c>
      <c r="BG44" s="173" t="str">
        <f t="shared" ca="1" si="23"/>
        <v>BBB-</v>
      </c>
      <c r="BH44" s="173">
        <f t="shared" ca="1" si="23"/>
        <v>17</v>
      </c>
      <c r="BI44" s="173" t="str">
        <f t="shared" ca="1" si="23"/>
        <v>**CNL</v>
      </c>
    </row>
    <row r="45" spans="1:61" ht="13.8" x14ac:dyDescent="0.25">
      <c r="A45" s="223" t="s">
        <v>279</v>
      </c>
      <c r="B45" s="224" t="s">
        <v>142</v>
      </c>
      <c r="C45" s="224">
        <v>17</v>
      </c>
      <c r="D45" s="224" t="s">
        <v>280</v>
      </c>
      <c r="E45" s="225" t="str">
        <f t="shared" ca="1" si="9"/>
        <v>MR</v>
      </c>
      <c r="F45" s="348"/>
      <c r="G45" s="349">
        <f t="shared" ca="1" si="1"/>
        <v>26</v>
      </c>
      <c r="H45" s="350"/>
      <c r="I45" s="237"/>
      <c r="J45" s="191"/>
      <c r="K45" s="237"/>
      <c r="N45" s="237"/>
      <c r="Q45" s="237"/>
      <c r="T45" s="237"/>
      <c r="W45" s="237"/>
      <c r="AF45" s="169">
        <f t="shared" ca="1" si="2"/>
        <v>1</v>
      </c>
      <c r="AG45" s="169" t="str">
        <f t="shared" ca="1" si="3"/>
        <v/>
      </c>
      <c r="AH45" s="169" t="str">
        <f t="shared" ca="1" si="19"/>
        <v/>
      </c>
      <c r="AJ45" s="169">
        <f t="shared" ca="1" si="20"/>
        <v>45</v>
      </c>
      <c r="AK45" s="169" t="str">
        <f t="shared" ca="1" si="21"/>
        <v>BBB-</v>
      </c>
      <c r="AL45" s="169">
        <f t="shared" ca="1" si="21"/>
        <v>17</v>
      </c>
      <c r="AM45" s="169" t="str">
        <f t="shared" ca="1" si="4"/>
        <v/>
      </c>
      <c r="AQ45" s="207" t="s">
        <v>291</v>
      </c>
      <c r="AR45" s="207" t="s">
        <v>140</v>
      </c>
      <c r="AS45" s="207">
        <v>19</v>
      </c>
      <c r="AT45" s="207" t="s">
        <v>292</v>
      </c>
      <c r="AV45" s="168">
        <f t="shared" ca="1" si="5"/>
        <v>13</v>
      </c>
      <c r="AW45" s="168">
        <f ca="1">COUNTIF( AV$7:AV45, AV45 )</f>
        <v>16</v>
      </c>
      <c r="AX45" s="208">
        <f t="shared" ca="1" si="22"/>
        <v>14.6</v>
      </c>
      <c r="AY45" s="168">
        <f t="shared" ca="1" si="6"/>
        <v>28</v>
      </c>
      <c r="AZ45" s="169"/>
      <c r="BA45" s="169"/>
      <c r="BC45" s="168">
        <f t="shared" ca="1" si="24"/>
        <v>39</v>
      </c>
      <c r="BD45" s="209">
        <f t="shared" ca="1" si="8"/>
        <v>23</v>
      </c>
      <c r="BF45" s="173" t="str">
        <f t="shared" ca="1" si="23"/>
        <v>Hawaiian Electric Industries, Inc.</v>
      </c>
      <c r="BG45" s="173" t="str">
        <f t="shared" ca="1" si="23"/>
        <v>BBB-</v>
      </c>
      <c r="BH45" s="173">
        <f t="shared" ca="1" si="23"/>
        <v>17</v>
      </c>
      <c r="BI45" s="173" t="str">
        <f t="shared" ca="1" si="23"/>
        <v>HE</v>
      </c>
    </row>
    <row r="46" spans="1:61" ht="13.8" x14ac:dyDescent="0.25">
      <c r="A46" s="223" t="s">
        <v>305</v>
      </c>
      <c r="B46" s="224" t="s">
        <v>142</v>
      </c>
      <c r="C46" s="224">
        <v>17</v>
      </c>
      <c r="D46" s="224" t="s">
        <v>306</v>
      </c>
      <c r="E46" s="225" t="str">
        <f t="shared" ca="1" si="9"/>
        <v>R</v>
      </c>
      <c r="F46" s="348"/>
      <c r="G46" s="349">
        <f t="shared" ca="1" si="1"/>
        <v>57</v>
      </c>
      <c r="H46" s="350"/>
      <c r="I46" s="191"/>
      <c r="K46" s="191"/>
      <c r="N46" s="351"/>
      <c r="W46" s="191"/>
      <c r="AF46" s="169">
        <f t="shared" ca="1" si="2"/>
        <v>1</v>
      </c>
      <c r="AG46" s="169" t="str">
        <f t="shared" ca="1" si="3"/>
        <v/>
      </c>
      <c r="AH46" s="169" t="str">
        <f t="shared" ca="1" si="19"/>
        <v/>
      </c>
      <c r="AJ46" s="169">
        <f t="shared" ca="1" si="20"/>
        <v>46</v>
      </c>
      <c r="AK46" s="169" t="str">
        <f t="shared" ca="1" si="21"/>
        <v>BBB-</v>
      </c>
      <c r="AL46" s="169">
        <f t="shared" ca="1" si="21"/>
        <v>17</v>
      </c>
      <c r="AM46" s="169" t="str">
        <f t="shared" ca="1" si="4"/>
        <v/>
      </c>
      <c r="AQ46" s="207" t="s">
        <v>293</v>
      </c>
      <c r="AR46" s="207" t="s">
        <v>139</v>
      </c>
      <c r="AS46" s="207">
        <v>20</v>
      </c>
      <c r="AT46" s="207" t="s">
        <v>294</v>
      </c>
      <c r="AV46" s="168">
        <f t="shared" ca="1" si="5"/>
        <v>2</v>
      </c>
      <c r="AW46" s="168">
        <f ca="1">COUNTIF( AV$7:AV46, AV46 )</f>
        <v>9</v>
      </c>
      <c r="AX46" s="208">
        <f t="shared" ca="1" si="22"/>
        <v>2.9</v>
      </c>
      <c r="AY46" s="168">
        <f t="shared" ca="1" si="6"/>
        <v>10</v>
      </c>
      <c r="AZ46" s="169"/>
      <c r="BA46" s="169"/>
      <c r="BC46" s="168">
        <f t="shared" ca="1" si="24"/>
        <v>40</v>
      </c>
      <c r="BD46" s="209">
        <f t="shared" ca="1" si="8"/>
        <v>38</v>
      </c>
      <c r="BF46" s="173" t="str">
        <f t="shared" ca="1" si="23"/>
        <v>Puget Energy, Inc.</v>
      </c>
      <c r="BG46" s="173" t="str">
        <f t="shared" ca="1" si="23"/>
        <v>BBB-</v>
      </c>
      <c r="BH46" s="173">
        <f t="shared" ca="1" si="23"/>
        <v>17</v>
      </c>
      <c r="BI46" s="173" t="str">
        <f t="shared" ca="1" si="23"/>
        <v>**PSD</v>
      </c>
    </row>
    <row r="47" spans="1:61" ht="13.8" x14ac:dyDescent="0.25">
      <c r="A47" s="223" t="s">
        <v>259</v>
      </c>
      <c r="B47" s="224" t="s">
        <v>173</v>
      </c>
      <c r="C47" s="224">
        <v>16</v>
      </c>
      <c r="D47" s="224" t="s">
        <v>260</v>
      </c>
      <c r="E47" s="225" t="str">
        <f t="shared" ca="1" si="9"/>
        <v>R</v>
      </c>
      <c r="F47" s="348"/>
      <c r="G47" s="349">
        <f t="shared" ca="1" si="1"/>
        <v>54</v>
      </c>
      <c r="H47" s="350"/>
      <c r="I47" s="350"/>
      <c r="J47" s="187" t="s">
        <v>307</v>
      </c>
      <c r="K47" s="191"/>
      <c r="M47" s="351"/>
      <c r="N47" s="351"/>
      <c r="AF47" s="169">
        <f t="shared" ca="1" si="2"/>
        <v>0</v>
      </c>
      <c r="AG47" s="169" t="str">
        <f t="shared" ca="1" si="3"/>
        <v/>
      </c>
      <c r="AH47" s="169" t="str">
        <f t="shared" ca="1" si="19"/>
        <v/>
      </c>
      <c r="AJ47" s="169">
        <f t="shared" ca="1" si="20"/>
        <v>47</v>
      </c>
      <c r="AK47" s="169" t="str">
        <f t="shared" ca="1" si="21"/>
        <v>BB+</v>
      </c>
      <c r="AL47" s="169">
        <f t="shared" ca="1" si="21"/>
        <v>16</v>
      </c>
      <c r="AM47" s="169" t="str">
        <f t="shared" ca="1" si="4"/>
        <v/>
      </c>
      <c r="AQ47" s="207" t="s">
        <v>295</v>
      </c>
      <c r="AR47" s="207" t="s">
        <v>140</v>
      </c>
      <c r="AS47" s="207">
        <v>19</v>
      </c>
      <c r="AT47" s="207" t="s">
        <v>296</v>
      </c>
      <c r="AV47" s="168">
        <f t="shared" ca="1" si="5"/>
        <v>13</v>
      </c>
      <c r="AW47" s="168">
        <f ca="1">COUNTIF( AV$7:AV47, AV47 )</f>
        <v>17</v>
      </c>
      <c r="AX47" s="208">
        <f t="shared" ca="1" si="22"/>
        <v>14.7</v>
      </c>
      <c r="AY47" s="168">
        <f t="shared" ca="1" si="6"/>
        <v>29</v>
      </c>
      <c r="AZ47" s="169"/>
      <c r="BA47" s="169"/>
      <c r="BC47" s="168">
        <f t="shared" ca="1" si="24"/>
        <v>41</v>
      </c>
      <c r="BD47" s="209">
        <f t="shared" ca="1" si="8"/>
        <v>14</v>
      </c>
      <c r="BF47" s="173" t="str">
        <f t="shared" ca="1" si="23"/>
        <v>DPL Inc.</v>
      </c>
      <c r="BG47" s="173" t="str">
        <f t="shared" ca="1" si="23"/>
        <v>BB+</v>
      </c>
      <c r="BH47" s="173">
        <f t="shared" ca="1" si="23"/>
        <v>16</v>
      </c>
      <c r="BI47" s="173" t="str">
        <f t="shared" ca="1" si="23"/>
        <v>**DPL</v>
      </c>
    </row>
    <row r="48" spans="1:61" ht="13.8" x14ac:dyDescent="0.25">
      <c r="A48" s="223" t="s">
        <v>275</v>
      </c>
      <c r="B48" s="224" t="s">
        <v>175</v>
      </c>
      <c r="C48" s="224">
        <v>15</v>
      </c>
      <c r="D48" s="224" t="s">
        <v>276</v>
      </c>
      <c r="E48" s="225" t="str">
        <f t="shared" ca="1" si="9"/>
        <v>R</v>
      </c>
      <c r="F48" s="348"/>
      <c r="G48" s="349">
        <f t="shared" ca="1" si="1"/>
        <v>25</v>
      </c>
      <c r="H48" s="350"/>
      <c r="I48" s="350"/>
      <c r="K48" s="191"/>
      <c r="M48" s="351"/>
      <c r="N48" s="351"/>
      <c r="AF48" s="169">
        <f t="shared" ca="1" si="2"/>
        <v>1</v>
      </c>
      <c r="AG48" s="169" t="str">
        <f t="shared" ca="1" si="3"/>
        <v/>
      </c>
      <c r="AH48" s="169" t="str">
        <f t="shared" ca="1" si="19"/>
        <v/>
      </c>
      <c r="AJ48" s="169">
        <f t="shared" ca="1" si="20"/>
        <v>48</v>
      </c>
      <c r="AK48" s="169" t="str">
        <f t="shared" ca="1" si="21"/>
        <v>BB</v>
      </c>
      <c r="AL48" s="169">
        <f t="shared" ca="1" si="21"/>
        <v>15</v>
      </c>
      <c r="AM48" s="169" t="str">
        <f t="shared" ca="1" si="4"/>
        <v/>
      </c>
      <c r="AQ48" s="207" t="s">
        <v>247</v>
      </c>
      <c r="AR48" s="207" t="s">
        <v>139</v>
      </c>
      <c r="AS48" s="207">
        <v>20</v>
      </c>
      <c r="AT48" s="207" t="s">
        <v>248</v>
      </c>
      <c r="AV48" s="168">
        <f t="shared" ca="1" si="5"/>
        <v>2</v>
      </c>
      <c r="AW48" s="168">
        <f ca="1">COUNTIF( AV$7:AV48, AV48 )</f>
        <v>10</v>
      </c>
      <c r="AX48" s="208">
        <f t="shared" ca="1" si="22"/>
        <v>3</v>
      </c>
      <c r="AY48" s="168">
        <f t="shared" ca="1" si="6"/>
        <v>11</v>
      </c>
      <c r="AZ48" s="169"/>
      <c r="BA48" s="169"/>
      <c r="BC48" s="168">
        <f t="shared" ca="1" si="24"/>
        <v>42</v>
      </c>
      <c r="BD48" s="209">
        <f t="shared" ca="1" si="8"/>
        <v>22</v>
      </c>
      <c r="BF48" s="173" t="str">
        <f t="shared" ca="1" si="23"/>
        <v>FirstEnergy Corp.</v>
      </c>
      <c r="BG48" s="173" t="str">
        <f t="shared" ca="1" si="23"/>
        <v>BB</v>
      </c>
      <c r="BH48" s="173">
        <f t="shared" ca="1" si="23"/>
        <v>15</v>
      </c>
      <c r="BI48" s="173" t="str">
        <f t="shared" ca="1" si="23"/>
        <v>FE</v>
      </c>
    </row>
    <row r="49" spans="1:61" ht="13.8" x14ac:dyDescent="0.25">
      <c r="A49" s="223" t="s">
        <v>301</v>
      </c>
      <c r="B49" s="224" t="s">
        <v>177</v>
      </c>
      <c r="C49" s="224">
        <v>14</v>
      </c>
      <c r="D49" s="224" t="s">
        <v>302</v>
      </c>
      <c r="E49" s="225" t="str">
        <f t="shared" ca="1" si="9"/>
        <v>R</v>
      </c>
      <c r="F49" s="348"/>
      <c r="G49" s="349">
        <f t="shared" ca="1" si="1"/>
        <v>35</v>
      </c>
      <c r="H49" s="350"/>
      <c r="I49" s="350"/>
      <c r="J49" s="191"/>
      <c r="K49" s="191"/>
      <c r="M49" s="351"/>
      <c r="N49" s="351"/>
      <c r="AF49" s="169">
        <f t="shared" ca="1" si="2"/>
        <v>0</v>
      </c>
      <c r="AG49" s="169" t="str">
        <f t="shared" ca="1" si="3"/>
        <v/>
      </c>
      <c r="AH49" s="169" t="str">
        <f t="shared" ca="1" si="19"/>
        <v/>
      </c>
      <c r="AJ49" s="169">
        <f t="shared" ca="1" si="20"/>
        <v>49</v>
      </c>
      <c r="AK49" s="169" t="str">
        <f t="shared" ca="1" si="21"/>
        <v>BB-</v>
      </c>
      <c r="AL49" s="169">
        <f t="shared" ca="1" si="21"/>
        <v>14</v>
      </c>
      <c r="AM49" s="169" t="str">
        <f t="shared" ca="1" si="4"/>
        <v/>
      </c>
      <c r="AQ49" s="207" t="s">
        <v>251</v>
      </c>
      <c r="AR49" s="207" t="s">
        <v>139</v>
      </c>
      <c r="AS49" s="207">
        <v>20</v>
      </c>
      <c r="AT49" s="207" t="s">
        <v>252</v>
      </c>
      <c r="AV49" s="168">
        <f t="shared" ca="1" si="5"/>
        <v>2</v>
      </c>
      <c r="AW49" s="168">
        <f ca="1">COUNTIF( AV$7:AV49, AV49 )</f>
        <v>11</v>
      </c>
      <c r="AX49" s="208">
        <f t="shared" ca="1" si="22"/>
        <v>3.1</v>
      </c>
      <c r="AY49" s="168">
        <f t="shared" ca="1" si="6"/>
        <v>12</v>
      </c>
      <c r="AZ49" s="169"/>
      <c r="BA49" s="169"/>
      <c r="BC49" s="168">
        <f t="shared" ca="1" si="24"/>
        <v>43</v>
      </c>
      <c r="BD49" s="209">
        <f t="shared" ca="1" si="8"/>
        <v>32</v>
      </c>
      <c r="BF49" s="173" t="str">
        <f t="shared" ca="1" si="23"/>
        <v>PG&amp;E Corporation</v>
      </c>
      <c r="BG49" s="173" t="str">
        <f t="shared" ca="1" si="23"/>
        <v>BB-</v>
      </c>
      <c r="BH49" s="173">
        <f t="shared" ca="1" si="23"/>
        <v>14</v>
      </c>
      <c r="BI49" s="173" t="str">
        <f t="shared" ca="1" si="23"/>
        <v>PCG</v>
      </c>
    </row>
    <row r="50" spans="1:61" ht="13.8" x14ac:dyDescent="0.25">
      <c r="A50" s="223"/>
      <c r="B50" s="224"/>
      <c r="C50" s="224"/>
      <c r="D50" s="224"/>
      <c r="E50" s="225"/>
      <c r="F50" s="348"/>
      <c r="G50" s="349"/>
      <c r="H50" s="350"/>
      <c r="I50" s="350"/>
      <c r="J50" s="191"/>
      <c r="K50" s="191"/>
      <c r="M50" s="351"/>
      <c r="N50" s="351"/>
      <c r="AF50" s="169">
        <f t="shared" ca="1" si="2"/>
        <v>0</v>
      </c>
      <c r="AG50" s="169" t="str">
        <f t="shared" ca="1" si="3"/>
        <v/>
      </c>
      <c r="AH50" s="169" t="str">
        <f t="shared" ca="1" si="19"/>
        <v/>
      </c>
      <c r="AJ50" s="169" t="e">
        <f t="shared" ca="1" si="20"/>
        <v>#N/A</v>
      </c>
      <c r="AK50" s="169" t="str">
        <f t="shared" ca="1" si="21"/>
        <v/>
      </c>
      <c r="AL50" s="169" t="str">
        <f t="shared" ca="1" si="21"/>
        <v/>
      </c>
      <c r="AM50" s="169" t="str">
        <f t="shared" ca="1" si="4"/>
        <v/>
      </c>
      <c r="AQ50" s="207"/>
      <c r="AR50" s="207"/>
      <c r="AS50" s="207"/>
      <c r="AT50" s="207"/>
      <c r="AV50" s="168">
        <f t="shared" ca="1" si="5"/>
        <v>99</v>
      </c>
      <c r="AW50" s="168">
        <f ca="1">COUNTIF( AV$7:AV50, AV50 )</f>
        <v>1</v>
      </c>
      <c r="AX50" s="208">
        <f t="shared" ca="1" si="22"/>
        <v>99.1</v>
      </c>
      <c r="AY50" s="168">
        <f t="shared" ca="1" si="6"/>
        <v>44</v>
      </c>
      <c r="AZ50" s="169"/>
      <c r="BA50" s="169"/>
      <c r="BC50" s="168">
        <f t="shared" ca="1" si="24"/>
        <v>44</v>
      </c>
      <c r="BD50" s="209">
        <f t="shared" ca="1" si="8"/>
        <v>44</v>
      </c>
      <c r="BF50" s="173">
        <f t="shared" ca="1" si="23"/>
        <v>0</v>
      </c>
      <c r="BG50" s="173">
        <f t="shared" ca="1" si="23"/>
        <v>0</v>
      </c>
      <c r="BH50" s="173">
        <f t="shared" ca="1" si="23"/>
        <v>0</v>
      </c>
      <c r="BI50" s="173">
        <f t="shared" ca="1" si="23"/>
        <v>0</v>
      </c>
    </row>
    <row r="51" spans="1:61" ht="13.8" x14ac:dyDescent="0.25">
      <c r="A51" s="223"/>
      <c r="B51" s="224"/>
      <c r="C51" s="224"/>
      <c r="D51" s="224"/>
      <c r="E51" s="225"/>
      <c r="F51" s="348"/>
      <c r="G51" s="349"/>
      <c r="H51" s="350"/>
      <c r="I51" s="350"/>
      <c r="J51" s="191"/>
      <c r="K51" s="191"/>
      <c r="M51" s="351"/>
      <c r="N51" s="351"/>
      <c r="AF51" s="169">
        <f t="shared" ca="1" si="2"/>
        <v>0</v>
      </c>
      <c r="AG51" s="169" t="str">
        <f t="shared" ca="1" si="3"/>
        <v/>
      </c>
      <c r="AH51" s="169" t="str">
        <f t="shared" ca="1" si="19"/>
        <v/>
      </c>
      <c r="AJ51" s="169" t="e">
        <f t="shared" ca="1" si="20"/>
        <v>#N/A</v>
      </c>
      <c r="AK51" s="169" t="str">
        <f t="shared" ca="1" si="21"/>
        <v/>
      </c>
      <c r="AL51" s="169" t="str">
        <f t="shared" ca="1" si="21"/>
        <v/>
      </c>
      <c r="AM51" s="169" t="str">
        <f t="shared" ca="1" si="4"/>
        <v/>
      </c>
      <c r="AQ51" s="207"/>
      <c r="AR51" s="207"/>
      <c r="AS51" s="207"/>
      <c r="AT51" s="207"/>
      <c r="AV51" s="168">
        <f t="shared" ca="1" si="5"/>
        <v>99</v>
      </c>
      <c r="AW51" s="168">
        <f ca="1">COUNTIF( AV$7:AV51, AV51 )</f>
        <v>2</v>
      </c>
      <c r="AX51" s="208">
        <f t="shared" ca="1" si="22"/>
        <v>99.2</v>
      </c>
      <c r="AY51" s="168">
        <f t="shared" ca="1" si="6"/>
        <v>45</v>
      </c>
      <c r="AZ51" s="169"/>
      <c r="BA51" s="169"/>
      <c r="BC51" s="168">
        <f t="shared" ca="1" si="24"/>
        <v>45</v>
      </c>
      <c r="BD51" s="209">
        <f t="shared" ca="1" si="8"/>
        <v>45</v>
      </c>
      <c r="BF51" s="173">
        <f t="shared" ref="BF51:BI63" ca="1" si="25">OFFSET( AQ$6, $BD52, 0 )</f>
        <v>0</v>
      </c>
      <c r="BG51" s="173">
        <f t="shared" ca="1" si="25"/>
        <v>0</v>
      </c>
      <c r="BH51" s="173">
        <f t="shared" ca="1" si="25"/>
        <v>0</v>
      </c>
      <c r="BI51" s="173">
        <f t="shared" ca="1" si="25"/>
        <v>0</v>
      </c>
    </row>
    <row r="52" spans="1:61" ht="13.8" x14ac:dyDescent="0.25">
      <c r="A52" s="223"/>
      <c r="B52" s="224"/>
      <c r="C52" s="224"/>
      <c r="D52" s="224"/>
      <c r="E52" s="225"/>
      <c r="F52" s="348"/>
      <c r="G52" s="349"/>
      <c r="H52" s="350"/>
      <c r="I52" s="350"/>
      <c r="J52" s="191"/>
      <c r="K52" s="191"/>
      <c r="AF52" s="169">
        <f t="shared" ca="1" si="2"/>
        <v>0</v>
      </c>
      <c r="AG52" s="169" t="str">
        <f t="shared" ca="1" si="3"/>
        <v/>
      </c>
      <c r="AH52" s="169" t="str">
        <f t="shared" ca="1" si="19"/>
        <v/>
      </c>
      <c r="AJ52" s="169" t="e">
        <f t="shared" ca="1" si="20"/>
        <v>#N/A</v>
      </c>
      <c r="AK52" s="169" t="str">
        <f t="shared" ca="1" si="21"/>
        <v/>
      </c>
      <c r="AL52" s="169" t="str">
        <f t="shared" ca="1" si="21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ca="1" si="5"/>
        <v>99</v>
      </c>
      <c r="AW52" s="168">
        <f ca="1">COUNTIF( AV$7:AV52, AV52 )</f>
        <v>3</v>
      </c>
      <c r="AX52" s="208">
        <f t="shared" ca="1" si="22"/>
        <v>99.3</v>
      </c>
      <c r="AY52" s="168">
        <f t="shared" ca="1" si="6"/>
        <v>46</v>
      </c>
      <c r="AZ52" s="169"/>
      <c r="BA52" s="169"/>
      <c r="BC52" s="168">
        <f t="shared" ca="1" si="24"/>
        <v>46</v>
      </c>
      <c r="BD52" s="209">
        <f t="shared" ca="1" si="8"/>
        <v>46</v>
      </c>
      <c r="BF52" s="173">
        <f t="shared" ca="1" si="25"/>
        <v>0</v>
      </c>
      <c r="BG52" s="173">
        <f t="shared" ca="1" si="25"/>
        <v>0</v>
      </c>
      <c r="BH52" s="173">
        <f t="shared" ca="1" si="25"/>
        <v>0</v>
      </c>
      <c r="BI52" s="173">
        <f t="shared" ca="1" si="25"/>
        <v>0</v>
      </c>
    </row>
    <row r="53" spans="1:61" ht="13.8" x14ac:dyDescent="0.25">
      <c r="A53" s="223"/>
      <c r="B53" s="224"/>
      <c r="C53" s="224"/>
      <c r="D53" s="224"/>
      <c r="E53" s="225"/>
      <c r="F53" s="348"/>
      <c r="G53" s="349" t="str">
        <f t="shared" ca="1" si="1"/>
        <v/>
      </c>
      <c r="H53" s="350"/>
      <c r="I53" s="350"/>
      <c r="J53" s="191"/>
      <c r="K53" s="191"/>
      <c r="AF53" s="169">
        <f t="shared" ca="1" si="2"/>
        <v>0</v>
      </c>
      <c r="AG53" s="169" t="str">
        <f t="shared" ca="1" si="3"/>
        <v/>
      </c>
      <c r="AH53" s="169" t="str">
        <f t="shared" ca="1" si="19"/>
        <v/>
      </c>
      <c r="AJ53" s="169" t="e">
        <f t="shared" ca="1" si="20"/>
        <v>#N/A</v>
      </c>
      <c r="AK53" s="169" t="str">
        <f t="shared" ca="1" si="21"/>
        <v/>
      </c>
      <c r="AL53" s="169" t="str">
        <f t="shared" ca="1" si="21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ca="1" si="5"/>
        <v>99</v>
      </c>
      <c r="AW53" s="168">
        <f ca="1">COUNTIF( AV$7:AV53, AV53 )</f>
        <v>4</v>
      </c>
      <c r="AX53" s="208">
        <f t="shared" ca="1" si="22"/>
        <v>99.4</v>
      </c>
      <c r="AY53" s="168">
        <f t="shared" ca="1" si="6"/>
        <v>47</v>
      </c>
      <c r="AZ53" s="169"/>
      <c r="BA53" s="169"/>
      <c r="BC53" s="168">
        <f t="shared" ca="1" si="24"/>
        <v>47</v>
      </c>
      <c r="BD53" s="209">
        <f t="shared" ca="1" si="8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ht="13.8" x14ac:dyDescent="0.25">
      <c r="A54" s="223"/>
      <c r="B54" s="224"/>
      <c r="C54" s="224"/>
      <c r="D54" s="224"/>
      <c r="E54" s="225"/>
      <c r="F54" s="348"/>
      <c r="G54" s="349" t="str">
        <f t="shared" ca="1" si="1"/>
        <v/>
      </c>
      <c r="H54" s="350"/>
      <c r="I54" s="350"/>
      <c r="J54" s="191"/>
      <c r="K54" s="191"/>
      <c r="AF54" s="169">
        <f t="shared" ca="1" si="2"/>
        <v>0</v>
      </c>
      <c r="AG54" s="169" t="str">
        <f t="shared" ca="1" si="3"/>
        <v/>
      </c>
      <c r="AH54" s="169" t="str">
        <f t="shared" ca="1" si="19"/>
        <v/>
      </c>
      <c r="AJ54" s="169" t="e">
        <f t="shared" ca="1" si="20"/>
        <v>#N/A</v>
      </c>
      <c r="AK54" s="169" t="str">
        <f t="shared" ca="1" si="21"/>
        <v/>
      </c>
      <c r="AL54" s="169" t="str">
        <f t="shared" ca="1" si="21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ca="1" si="5"/>
        <v>99</v>
      </c>
      <c r="AW54" s="168">
        <f ca="1">COUNTIF( AV$7:AV54, AV54 )</f>
        <v>5</v>
      </c>
      <c r="AX54" s="208">
        <f t="shared" ca="1" si="22"/>
        <v>99.5</v>
      </c>
      <c r="AY54" s="168">
        <f t="shared" ca="1" si="6"/>
        <v>48</v>
      </c>
      <c r="AZ54" s="169"/>
      <c r="BA54" s="169"/>
      <c r="BC54" s="168">
        <f t="shared" ca="1" si="24"/>
        <v>48</v>
      </c>
      <c r="BD54" s="209">
        <f t="shared" ca="1" si="8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3.8" x14ac:dyDescent="0.25">
      <c r="A55" s="223"/>
      <c r="B55" s="224"/>
      <c r="C55" s="224"/>
      <c r="D55" s="224"/>
      <c r="E55" s="225"/>
      <c r="F55" s="348"/>
      <c r="G55" s="349" t="str">
        <f t="shared" ca="1" si="1"/>
        <v/>
      </c>
      <c r="H55" s="350"/>
      <c r="I55" s="350"/>
      <c r="J55" s="191"/>
      <c r="K55" s="191"/>
      <c r="AF55" s="169">
        <f t="shared" ca="1" si="2"/>
        <v>0</v>
      </c>
      <c r="AG55" s="169" t="str">
        <f t="shared" ca="1" si="3"/>
        <v/>
      </c>
      <c r="AH55" s="169" t="str">
        <f t="shared" ca="1" si="19"/>
        <v/>
      </c>
      <c r="AJ55" s="169" t="e">
        <f t="shared" ca="1" si="20"/>
        <v>#N/A</v>
      </c>
      <c r="AK55" s="169" t="str">
        <f t="shared" ca="1" si="21"/>
        <v/>
      </c>
      <c r="AL55" s="169" t="str">
        <f t="shared" ca="1" si="21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ca="1" si="5"/>
        <v>99</v>
      </c>
      <c r="AW55" s="168">
        <f ca="1">COUNTIF( AV$7:AV55, AV55 )</f>
        <v>6</v>
      </c>
      <c r="AX55" s="208">
        <f t="shared" ca="1" si="22"/>
        <v>99.6</v>
      </c>
      <c r="AY55" s="168">
        <f t="shared" ca="1" si="6"/>
        <v>49</v>
      </c>
      <c r="AZ55" s="169"/>
      <c r="BA55" s="169"/>
      <c r="BC55" s="168">
        <f t="shared" ca="1" si="24"/>
        <v>49</v>
      </c>
      <c r="BD55" s="209">
        <f t="shared" ca="1" si="8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3.8" x14ac:dyDescent="0.25">
      <c r="A56" s="223"/>
      <c r="B56" s="224"/>
      <c r="C56" s="224"/>
      <c r="D56" s="224"/>
      <c r="E56" s="225"/>
      <c r="F56" s="348"/>
      <c r="G56" s="349" t="str">
        <f t="shared" ca="1" si="1"/>
        <v/>
      </c>
      <c r="H56" s="350"/>
      <c r="I56" s="350"/>
      <c r="J56" s="191"/>
      <c r="K56" s="191"/>
      <c r="AF56" s="169">
        <f t="shared" ca="1" si="2"/>
        <v>0</v>
      </c>
      <c r="AG56" s="169" t="str">
        <f t="shared" ca="1" si="3"/>
        <v/>
      </c>
      <c r="AH56" s="169" t="str">
        <f t="shared" ca="1" si="19"/>
        <v/>
      </c>
      <c r="AJ56" s="169" t="e">
        <f t="shared" ca="1" si="20"/>
        <v>#N/A</v>
      </c>
      <c r="AK56" s="169" t="str">
        <f t="shared" ca="1" si="21"/>
        <v/>
      </c>
      <c r="AL56" s="169" t="str">
        <f t="shared" ca="1" si="21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ca="1" si="5"/>
        <v>99</v>
      </c>
      <c r="AW56" s="168">
        <f ca="1">COUNTIF( AV$7:AV56, AV56 )</f>
        <v>7</v>
      </c>
      <c r="AX56" s="208">
        <f t="shared" ca="1" si="22"/>
        <v>99.7</v>
      </c>
      <c r="AY56" s="168">
        <f t="shared" ca="1" si="6"/>
        <v>50</v>
      </c>
      <c r="AZ56" s="169"/>
      <c r="BA56" s="169"/>
      <c r="BC56" s="168">
        <f t="shared" ca="1" si="24"/>
        <v>50</v>
      </c>
      <c r="BD56" s="209">
        <f t="shared" ca="1" si="8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8" x14ac:dyDescent="0.25">
      <c r="A57" s="223"/>
      <c r="B57" s="224"/>
      <c r="C57" s="224"/>
      <c r="D57" s="224"/>
      <c r="E57" s="225"/>
      <c r="F57" s="348"/>
      <c r="G57" s="349" t="str">
        <f t="shared" ca="1" si="1"/>
        <v/>
      </c>
      <c r="H57" s="350"/>
      <c r="I57" s="350"/>
      <c r="J57" s="191"/>
      <c r="K57" s="191"/>
      <c r="AF57" s="169">
        <f t="shared" ca="1" si="2"/>
        <v>0</v>
      </c>
      <c r="AG57" s="169" t="str">
        <f t="shared" ca="1" si="3"/>
        <v/>
      </c>
      <c r="AH57" s="169" t="str">
        <f t="shared" ca="1" si="19"/>
        <v/>
      </c>
      <c r="AJ57" s="169" t="e">
        <f t="shared" ca="1" si="20"/>
        <v>#N/A</v>
      </c>
      <c r="AK57" s="169" t="str">
        <f t="shared" ca="1" si="21"/>
        <v/>
      </c>
      <c r="AL57" s="169" t="str">
        <f t="shared" ca="1" si="21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ca="1" si="5"/>
        <v>99</v>
      </c>
      <c r="AW57" s="168">
        <f ca="1">COUNTIF( AV$7:AV57, AV57 )</f>
        <v>8</v>
      </c>
      <c r="AX57" s="208">
        <f t="shared" ca="1" si="22"/>
        <v>99.8</v>
      </c>
      <c r="AY57" s="168">
        <f t="shared" ca="1" si="6"/>
        <v>51</v>
      </c>
      <c r="AZ57" s="169"/>
      <c r="BA57" s="169"/>
      <c r="BC57" s="168">
        <f t="shared" ca="1" si="24"/>
        <v>51</v>
      </c>
      <c r="BD57" s="209">
        <f t="shared" ca="1" si="8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8" x14ac:dyDescent="0.25">
      <c r="A58" s="223"/>
      <c r="B58" s="224"/>
      <c r="C58" s="224"/>
      <c r="D58" s="224"/>
      <c r="E58" s="225"/>
      <c r="F58" s="348"/>
      <c r="G58" s="349" t="str">
        <f t="shared" ca="1" si="1"/>
        <v/>
      </c>
      <c r="H58" s="350"/>
      <c r="I58" s="350"/>
      <c r="J58" s="191"/>
      <c r="K58" s="191"/>
      <c r="AF58" s="169">
        <f t="shared" ca="1" si="2"/>
        <v>0</v>
      </c>
      <c r="AG58" s="169" t="str">
        <f t="shared" ca="1" si="3"/>
        <v/>
      </c>
      <c r="AH58" s="169" t="str">
        <f t="shared" ca="1" si="19"/>
        <v/>
      </c>
      <c r="AJ58" s="169" t="e">
        <f t="shared" ca="1" si="20"/>
        <v>#N/A</v>
      </c>
      <c r="AK58" s="169" t="str">
        <f t="shared" ca="1" si="21"/>
        <v/>
      </c>
      <c r="AL58" s="169" t="str">
        <f t="shared" ca="1" si="21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ca="1" si="5"/>
        <v>99</v>
      </c>
      <c r="AW58" s="168">
        <f ca="1">COUNTIF( AV$7:AV58, AV58 )</f>
        <v>9</v>
      </c>
      <c r="AX58" s="208">
        <f t="shared" ca="1" si="22"/>
        <v>99.9</v>
      </c>
      <c r="AY58" s="168">
        <f t="shared" ca="1" si="6"/>
        <v>52</v>
      </c>
      <c r="AZ58" s="169"/>
      <c r="BA58" s="169"/>
      <c r="BC58" s="168">
        <f t="shared" ca="1" si="24"/>
        <v>52</v>
      </c>
      <c r="BD58" s="209">
        <f t="shared" ca="1" si="8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8" x14ac:dyDescent="0.25">
      <c r="A59" s="223"/>
      <c r="B59" s="224"/>
      <c r="C59" s="224"/>
      <c r="D59" s="224"/>
      <c r="E59" s="225" t="str">
        <f t="shared" ca="1" si="9"/>
        <v/>
      </c>
      <c r="F59" s="348"/>
      <c r="G59" s="349" t="str">
        <f t="shared" ca="1" si="1"/>
        <v/>
      </c>
      <c r="H59" s="350"/>
      <c r="I59" s="350"/>
      <c r="J59" s="191"/>
      <c r="K59" s="191"/>
      <c r="AF59" s="169">
        <f t="shared" ca="1" si="2"/>
        <v>0</v>
      </c>
      <c r="AG59" s="169" t="str">
        <f t="shared" ca="1" si="3"/>
        <v/>
      </c>
      <c r="AH59" s="169" t="str">
        <f t="shared" ca="1" si="19"/>
        <v/>
      </c>
      <c r="AJ59" s="169" t="e">
        <f t="shared" ca="1" si="20"/>
        <v>#N/A</v>
      </c>
      <c r="AK59" s="169" t="str">
        <f t="shared" ca="1" si="21"/>
        <v/>
      </c>
      <c r="AL59" s="169" t="str">
        <f t="shared" ca="1" si="21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ca="1" si="5"/>
        <v>99</v>
      </c>
      <c r="AW59" s="168">
        <f ca="1">COUNTIF( AV$7:AV59, AV59 )</f>
        <v>10</v>
      </c>
      <c r="AX59" s="208">
        <f t="shared" ca="1" si="22"/>
        <v>100</v>
      </c>
      <c r="AY59" s="168">
        <f t="shared" ca="1" si="6"/>
        <v>53</v>
      </c>
      <c r="AZ59" s="169"/>
      <c r="BA59" s="169"/>
      <c r="BC59" s="168">
        <f t="shared" ca="1" si="24"/>
        <v>53</v>
      </c>
      <c r="BD59" s="209">
        <f t="shared" ca="1" si="8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" thickBot="1" x14ac:dyDescent="0.3">
      <c r="A60" s="192"/>
      <c r="B60" s="193"/>
      <c r="C60" s="193"/>
      <c r="D60" s="193"/>
      <c r="E60" s="194" t="str">
        <f t="shared" ca="1" si="9"/>
        <v/>
      </c>
      <c r="F60" s="350"/>
      <c r="G60" s="353" t="str">
        <f t="shared" ca="1" si="1"/>
        <v/>
      </c>
      <c r="H60" s="350"/>
      <c r="I60" s="350"/>
      <c r="AF60" s="169">
        <f t="shared" ca="1" si="2"/>
        <v>0</v>
      </c>
      <c r="AG60" s="169" t="str">
        <f t="shared" ca="1" si="3"/>
        <v/>
      </c>
      <c r="AH60" s="169" t="str">
        <f t="shared" ca="1" si="19"/>
        <v/>
      </c>
      <c r="AJ60" s="169" t="e">
        <f t="shared" ca="1" si="20"/>
        <v>#N/A</v>
      </c>
      <c r="AK60" s="169" t="str">
        <f t="shared" ca="1" si="21"/>
        <v/>
      </c>
      <c r="AL60" s="169" t="str">
        <f t="shared" ca="1" si="21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ca="1" si="5"/>
        <v>99</v>
      </c>
      <c r="AW60" s="168">
        <f ca="1">COUNTIF( AV$7:AV60, AV60 )</f>
        <v>11</v>
      </c>
      <c r="AX60" s="208">
        <f t="shared" ca="1" si="22"/>
        <v>100.1</v>
      </c>
      <c r="AY60" s="168">
        <f t="shared" ca="1" si="6"/>
        <v>54</v>
      </c>
      <c r="AZ60" s="169"/>
      <c r="BA60" s="169"/>
      <c r="BC60" s="168">
        <f t="shared" ca="1" si="24"/>
        <v>54</v>
      </c>
      <c r="BD60" s="209">
        <f t="shared" ca="1" si="8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8" x14ac:dyDescent="0.25">
      <c r="A61" s="226" t="s">
        <v>308</v>
      </c>
      <c r="B61" s="227" t="s">
        <v>162</v>
      </c>
      <c r="C61" s="227">
        <v>23</v>
      </c>
      <c r="D61" s="227" t="s">
        <v>309</v>
      </c>
      <c r="E61" s="228" t="str">
        <f t="shared" ca="1" si="9"/>
        <v>R</v>
      </c>
      <c r="F61" s="354"/>
      <c r="G61" s="355">
        <f t="shared" ca="1" si="1"/>
        <v>29</v>
      </c>
      <c r="H61" s="350"/>
      <c r="I61" s="350"/>
      <c r="AF61" s="169">
        <f t="shared" ca="1" si="2"/>
        <v>1</v>
      </c>
      <c r="AG61" s="169" t="str">
        <f t="shared" ca="1" si="3"/>
        <v/>
      </c>
      <c r="AH61" s="169" t="str">
        <f t="shared" ca="1" si="19"/>
        <v/>
      </c>
      <c r="AJ61" s="169">
        <f t="shared" ca="1" si="20"/>
        <v>61</v>
      </c>
      <c r="AK61" s="169" t="str">
        <f t="shared" ca="1" si="21"/>
        <v>AA-</v>
      </c>
      <c r="AL61" s="169">
        <f t="shared" ca="1" si="21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ca="1" si="5"/>
        <v>99</v>
      </c>
      <c r="AW61" s="168">
        <f ca="1">COUNTIF( AV$7:AV61, AV61 )</f>
        <v>12</v>
      </c>
      <c r="AX61" s="208">
        <f t="shared" ca="1" si="22"/>
        <v>100.2</v>
      </c>
      <c r="AY61" s="168">
        <f t="shared" ca="1" si="6"/>
        <v>55</v>
      </c>
      <c r="AZ61" s="169"/>
      <c r="BA61" s="169"/>
      <c r="BC61" s="168">
        <f t="shared" ca="1" si="24"/>
        <v>55</v>
      </c>
      <c r="BD61" s="209">
        <f t="shared" ca="1" si="8"/>
        <v>55</v>
      </c>
      <c r="BF61" s="173">
        <f ca="1">OFFSET( AQ$6, $BD62, 0 )</f>
        <v>0</v>
      </c>
      <c r="BG61" s="173">
        <f ca="1">OFFSET( AR$6, $BD62, 0 )</f>
        <v>0</v>
      </c>
      <c r="BH61" s="173">
        <f ca="1">OFFSET( AS$6, $BD62, 0 )</f>
        <v>0</v>
      </c>
      <c r="BI61" s="173">
        <f ca="1">OFFSET( AT$6, $BD62, 0 )</f>
        <v>0</v>
      </c>
    </row>
    <row r="62" spans="1:61" ht="13.8" x14ac:dyDescent="0.25">
      <c r="A62" s="223"/>
      <c r="B62" s="224"/>
      <c r="C62" s="224"/>
      <c r="D62" s="224"/>
      <c r="E62" s="225"/>
      <c r="F62" s="348"/>
      <c r="G62" s="349" t="str">
        <f t="shared" ca="1" si="1"/>
        <v/>
      </c>
      <c r="H62" s="350"/>
      <c r="I62" s="350"/>
      <c r="AF62" s="169">
        <f ca="1">IF( LEN( C62 ) = 0, 0, IF( C62 = C61, AF61, IF( AF61 = 1, 0, 1 ) ) )</f>
        <v>0</v>
      </c>
      <c r="AG62" s="169" t="str">
        <f t="shared" ca="1" si="3"/>
        <v/>
      </c>
      <c r="AH62" s="169" t="str">
        <f t="shared" ca="1" si="19"/>
        <v/>
      </c>
      <c r="AJ62" s="169" t="e">
        <f t="shared" ca="1" si="20"/>
        <v>#N/A</v>
      </c>
      <c r="AK62" s="169" t="str">
        <f t="shared" ca="1" si="21"/>
        <v/>
      </c>
      <c r="AL62" s="169" t="str">
        <f t="shared" ca="1" si="21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ca="1" si="5"/>
        <v>99</v>
      </c>
      <c r="AW62" s="168">
        <f ca="1">COUNTIF( AV$7:AV62, AV62 )</f>
        <v>13</v>
      </c>
      <c r="AX62" s="208">
        <f t="shared" ca="1" si="22"/>
        <v>100.3</v>
      </c>
      <c r="AY62" s="168">
        <f t="shared" ca="1" si="6"/>
        <v>56</v>
      </c>
      <c r="AZ62" s="169"/>
      <c r="BA62" s="169"/>
      <c r="BC62" s="168">
        <f t="shared" ca="1" si="24"/>
        <v>56</v>
      </c>
      <c r="BD62" s="209">
        <f t="shared" ca="1" si="8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/>
      <c r="B63" s="229"/>
      <c r="C63" s="224"/>
      <c r="D63" s="224"/>
      <c r="E63" s="225"/>
      <c r="F63" s="348"/>
      <c r="G63" s="349"/>
      <c r="H63" s="350"/>
      <c r="I63" s="350"/>
      <c r="AF63" s="169">
        <f t="shared" ca="1" si="2"/>
        <v>0</v>
      </c>
      <c r="AG63" s="169" t="str">
        <f t="shared" ca="1" si="3"/>
        <v/>
      </c>
      <c r="AH63" s="169" t="str">
        <f t="shared" ca="1" si="19"/>
        <v/>
      </c>
      <c r="AJ63" s="169" t="e">
        <f t="shared" ca="1" si="20"/>
        <v>#N/A</v>
      </c>
      <c r="AK63" s="169" t="str">
        <f t="shared" ca="1" si="21"/>
        <v/>
      </c>
      <c r="AL63" s="169" t="str">
        <f t="shared" ca="1" si="21"/>
        <v/>
      </c>
      <c r="AM63" s="169" t="str">
        <f t="shared" ca="1" si="4"/>
        <v/>
      </c>
      <c r="AU63" s="207"/>
      <c r="AV63" s="168">
        <f t="shared" ca="1" si="5"/>
        <v>99</v>
      </c>
      <c r="AW63" s="168">
        <f ca="1">COUNTIF( AV$7:AV63, AV63 )</f>
        <v>14</v>
      </c>
      <c r="AX63" s="208">
        <f t="shared" ca="1" si="22"/>
        <v>100.4</v>
      </c>
      <c r="AY63" s="168">
        <f t="shared" ca="1" si="6"/>
        <v>57</v>
      </c>
      <c r="AZ63" s="169"/>
      <c r="BA63" s="169"/>
      <c r="BC63" s="168">
        <f t="shared" ca="1" si="24"/>
        <v>57</v>
      </c>
      <c r="BD63" s="209">
        <f t="shared" ca="1" si="8"/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/>
      <c r="B64" s="229"/>
      <c r="C64" s="224"/>
      <c r="D64" s="224"/>
      <c r="E64" s="225"/>
      <c r="F64" s="348"/>
      <c r="G64" s="349"/>
      <c r="H64" s="350"/>
      <c r="I64" s="350"/>
      <c r="AF64" s="169">
        <f t="shared" ca="1" si="2"/>
        <v>0</v>
      </c>
      <c r="AG64" s="169" t="str">
        <f t="shared" ca="1" si="3"/>
        <v/>
      </c>
      <c r="AH64" s="169" t="str">
        <f t="shared" ca="1" si="19"/>
        <v/>
      </c>
      <c r="AJ64" s="169" t="e">
        <f t="shared" ca="1" si="20"/>
        <v>#N/A</v>
      </c>
      <c r="AK64" s="169" t="str">
        <f t="shared" ca="1" si="21"/>
        <v/>
      </c>
      <c r="AL64" s="169" t="str">
        <f t="shared" ca="1" si="21"/>
        <v/>
      </c>
      <c r="AM64" s="169" t="str">
        <f t="shared" ca="1" si="4"/>
        <v/>
      </c>
      <c r="AQ64" s="207" t="s">
        <v>308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61" ht="13.8" x14ac:dyDescent="0.25">
      <c r="A65" s="223"/>
      <c r="B65" s="229"/>
      <c r="C65" s="224"/>
      <c r="D65" s="224"/>
      <c r="E65" s="225"/>
      <c r="F65" s="348"/>
      <c r="G65" s="349"/>
      <c r="H65" s="350"/>
      <c r="I65" s="350"/>
      <c r="N65" s="168" t="s">
        <v>310</v>
      </c>
      <c r="AF65" s="169">
        <f t="shared" ca="1" si="2"/>
        <v>0</v>
      </c>
      <c r="AG65" s="169" t="str">
        <f ca="1">IF( LEN( $C65 ) = 0, "", IF( $C65 &gt; $AL65, 1, "" ) )</f>
        <v/>
      </c>
      <c r="AH65" s="169" t="str">
        <f t="shared" ca="1" si="19"/>
        <v/>
      </c>
      <c r="AJ65" s="169" t="e">
        <f t="shared" ca="1" si="20"/>
        <v>#N/A</v>
      </c>
      <c r="AK65" s="169" t="str">
        <f t="shared" ca="1" si="21"/>
        <v/>
      </c>
      <c r="AL65" s="169" t="str">
        <f t="shared" ca="1" si="21"/>
        <v/>
      </c>
      <c r="AM65" s="169" t="str">
        <f t="shared" ca="1" si="4"/>
        <v/>
      </c>
      <c r="AU65" s="207"/>
      <c r="AZ65" s="169"/>
      <c r="BA65" s="169"/>
      <c r="BF65" s="169"/>
    </row>
    <row r="66" spans="1:61" ht="13.8" x14ac:dyDescent="0.25">
      <c r="A66" s="195"/>
      <c r="B66" s="196"/>
      <c r="C66" s="185"/>
      <c r="D66" s="185"/>
      <c r="E66" s="182"/>
      <c r="F66" s="350"/>
      <c r="H66" s="350"/>
      <c r="I66" s="350"/>
      <c r="AF66" s="169">
        <f t="shared" ca="1" si="2"/>
        <v>0</v>
      </c>
      <c r="AG66" s="169" t="str">
        <f t="shared" ref="AG66:AG67" ca="1" si="26">IF( LEN( $C66 ) = 0, "", IF( $C66 &gt; $AL66, 1, "" ) )</f>
        <v/>
      </c>
      <c r="AH66" s="169" t="str">
        <f t="shared" ca="1" si="19"/>
        <v/>
      </c>
      <c r="AJ66" s="169" t="e">
        <f t="shared" ca="1" si="20"/>
        <v>#N/A</v>
      </c>
      <c r="AK66" s="169" t="str">
        <f t="shared" ca="1" si="21"/>
        <v/>
      </c>
      <c r="AL66" s="169" t="str">
        <f t="shared" ca="1" si="21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61" ht="14.4" thickBot="1" x14ac:dyDescent="0.3">
      <c r="A67" s="197"/>
      <c r="B67" s="198"/>
      <c r="C67" s="248"/>
      <c r="D67" s="198"/>
      <c r="E67" s="199"/>
      <c r="F67" s="350"/>
      <c r="H67" s="350"/>
      <c r="I67" s="350"/>
      <c r="AF67" s="169">
        <f t="shared" ca="1" si="2"/>
        <v>0</v>
      </c>
      <c r="AG67" s="169" t="str">
        <f t="shared" ca="1" si="26"/>
        <v/>
      </c>
      <c r="AH67" s="169" t="str">
        <f t="shared" ca="1" si="19"/>
        <v/>
      </c>
      <c r="AJ67" s="169" t="e">
        <f t="shared" ca="1" si="20"/>
        <v>#N/A</v>
      </c>
      <c r="AK67" s="169" t="str">
        <f t="shared" ca="1" si="21"/>
        <v/>
      </c>
      <c r="AL67" s="169" t="str">
        <f t="shared" ca="1" si="21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61" ht="13.8" x14ac:dyDescent="0.25">
      <c r="A68" s="200" t="s">
        <v>311</v>
      </c>
      <c r="B68" s="189" t="str">
        <f ca="1">OFFSET( Scale!$H$5, ROUND( C68, 0 ) - 1, 1 )</f>
        <v>BBB+</v>
      </c>
      <c r="C68" s="201">
        <f ca="1">AVERAGE(C7:C65)</f>
        <v>18.795454545454547</v>
      </c>
      <c r="D68" s="201"/>
      <c r="E68" s="201"/>
      <c r="F68" s="350"/>
      <c r="H68" s="350"/>
      <c r="I68" s="350"/>
      <c r="J68" s="351"/>
      <c r="K68" s="351"/>
      <c r="AX68" s="208"/>
      <c r="AZ68" s="169"/>
      <c r="BA68" s="169"/>
      <c r="BD68" s="209"/>
      <c r="BF68" s="169"/>
    </row>
    <row r="69" spans="1:61" x14ac:dyDescent="0.25">
      <c r="A69" s="202"/>
      <c r="B69" s="202"/>
      <c r="F69" s="350"/>
      <c r="H69" s="350"/>
      <c r="I69" s="350"/>
      <c r="AX69" s="208"/>
      <c r="AZ69" s="169"/>
      <c r="BA69" s="169"/>
      <c r="BD69" s="209"/>
    </row>
    <row r="70" spans="1:61" x14ac:dyDescent="0.25">
      <c r="A70" s="202"/>
      <c r="B70" s="202"/>
      <c r="F70" s="173"/>
      <c r="H70" s="173"/>
      <c r="I70" s="173"/>
      <c r="J70" s="351"/>
      <c r="K70" s="351"/>
    </row>
    <row r="71" spans="1:61" x14ac:dyDescent="0.25">
      <c r="A71" s="203" t="s">
        <v>312</v>
      </c>
      <c r="F71" s="173"/>
      <c r="H71" s="173"/>
      <c r="I71" s="173"/>
    </row>
    <row r="72" spans="1:61" x14ac:dyDescent="0.25">
      <c r="A72" s="203" t="s">
        <v>313</v>
      </c>
      <c r="B72" s="173"/>
      <c r="D72" s="173"/>
      <c r="E72" s="173"/>
      <c r="F72" s="204"/>
      <c r="H72" s="204"/>
      <c r="I72" s="204"/>
    </row>
    <row r="73" spans="1:61" x14ac:dyDescent="0.25">
      <c r="A73" s="205" t="s">
        <v>314</v>
      </c>
      <c r="B73" s="173"/>
      <c r="D73" s="173"/>
      <c r="E73" s="173"/>
      <c r="F73" s="204"/>
      <c r="H73" s="204"/>
      <c r="I73" s="204"/>
      <c r="AQ73" s="207"/>
      <c r="AR73" s="207"/>
      <c r="AS73" s="207"/>
    </row>
    <row r="74" spans="1:61" x14ac:dyDescent="0.25">
      <c r="A74" s="203" t="s">
        <v>315</v>
      </c>
      <c r="D74" s="204"/>
      <c r="F74" s="206"/>
      <c r="H74" s="206"/>
      <c r="I74" s="206"/>
      <c r="AQ74" s="207"/>
      <c r="AR74" s="207"/>
      <c r="AS74" s="207"/>
    </row>
    <row r="75" spans="1:61" x14ac:dyDescent="0.25">
      <c r="A75" s="203" t="s">
        <v>316</v>
      </c>
      <c r="D75" s="204"/>
      <c r="F75" s="206"/>
      <c r="H75" s="206"/>
      <c r="I75" s="206"/>
      <c r="AQ75" s="207"/>
      <c r="AR75" s="207"/>
      <c r="AS75" s="207"/>
    </row>
    <row r="76" spans="1:61" x14ac:dyDescent="0.25">
      <c r="A76" s="203"/>
      <c r="AQ76" s="207"/>
      <c r="AR76" s="207"/>
      <c r="AS76" s="207"/>
    </row>
    <row r="77" spans="1:61" x14ac:dyDescent="0.25">
      <c r="C77" s="190">
        <f ca="1">SUMPRODUCT( L8:L13, Y8:Y13 ) / L14</f>
        <v>18.818181818181817</v>
      </c>
      <c r="E77" s="191"/>
      <c r="G77" s="353"/>
      <c r="J77" s="173"/>
      <c r="K77" s="173"/>
      <c r="AQ77" s="207"/>
      <c r="AR77" s="207"/>
      <c r="AS77" s="207"/>
      <c r="AT77" s="173"/>
      <c r="BF77" s="173"/>
      <c r="BG77" s="173"/>
      <c r="BH77" s="173"/>
      <c r="BI77" s="173"/>
    </row>
    <row r="78" spans="1:61" s="173" customFormat="1" ht="13.8" x14ac:dyDescent="0.2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168"/>
      <c r="AR78" s="168"/>
      <c r="AS78" s="168"/>
      <c r="AT78" s="168"/>
      <c r="BF78" s="168"/>
      <c r="BG78" s="168"/>
      <c r="BH78" s="168"/>
      <c r="BI78" s="168"/>
    </row>
  </sheetData>
  <sortState ref="AQ7:AT51">
    <sortCondition ref="AQ7:AQ51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487" priority="31" stopIfTrue="1">
      <formula>IF( $AH7 = 1, TRUE, FALSE )</formula>
    </cfRule>
    <cfRule type="expression" dxfId="1486" priority="32" stopIfTrue="1">
      <formula>IF( $AG7 = 1, TRUE, FALSE )</formula>
    </cfRule>
    <cfRule type="expression" dxfId="1485" priority="33" stopIfTrue="1">
      <formula>IF( $AF7 = 1, TRUE, FALSE )</formula>
    </cfRule>
  </conditionalFormatting>
  <conditionalFormatting sqref="A67:E67">
    <cfRule type="expression" dxfId="1484" priority="34" stopIfTrue="1">
      <formula>IF( $AH67 = 1, TRUE, FALSE )</formula>
    </cfRule>
    <cfRule type="expression" dxfId="1483" priority="35" stopIfTrue="1">
      <formula>IF( $AG67 = 1, TRUE, FALSE )</formula>
    </cfRule>
    <cfRule type="expression" dxfId="1482" priority="36" stopIfTrue="1">
      <formula>IF( $AF67 = 1, TRUE, FALSE )</formula>
    </cfRule>
  </conditionalFormatting>
  <conditionalFormatting sqref="A66:E66">
    <cfRule type="expression" dxfId="1481" priority="28" stopIfTrue="1">
      <formula>IF( $AH66 = 1, TRUE, FALSE )</formula>
    </cfRule>
    <cfRule type="expression" dxfId="1480" priority="29" stopIfTrue="1">
      <formula>IF( $AG66 = 1, TRUE, FALSE )</formula>
    </cfRule>
    <cfRule type="expression" dxfId="1479" priority="30" stopIfTrue="1">
      <formula>IF( $AF66 = 1, TRUE, FALSE )</formula>
    </cfRule>
  </conditionalFormatting>
  <conditionalFormatting sqref="A8:D33 B7:D7 A35:D58">
    <cfRule type="expression" dxfId="1478" priority="25" stopIfTrue="1">
      <formula>IF( $AH7 = 1, TRUE, FALSE )</formula>
    </cfRule>
    <cfRule type="expression" dxfId="1477" priority="26" stopIfTrue="1">
      <formula>IF( $AG7 = 1, TRUE, FALSE )</formula>
    </cfRule>
    <cfRule type="expression" dxfId="1476" priority="27" stopIfTrue="1">
      <formula>IF( $AF7 = 1, TRUE, FALSE )</formula>
    </cfRule>
  </conditionalFormatting>
  <conditionalFormatting sqref="A59:D59">
    <cfRule type="expression" dxfId="1475" priority="22" stopIfTrue="1">
      <formula>IF( $AH59 = 1, TRUE, FALSE )</formula>
    </cfRule>
    <cfRule type="expression" dxfId="1474" priority="23" stopIfTrue="1">
      <formula>IF( $AG59 = 1, TRUE, FALSE )</formula>
    </cfRule>
    <cfRule type="expression" dxfId="1473" priority="24" stopIfTrue="1">
      <formula>IF( $AF59 = 1, TRUE, FALSE )</formula>
    </cfRule>
  </conditionalFormatting>
  <conditionalFormatting sqref="A61:D65">
    <cfRule type="expression" dxfId="1472" priority="19" stopIfTrue="1">
      <formula>IF( $AH61 = 1, TRUE, FALSE )</formula>
    </cfRule>
    <cfRule type="expression" dxfId="1471" priority="20" stopIfTrue="1">
      <formula>IF( $AG61 = 1, TRUE, FALSE )</formula>
    </cfRule>
    <cfRule type="expression" dxfId="1470" priority="21" stopIfTrue="1">
      <formula>IF( $AF61 = 1, TRUE, FALSE )</formula>
    </cfRule>
  </conditionalFormatting>
  <conditionalFormatting sqref="U8:U12">
    <cfRule type="cellIs" dxfId="1469" priority="18" operator="equal">
      <formula>0</formula>
    </cfRule>
  </conditionalFormatting>
  <conditionalFormatting sqref="O8:O12 Q8:Q12">
    <cfRule type="cellIs" dxfId="1468" priority="17" operator="equal">
      <formula>0</formula>
    </cfRule>
  </conditionalFormatting>
  <conditionalFormatting sqref="V8:V12">
    <cfRule type="cellIs" dxfId="1467" priority="16" operator="equal">
      <formula>0</formula>
    </cfRule>
  </conditionalFormatting>
  <conditionalFormatting sqref="S8:S12">
    <cfRule type="cellIs" dxfId="1466" priority="14" operator="equal">
      <formula>0</formula>
    </cfRule>
  </conditionalFormatting>
  <conditionalFormatting sqref="R8:R12">
    <cfRule type="cellIs" dxfId="1465" priority="15" operator="equal">
      <formula>0</formula>
    </cfRule>
  </conditionalFormatting>
  <conditionalFormatting sqref="P8:P12">
    <cfRule type="cellIs" dxfId="1464" priority="13" operator="equal">
      <formula>0</formula>
    </cfRule>
  </conditionalFormatting>
  <conditionalFormatting sqref="M8:M12">
    <cfRule type="cellIs" dxfId="1463" priority="12" operator="equal">
      <formula>0</formula>
    </cfRule>
  </conditionalFormatting>
  <conditionalFormatting sqref="T8:T12">
    <cfRule type="cellIs" dxfId="1462" priority="11" operator="equal">
      <formula>0</formula>
    </cfRule>
  </conditionalFormatting>
  <conditionalFormatting sqref="N8:N12">
    <cfRule type="cellIs" dxfId="1461" priority="10" operator="equal">
      <formula>0</formula>
    </cfRule>
  </conditionalFormatting>
  <conditionalFormatting sqref="K8:K12">
    <cfRule type="cellIs" dxfId="1460" priority="9" operator="equal">
      <formula>0</formula>
    </cfRule>
  </conditionalFormatting>
  <conditionalFormatting sqref="I8:I12">
    <cfRule type="cellIs" dxfId="1459" priority="8" operator="equal">
      <formula>0</formula>
    </cfRule>
  </conditionalFormatting>
  <conditionalFormatting sqref="W8:W12">
    <cfRule type="cellIs" dxfId="1458" priority="7" operator="equal">
      <formula>0</formula>
    </cfRule>
  </conditionalFormatting>
  <conditionalFormatting sqref="A7">
    <cfRule type="expression" dxfId="1457" priority="4" stopIfTrue="1">
      <formula>IF( $AH7 = 1, TRUE, FALSE )</formula>
    </cfRule>
    <cfRule type="expression" dxfId="1456" priority="5" stopIfTrue="1">
      <formula>IF( $AG7 = 1, TRUE, FALSE )</formula>
    </cfRule>
    <cfRule type="expression" dxfId="1455" priority="6" stopIfTrue="1">
      <formula>IF( $AF7 = 1, TRUE, FALSE )</formula>
    </cfRule>
  </conditionalFormatting>
  <conditionalFormatting sqref="A34:D34">
    <cfRule type="expression" dxfId="1454" priority="1" stopIfTrue="1">
      <formula>IF( $AH34 = 1, TRUE, FALSE )</formula>
    </cfRule>
    <cfRule type="expression" dxfId="1453" priority="2" stopIfTrue="1">
      <formula>IF( $AG34 = 1, TRUE, FALSE )</formula>
    </cfRule>
    <cfRule type="expression" dxfId="1452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168" customWidth="1"/>
    <col min="2" max="2" width="9.109375" style="168"/>
    <col min="3" max="3" width="9.44140625" style="169" customWidth="1"/>
    <col min="4" max="4" width="9.109375" style="168" customWidth="1" outlineLevel="1"/>
    <col min="5" max="5" width="12.5546875" style="168" customWidth="1" outlineLevel="1"/>
    <col min="6" max="6" width="3.44140625" style="168" customWidth="1" outlineLevel="1"/>
    <col min="7" max="7" width="17.6640625" style="169" hidden="1" customWidth="1" outlineLevel="2"/>
    <col min="8" max="8" width="3.44140625" style="168" hidden="1" customWidth="1" outlineLevel="2" collapsed="1"/>
    <col min="9" max="9" width="3.33203125" style="168" customWidth="1" outlineLevel="1" collapsed="1"/>
    <col min="10" max="10" width="22" style="168" customWidth="1"/>
    <col min="11" max="11" width="2" style="168" customWidth="1"/>
    <col min="12" max="13" width="10.44140625" style="168" customWidth="1"/>
    <col min="14" max="14" width="2" style="168" customWidth="1"/>
    <col min="15" max="16" width="10.44140625" style="168" customWidth="1"/>
    <col min="17" max="17" width="2" style="168" customWidth="1"/>
    <col min="18" max="19" width="10.44140625" style="168" customWidth="1"/>
    <col min="20" max="20" width="2" style="169" customWidth="1"/>
    <col min="21" max="22" width="10.44140625" style="169" hidden="1" customWidth="1" outlineLevel="1"/>
    <col min="23" max="23" width="2" style="168" hidden="1" customWidth="1" outlineLevel="1"/>
    <col min="24" max="24" width="4.109375" style="168" customWidth="1" collapsed="1"/>
    <col min="25" max="25" width="5.5546875" style="168" customWidth="1"/>
    <col min="26" max="26" width="2.44140625" style="168" customWidth="1"/>
    <col min="27" max="27" width="4.33203125" style="168" customWidth="1"/>
    <col min="28" max="30" width="2.44140625" style="168" hidden="1" customWidth="1" outlineLevel="1"/>
    <col min="31" max="31" width="4.44140625" style="168" hidden="1" customWidth="1" outlineLevel="1"/>
    <col min="32" max="32" width="6.5546875" style="169" hidden="1" customWidth="1" outlineLevel="1" collapsed="1"/>
    <col min="33" max="34" width="6.5546875" style="169" hidden="1" customWidth="1" outlineLevel="1"/>
    <col min="35" max="35" width="3.109375" style="168" hidden="1" customWidth="1" outlineLevel="1"/>
    <col min="36" max="36" width="15.88671875" style="169" hidden="1" customWidth="1" outlineLevel="1" collapsed="1"/>
    <col min="37" max="38" width="15.88671875" style="169" hidden="1" customWidth="1" outlineLevel="1"/>
    <col min="39" max="39" width="8.44140625" style="169" hidden="1" customWidth="1" outlineLevel="1"/>
    <col min="40" max="40" width="11.88671875" style="169" hidden="1" customWidth="1" outlineLevel="1"/>
    <col min="41" max="41" width="3.44140625" style="168" customWidth="1" collapsed="1"/>
    <col min="42" max="42" width="3.44140625" style="168" customWidth="1"/>
    <col min="43" max="43" width="29.6640625" style="168" hidden="1" customWidth="1" outlineLevel="1"/>
    <col min="44" max="44" width="6.44140625" style="168" hidden="1" customWidth="1" outlineLevel="1"/>
    <col min="45" max="45" width="6.6640625" style="168" hidden="1" customWidth="1" outlineLevel="1"/>
    <col min="46" max="46" width="8.6640625" style="168" hidden="1" customWidth="1" outlineLevel="1"/>
    <col min="47" max="47" width="3.109375" style="168" hidden="1" customWidth="1" outlineLevel="1"/>
    <col min="48" max="56" width="9.109375" style="168" hidden="1" customWidth="1" outlineLevel="2"/>
    <col min="57" max="57" width="5.44140625" style="168" hidden="1" customWidth="1" outlineLevel="1" collapsed="1"/>
    <col min="58" max="58" width="36.88671875" style="168" hidden="1" customWidth="1" outlineLevel="1"/>
    <col min="59" max="59" width="6.44140625" style="168" hidden="1" customWidth="1" outlineLevel="1"/>
    <col min="60" max="60" width="3.44140625" style="168" hidden="1" customWidth="1" outlineLevel="1"/>
    <col min="61" max="61" width="9.109375" style="168" hidden="1" customWidth="1" outlineLevel="1"/>
    <col min="62" max="62" width="9.109375" collapsed="1"/>
    <col min="63" max="16384" width="9.109375" style="168"/>
  </cols>
  <sheetData>
    <row r="1" spans="1:61" ht="18" x14ac:dyDescent="0.25">
      <c r="A1" s="238" t="str">
        <f ca="1">"I.  S&amp;P Utility Credit Ratings Distribution -- " &amp; B6</f>
        <v>I.  S&amp;P Utility Credit Ratings Distribution -- 2021 Q2</v>
      </c>
      <c r="G1" s="175" t="s">
        <v>195</v>
      </c>
      <c r="AF1" s="170" t="s">
        <v>196</v>
      </c>
      <c r="AG1" s="170" t="s">
        <v>197</v>
      </c>
      <c r="AH1" s="170" t="s">
        <v>198</v>
      </c>
      <c r="AJ1" s="170" t="s">
        <v>199</v>
      </c>
      <c r="AK1" s="170" t="s">
        <v>200</v>
      </c>
      <c r="AL1" s="170" t="s">
        <v>200</v>
      </c>
      <c r="AM1" s="170" t="s">
        <v>199</v>
      </c>
      <c r="AN1" s="170"/>
      <c r="AQ1" s="170" t="s">
        <v>201</v>
      </c>
    </row>
    <row r="2" spans="1:61" ht="18" hidden="1" outlineLevel="1" x14ac:dyDescent="0.25">
      <c r="A2" s="167"/>
      <c r="E2" s="171" t="str">
        <f ca="1">G2</f>
        <v>Reg_Percent_2020</v>
      </c>
      <c r="G2" s="172" t="s">
        <v>202</v>
      </c>
      <c r="AJ2" s="173" t="str">
        <f ca="1">AJ4 &amp; AJ3</f>
        <v>'Credit_2021Q1'!d:d</v>
      </c>
      <c r="AK2" s="173" t="str">
        <f ca="1">AK4 &amp; AK3</f>
        <v>'Credit_2021Q1'!b1</v>
      </c>
      <c r="AL2" s="173" t="str">
        <f ca="1">AL4 &amp; AL3</f>
        <v>'Credit_2021Q1'!c1</v>
      </c>
      <c r="AQ2" s="169"/>
    </row>
    <row r="3" spans="1:61" ht="18" hidden="1" outlineLevel="1" x14ac:dyDescent="0.25">
      <c r="A3" s="167"/>
      <c r="E3" s="174" t="str">
        <f ca="1">"'" &amp; E2 &amp; "'!"</f>
        <v>'Reg_Percent_2020'!</v>
      </c>
      <c r="G3" s="168" t="str">
        <f ca="1">"'" &amp; G2 &amp; "'!"</f>
        <v>'Reg_Percent_2020'!</v>
      </c>
      <c r="O3" s="175" t="s">
        <v>203</v>
      </c>
      <c r="P3" s="175"/>
      <c r="Q3" s="175"/>
      <c r="R3" s="175" t="s">
        <v>204</v>
      </c>
      <c r="T3" s="168"/>
      <c r="U3" s="175" t="s">
        <v>194</v>
      </c>
      <c r="V3" s="168"/>
      <c r="X3" s="175"/>
      <c r="Y3" s="175"/>
      <c r="Z3" s="175"/>
      <c r="AA3" s="175"/>
      <c r="AJ3" s="149" t="s">
        <v>205</v>
      </c>
      <c r="AK3" s="149" t="s">
        <v>206</v>
      </c>
      <c r="AL3" s="149" t="s">
        <v>207</v>
      </c>
      <c r="AQ3" s="169"/>
    </row>
    <row r="4" spans="1:61" ht="18" hidden="1" outlineLevel="1" x14ac:dyDescent="0.25">
      <c r="A4" s="167"/>
      <c r="E4" s="175" t="s">
        <v>208</v>
      </c>
      <c r="G4" s="175" t="s">
        <v>205</v>
      </c>
      <c r="O4" s="169"/>
      <c r="P4" s="169"/>
      <c r="Q4" s="169"/>
      <c r="T4" s="168"/>
      <c r="U4" s="168"/>
      <c r="V4" s="168"/>
      <c r="AJ4" s="169" t="str">
        <f ca="1">$AQ$5</f>
        <v>'Credit_2021Q1'!</v>
      </c>
      <c r="AK4" s="169" t="str">
        <f t="shared" ref="AK4:AL4" ca="1" si="0">$AQ$5</f>
        <v>'Credit_2021Q1'!</v>
      </c>
      <c r="AL4" s="169" t="str">
        <f t="shared" ca="1" si="0"/>
        <v>'Credit_2021Q1'!</v>
      </c>
      <c r="AQ4" s="169"/>
    </row>
    <row r="5" spans="1:61" ht="13.8" collapsed="1" x14ac:dyDescent="0.25">
      <c r="E5" s="176" t="s">
        <v>209</v>
      </c>
      <c r="G5" s="170" t="s">
        <v>199</v>
      </c>
      <c r="I5" s="230"/>
      <c r="J5" s="389" t="s">
        <v>210</v>
      </c>
      <c r="K5" s="230"/>
      <c r="L5" s="391" t="str">
        <f ca="1">"All Companies" &amp; CHAR( 10 ) &amp; "("&amp; L14 &amp; ")"</f>
        <v>All Companies
(44)</v>
      </c>
      <c r="M5" s="391"/>
      <c r="N5" s="230"/>
      <c r="O5" s="389" t="str">
        <f ca="1">"Regulated" &amp; CHAR( 10 ) &amp; "(" &amp; O14 &amp; ")"</f>
        <v>Regulated
(35)</v>
      </c>
      <c r="P5" s="393"/>
      <c r="Q5" s="230"/>
      <c r="R5" s="389" t="str">
        <f ca="1">"Mostly Regulated" &amp; CHAR( 10 ) &amp; "(" &amp; R14 &amp; ")"</f>
        <v>Mostly Regulated
(9)</v>
      </c>
      <c r="S5" s="393"/>
      <c r="T5" s="230"/>
      <c r="U5" s="389" t="str">
        <f ca="1">"Diversified" &amp; CHAR( 10 ) &amp; "(" &amp; U14 &amp; ")"</f>
        <v>Diversified
(0)</v>
      </c>
      <c r="V5" s="393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319</v>
      </c>
    </row>
    <row r="6" spans="1:61" ht="28.5" customHeight="1" x14ac:dyDescent="0.25">
      <c r="A6" s="219" t="s">
        <v>212</v>
      </c>
      <c r="B6" s="220" t="s">
        <v>320</v>
      </c>
      <c r="C6" s="249" t="s">
        <v>214</v>
      </c>
      <c r="D6" s="221"/>
      <c r="E6" s="222">
        <f ca="1">INDIRECT( E3 &amp; G1 )</f>
        <v>44196</v>
      </c>
      <c r="I6" s="231"/>
      <c r="J6" s="390"/>
      <c r="K6" s="231"/>
      <c r="L6" s="392"/>
      <c r="M6" s="392"/>
      <c r="N6" s="231"/>
      <c r="O6" s="390"/>
      <c r="P6" s="390"/>
      <c r="Q6" s="231"/>
      <c r="R6" s="390" t="s">
        <v>136</v>
      </c>
      <c r="S6" s="390"/>
      <c r="T6" s="231"/>
      <c r="U6" s="390"/>
      <c r="V6" s="390"/>
      <c r="W6" s="231"/>
      <c r="AE6" s="178"/>
      <c r="AJ6" s="179"/>
    </row>
    <row r="7" spans="1:61" ht="13.8" x14ac:dyDescent="0.25">
      <c r="A7" s="223" t="s">
        <v>215</v>
      </c>
      <c r="B7" s="224" t="s">
        <v>166</v>
      </c>
      <c r="C7" s="224">
        <v>21</v>
      </c>
      <c r="D7" s="224" t="s">
        <v>216</v>
      </c>
      <c r="E7" s="225" t="str">
        <f ca="1">IF( LEN( $G7 ) = 0, "", OFFSET( INDIRECT( E$3 &amp; E$4 ), $G7 - 1, 0 ) )</f>
        <v>MR</v>
      </c>
      <c r="F7" s="348"/>
      <c r="G7" s="349">
        <f t="shared" ref="G7:G62" ca="1" si="1">IF( LEN( $D7 ) = 0, "", MATCH( $D7, INDIRECT( G$3 &amp; G$4 ), 0 ) )</f>
        <v>56</v>
      </c>
      <c r="H7" s="350"/>
      <c r="I7" s="232"/>
      <c r="J7" s="183"/>
      <c r="K7" s="232"/>
      <c r="L7" s="183" t="s">
        <v>134</v>
      </c>
      <c r="M7" s="183" t="s">
        <v>135</v>
      </c>
      <c r="N7" s="232"/>
      <c r="O7" s="183" t="s">
        <v>134</v>
      </c>
      <c r="P7" s="183" t="s">
        <v>135</v>
      </c>
      <c r="Q7" s="232"/>
      <c r="R7" s="183" t="s">
        <v>134</v>
      </c>
      <c r="S7" s="183" t="s">
        <v>135</v>
      </c>
      <c r="T7" s="232"/>
      <c r="U7" s="183" t="s">
        <v>134</v>
      </c>
      <c r="V7" s="183" t="s">
        <v>135</v>
      </c>
      <c r="W7" s="232"/>
      <c r="AE7" s="184"/>
      <c r="AF7" s="169">
        <f t="shared" ref="AF7:AF67" ca="1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217</v>
      </c>
      <c r="AR7" s="207" t="s">
        <v>141</v>
      </c>
      <c r="AS7" s="207">
        <v>18</v>
      </c>
      <c r="AT7" s="207" t="s">
        <v>218</v>
      </c>
      <c r="AV7" s="168">
        <f t="shared" ref="AV7:AV63" ca="1" si="5">IF( LEN( AS7 ) = 0, 99, RANK( AS7, $AS$7:$AS$62 ) )</f>
        <v>30</v>
      </c>
      <c r="AW7" s="168">
        <f ca="1">COUNTIF( AV7:AV$7, AV7 )</f>
        <v>1</v>
      </c>
      <c r="AX7" s="208">
        <f ca="1">AV7 + AW7 / 10</f>
        <v>30.1</v>
      </c>
      <c r="AY7" s="168">
        <f t="shared" ref="AY7:AY63" ca="1" si="6">RANK( AX7, $AX$7:$AX$63, 1 )</f>
        <v>30</v>
      </c>
      <c r="AZ7" s="169"/>
      <c r="BA7" s="169"/>
      <c r="BC7" s="168">
        <f t="shared" ref="BC7" ca="1" si="7">OFFSET( BC7, -1, 0 ) + 1</f>
        <v>1</v>
      </c>
      <c r="BD7" s="209">
        <f t="shared" ref="BD7:BD63" ca="1" si="8">MATCH( BC7, $AY$7:$AY$63, 0 )</f>
        <v>7</v>
      </c>
      <c r="BF7" s="173" t="str">
        <f ca="1">OFFSET( AQ$6, $BD7, 0 )</f>
        <v>Berkshire Energy Holdings Company</v>
      </c>
      <c r="BG7" s="173" t="str">
        <f ca="1">OFFSET( AR$6, $BD7, 0 )</f>
        <v>A</v>
      </c>
      <c r="BH7" s="173">
        <f ca="1">OFFSET( AS$6, $BD7, 0 )</f>
        <v>21</v>
      </c>
      <c r="BI7" s="173" t="str">
        <f ca="1">OFFSET( AT$6, $BD7, 0 )</f>
        <v>**BRK</v>
      </c>
    </row>
    <row r="8" spans="1:61" ht="13.8" x14ac:dyDescent="0.25">
      <c r="A8" s="223" t="s">
        <v>219</v>
      </c>
      <c r="B8" s="224" t="s">
        <v>139</v>
      </c>
      <c r="C8" s="224">
        <v>20</v>
      </c>
      <c r="D8" s="224" t="s">
        <v>220</v>
      </c>
      <c r="E8" s="225" t="str">
        <f t="shared" ref="E8:E61" ca="1" si="9">IF( LEN( $G8 ) = 0, "", OFFSET( INDIRECT( E$3 &amp; E$4 ), $G8 - 1, 0 ) )</f>
        <v>R</v>
      </c>
      <c r="F8" s="348"/>
      <c r="G8" s="349">
        <f t="shared" ca="1" si="1"/>
        <v>8</v>
      </c>
      <c r="H8" s="350"/>
      <c r="I8" s="233"/>
      <c r="J8" s="213" t="s">
        <v>137</v>
      </c>
      <c r="K8" s="233"/>
      <c r="L8" s="213">
        <f t="shared" ref="L8:L13" ca="1" si="10">COUNTIF($C$7:$C$67,$X8)</f>
        <v>2</v>
      </c>
      <c r="M8" s="214">
        <f t="shared" ref="M8:M13" ca="1" si="11">IF( L8 = 0, "", L8/L$14 )</f>
        <v>4.5454545454545456E-2</v>
      </c>
      <c r="N8" s="233"/>
      <c r="O8" s="213">
        <f t="shared" ref="O8:O13" ca="1" si="12">COUNTIFS( $E$7:$E$66, O$3, $C$7:$C$66, $X8 )</f>
        <v>1</v>
      </c>
      <c r="P8" s="214">
        <f t="shared" ref="P8:P13" ca="1" si="13">IF( O8 = 0, "", O8/O$14 )</f>
        <v>2.8571428571428571E-2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0.1111111111111111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221</v>
      </c>
      <c r="Y8" s="186">
        <v>21</v>
      </c>
      <c r="Z8" s="186">
        <v>1</v>
      </c>
      <c r="AA8" s="185">
        <f t="shared" ref="AA8:AA13" ca="1" si="18">SUM(O8, R8, U8)</f>
        <v>2</v>
      </c>
      <c r="AC8" s="351"/>
      <c r="AE8" s="184"/>
      <c r="AF8" s="169">
        <f t="shared" ca="1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ref="AJ8:AJ67" ca="1" si="20">MATCH( $D8, INDIRECT( AJ$2 ), 0 )</f>
        <v>8</v>
      </c>
      <c r="AK8" s="169" t="str">
        <f t="shared" ref="AK8:AL67" ca="1" si="21">IF( ISNA( $AJ8 ), "", OFFSET( INDIRECT( AK$2 ), $AJ8-1, 0 ) )</f>
        <v>A-</v>
      </c>
      <c r="AL8" s="169">
        <f t="shared" ca="1" si="21"/>
        <v>20</v>
      </c>
      <c r="AM8" s="169" t="str">
        <f t="shared" ca="1" si="4"/>
        <v/>
      </c>
      <c r="AQ8" s="207" t="s">
        <v>219</v>
      </c>
      <c r="AR8" s="207" t="s">
        <v>139</v>
      </c>
      <c r="AS8" s="207">
        <v>20</v>
      </c>
      <c r="AT8" s="207" t="s">
        <v>220</v>
      </c>
      <c r="AV8" s="168">
        <f t="shared" ca="1" si="5"/>
        <v>2</v>
      </c>
      <c r="AW8" s="168">
        <f ca="1">COUNTIF( AV$7:AV8, AV8 )</f>
        <v>1</v>
      </c>
      <c r="AX8" s="208">
        <f t="shared" ref="AX8:AX63" ca="1" si="22">AV8 + AW8 / 10</f>
        <v>2.1</v>
      </c>
      <c r="AY8" s="168">
        <f t="shared" ca="1" si="6"/>
        <v>2</v>
      </c>
      <c r="AZ8" s="169"/>
      <c r="BA8" s="169"/>
      <c r="BC8" s="168">
        <f ca="1">OFFSET( BC8, -1, 0 ) + 1</f>
        <v>2</v>
      </c>
      <c r="BD8" s="209">
        <f t="shared" ca="1" si="8"/>
        <v>2</v>
      </c>
      <c r="BF8" s="173" t="str">
        <f t="shared" ref="BF8:BI50" ca="1" si="23">OFFSET( AQ$6, $BD8, 0 )</f>
        <v>Alliant Energy Corporation</v>
      </c>
      <c r="BG8" s="173" t="str">
        <f t="shared" ca="1" si="23"/>
        <v>A-</v>
      </c>
      <c r="BH8" s="173">
        <f t="shared" ca="1" si="23"/>
        <v>20</v>
      </c>
      <c r="BI8" s="173" t="str">
        <f t="shared" ca="1" si="23"/>
        <v>LNT</v>
      </c>
    </row>
    <row r="9" spans="1:61" ht="13.8" x14ac:dyDescent="0.25">
      <c r="A9" s="223" t="s">
        <v>222</v>
      </c>
      <c r="B9" s="224" t="s">
        <v>139</v>
      </c>
      <c r="C9" s="224">
        <v>20</v>
      </c>
      <c r="D9" s="224" t="s">
        <v>223</v>
      </c>
      <c r="E9" s="225" t="str">
        <f t="shared" ca="1" si="9"/>
        <v>R</v>
      </c>
      <c r="F9" s="348"/>
      <c r="G9" s="349">
        <f t="shared" ca="1" si="1"/>
        <v>10</v>
      </c>
      <c r="H9" s="350"/>
      <c r="I9" s="234"/>
      <c r="J9" s="215" t="s">
        <v>139</v>
      </c>
      <c r="K9" s="234"/>
      <c r="L9" s="215">
        <f t="shared" ca="1" si="10"/>
        <v>11</v>
      </c>
      <c r="M9" s="216">
        <f t="shared" ca="1" si="11"/>
        <v>0.25</v>
      </c>
      <c r="N9" s="234"/>
      <c r="O9" s="215">
        <f t="shared" ca="1" si="12"/>
        <v>10</v>
      </c>
      <c r="P9" s="216">
        <f t="shared" ca="1" si="13"/>
        <v>0.2857142857142857</v>
      </c>
      <c r="Q9" s="234"/>
      <c r="R9" s="215">
        <f t="shared" ca="1" si="14"/>
        <v>1</v>
      </c>
      <c r="S9" s="216">
        <f t="shared" ca="1" si="15"/>
        <v>0.1111111111111111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224</v>
      </c>
      <c r="Y9" s="186">
        <v>20</v>
      </c>
      <c r="Z9" s="186">
        <v>1</v>
      </c>
      <c r="AA9" s="185">
        <f t="shared" ca="1" si="18"/>
        <v>11</v>
      </c>
      <c r="AC9" s="351"/>
      <c r="AE9" s="184"/>
      <c r="AF9" s="169">
        <f t="shared" ca="1" si="2"/>
        <v>0</v>
      </c>
      <c r="AG9" s="169" t="str">
        <f t="shared" ca="1" si="3"/>
        <v/>
      </c>
      <c r="AH9" s="169" t="str">
        <f t="shared" ca="1" si="19"/>
        <v/>
      </c>
      <c r="AJ9" s="169">
        <f t="shared" ca="1" si="20"/>
        <v>9</v>
      </c>
      <c r="AK9" s="169" t="str">
        <f t="shared" ca="1" si="21"/>
        <v>A-</v>
      </c>
      <c r="AL9" s="169">
        <f t="shared" ca="1" si="21"/>
        <v>20</v>
      </c>
      <c r="AM9" s="169" t="str">
        <f t="shared" ca="1" si="4"/>
        <v/>
      </c>
      <c r="AQ9" s="207" t="s">
        <v>225</v>
      </c>
      <c r="AR9" s="207" t="s">
        <v>140</v>
      </c>
      <c r="AS9" s="207">
        <v>19</v>
      </c>
      <c r="AT9" s="207" t="s">
        <v>226</v>
      </c>
      <c r="AV9" s="168">
        <f t="shared" ca="1" si="5"/>
        <v>13</v>
      </c>
      <c r="AW9" s="168">
        <f ca="1">COUNTIF( AV$7:AV9, AV9 )</f>
        <v>1</v>
      </c>
      <c r="AX9" s="208">
        <f t="shared" ca="1" si="22"/>
        <v>13.1</v>
      </c>
      <c r="AY9" s="168">
        <f t="shared" ca="1" si="6"/>
        <v>13</v>
      </c>
      <c r="AZ9" s="169"/>
      <c r="BA9" s="169"/>
      <c r="BC9" s="168">
        <f t="shared" ref="BC9:BC63" ca="1" si="24">OFFSET( BC9, -1, 0 ) + 1</f>
        <v>3</v>
      </c>
      <c r="BD9" s="209">
        <f t="shared" ca="1" si="8"/>
        <v>4</v>
      </c>
      <c r="BF9" s="173" t="str">
        <f t="shared" ca="1" si="23"/>
        <v>American Electric Power Company, Inc.</v>
      </c>
      <c r="BG9" s="173" t="str">
        <f t="shared" ca="1" si="23"/>
        <v>A-</v>
      </c>
      <c r="BH9" s="173">
        <f t="shared" ca="1" si="23"/>
        <v>20</v>
      </c>
      <c r="BI9" s="173" t="str">
        <f t="shared" ca="1" si="23"/>
        <v>AEP</v>
      </c>
    </row>
    <row r="10" spans="1:61" ht="13.8" x14ac:dyDescent="0.25">
      <c r="A10" s="223" t="s">
        <v>227</v>
      </c>
      <c r="B10" s="224" t="s">
        <v>139</v>
      </c>
      <c r="C10" s="224">
        <v>20</v>
      </c>
      <c r="D10" s="224" t="s">
        <v>228</v>
      </c>
      <c r="E10" s="225" t="str">
        <f t="shared" ca="1" si="9"/>
        <v>R</v>
      </c>
      <c r="F10" s="348"/>
      <c r="G10" s="349">
        <f t="shared" ca="1" si="1"/>
        <v>16</v>
      </c>
      <c r="H10" s="350"/>
      <c r="I10" s="234"/>
      <c r="J10" s="215" t="s">
        <v>140</v>
      </c>
      <c r="K10" s="234"/>
      <c r="L10" s="215">
        <f t="shared" ca="1" si="10"/>
        <v>17</v>
      </c>
      <c r="M10" s="216">
        <f t="shared" ca="1" si="11"/>
        <v>0.38636363636363635</v>
      </c>
      <c r="N10" s="234"/>
      <c r="O10" s="215">
        <f t="shared" ca="1" si="12"/>
        <v>12</v>
      </c>
      <c r="P10" s="216">
        <f t="shared" ca="1" si="13"/>
        <v>0.34285714285714286</v>
      </c>
      <c r="Q10" s="234"/>
      <c r="R10" s="215">
        <f t="shared" ca="1" si="14"/>
        <v>5</v>
      </c>
      <c r="S10" s="216">
        <f t="shared" ca="1" si="15"/>
        <v>0.55555555555555558</v>
      </c>
      <c r="T10" s="234"/>
      <c r="U10" s="215">
        <f t="shared" ca="1" si="16"/>
        <v>0</v>
      </c>
      <c r="V10" s="216" t="str">
        <f t="shared" ca="1" si="17"/>
        <v/>
      </c>
      <c r="W10" s="234"/>
      <c r="X10" s="186" t="s">
        <v>229</v>
      </c>
      <c r="Y10" s="186">
        <v>19</v>
      </c>
      <c r="Z10" s="186">
        <v>1</v>
      </c>
      <c r="AA10" s="185">
        <f t="shared" ca="1" si="18"/>
        <v>17</v>
      </c>
      <c r="AE10" s="184"/>
      <c r="AF10" s="169">
        <f t="shared" ca="1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20"/>
        <v>10</v>
      </c>
      <c r="AK10" s="169" t="str">
        <f t="shared" ca="1" si="21"/>
        <v>A-</v>
      </c>
      <c r="AL10" s="169">
        <f t="shared" ca="1" si="21"/>
        <v>20</v>
      </c>
      <c r="AM10" s="169" t="str">
        <f t="shared" ca="1" si="4"/>
        <v/>
      </c>
      <c r="AQ10" s="207" t="s">
        <v>222</v>
      </c>
      <c r="AR10" s="207" t="s">
        <v>139</v>
      </c>
      <c r="AS10" s="207">
        <v>20</v>
      </c>
      <c r="AT10" s="207" t="s">
        <v>223</v>
      </c>
      <c r="AV10" s="168">
        <f t="shared" ca="1" si="5"/>
        <v>2</v>
      </c>
      <c r="AW10" s="168">
        <f ca="1">COUNTIF( AV$7:AV10, AV10 )</f>
        <v>2</v>
      </c>
      <c r="AX10" s="208">
        <f t="shared" ca="1" si="22"/>
        <v>2.2000000000000002</v>
      </c>
      <c r="AY10" s="168">
        <f t="shared" ca="1" si="6"/>
        <v>3</v>
      </c>
      <c r="AZ10" s="169"/>
      <c r="BA10" s="169"/>
      <c r="BC10" s="168">
        <f t="shared" ca="1" si="24"/>
        <v>4</v>
      </c>
      <c r="BD10" s="209">
        <f t="shared" ca="1" si="8"/>
        <v>12</v>
      </c>
      <c r="BF10" s="173" t="str">
        <f t="shared" ca="1" si="23"/>
        <v>Consolidated Edison, Inc.</v>
      </c>
      <c r="BG10" s="173" t="str">
        <f t="shared" ca="1" si="23"/>
        <v>A-</v>
      </c>
      <c r="BH10" s="173">
        <f t="shared" ca="1" si="23"/>
        <v>20</v>
      </c>
      <c r="BI10" s="173" t="str">
        <f t="shared" ca="1" si="23"/>
        <v>ED</v>
      </c>
    </row>
    <row r="11" spans="1:61" ht="13.8" x14ac:dyDescent="0.25">
      <c r="A11" s="223" t="s">
        <v>230</v>
      </c>
      <c r="B11" s="224" t="s">
        <v>139</v>
      </c>
      <c r="C11" s="224">
        <v>20</v>
      </c>
      <c r="D11" s="224" t="s">
        <v>231</v>
      </c>
      <c r="E11" s="225" t="str">
        <f t="shared" ca="1" si="9"/>
        <v>R</v>
      </c>
      <c r="F11" s="348"/>
      <c r="G11" s="349">
        <f t="shared" ca="1" si="1"/>
        <v>22</v>
      </c>
      <c r="H11" s="350"/>
      <c r="I11" s="234"/>
      <c r="J11" s="215" t="s">
        <v>141</v>
      </c>
      <c r="K11" s="234"/>
      <c r="L11" s="215">
        <f t="shared" ca="1" si="10"/>
        <v>8</v>
      </c>
      <c r="M11" s="216">
        <f t="shared" ca="1" si="11"/>
        <v>0.18181818181818182</v>
      </c>
      <c r="N11" s="234"/>
      <c r="O11" s="215">
        <f t="shared" ca="1" si="12"/>
        <v>7</v>
      </c>
      <c r="P11" s="216">
        <f t="shared" ca="1" si="13"/>
        <v>0.2</v>
      </c>
      <c r="Q11" s="234"/>
      <c r="R11" s="215">
        <f t="shared" ca="1" si="14"/>
        <v>1</v>
      </c>
      <c r="S11" s="216">
        <f t="shared" ca="1" si="15"/>
        <v>0.1111111111111111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232</v>
      </c>
      <c r="Y11" s="186">
        <v>18</v>
      </c>
      <c r="Z11" s="186">
        <v>1</v>
      </c>
      <c r="AA11" s="185">
        <f t="shared" ca="1" si="18"/>
        <v>8</v>
      </c>
      <c r="AE11" s="184"/>
      <c r="AF11" s="169">
        <f t="shared" ca="1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20"/>
        <v>11</v>
      </c>
      <c r="AK11" s="169" t="str">
        <f t="shared" ca="1" si="21"/>
        <v>A-</v>
      </c>
      <c r="AL11" s="169">
        <f t="shared" ca="1" si="21"/>
        <v>20</v>
      </c>
      <c r="AM11" s="169" t="str">
        <f t="shared" ca="1" si="4"/>
        <v/>
      </c>
      <c r="AQ11" s="207" t="s">
        <v>233</v>
      </c>
      <c r="AR11" s="207" t="s">
        <v>140</v>
      </c>
      <c r="AS11" s="207">
        <v>19</v>
      </c>
      <c r="AT11" s="207" t="s">
        <v>234</v>
      </c>
      <c r="AV11" s="168">
        <f t="shared" ca="1" si="5"/>
        <v>13</v>
      </c>
      <c r="AW11" s="168">
        <f ca="1">COUNTIF( AV$7:AV11, AV11 )</f>
        <v>2</v>
      </c>
      <c r="AX11" s="208">
        <f t="shared" ca="1" si="22"/>
        <v>13.2</v>
      </c>
      <c r="AY11" s="168">
        <f t="shared" ca="1" si="6"/>
        <v>14</v>
      </c>
      <c r="AZ11" s="169"/>
      <c r="BA11" s="169"/>
      <c r="BC11" s="168">
        <f t="shared" ca="1" si="24"/>
        <v>5</v>
      </c>
      <c r="BD11" s="209">
        <f t="shared" ca="1" si="8"/>
        <v>19</v>
      </c>
      <c r="BF11" s="173" t="str">
        <f t="shared" ca="1" si="23"/>
        <v>Evergy, Inc.</v>
      </c>
      <c r="BG11" s="173" t="str">
        <f t="shared" ca="1" si="23"/>
        <v>A-</v>
      </c>
      <c r="BH11" s="173">
        <f t="shared" ca="1" si="23"/>
        <v>20</v>
      </c>
      <c r="BI11" s="173" t="str">
        <f t="shared" ca="1" si="23"/>
        <v>EVRG</v>
      </c>
    </row>
    <row r="12" spans="1:61" ht="13.8" x14ac:dyDescent="0.25">
      <c r="A12" s="223" t="s">
        <v>235</v>
      </c>
      <c r="B12" s="224" t="s">
        <v>139</v>
      </c>
      <c r="C12" s="224">
        <v>20</v>
      </c>
      <c r="D12" s="224" t="s">
        <v>236</v>
      </c>
      <c r="E12" s="225" t="str">
        <f t="shared" ca="1" si="9"/>
        <v>R</v>
      </c>
      <c r="F12" s="348"/>
      <c r="G12" s="349">
        <f t="shared" ca="1" si="1"/>
        <v>23</v>
      </c>
      <c r="H12" s="350"/>
      <c r="I12" s="234"/>
      <c r="J12" s="215" t="s">
        <v>142</v>
      </c>
      <c r="K12" s="234"/>
      <c r="L12" s="215">
        <f t="shared" ca="1" si="10"/>
        <v>3</v>
      </c>
      <c r="M12" s="216">
        <f t="shared" ca="1" si="11"/>
        <v>6.8181818181818177E-2</v>
      </c>
      <c r="N12" s="234"/>
      <c r="O12" s="215">
        <f t="shared" ca="1" si="12"/>
        <v>2</v>
      </c>
      <c r="P12" s="216">
        <f t="shared" ca="1" si="13"/>
        <v>5.7142857142857141E-2</v>
      </c>
      <c r="Q12" s="234"/>
      <c r="R12" s="215">
        <f t="shared" ca="1" si="14"/>
        <v>1</v>
      </c>
      <c r="S12" s="216">
        <f t="shared" ca="1" si="15"/>
        <v>0.1111111111111111</v>
      </c>
      <c r="T12" s="234"/>
      <c r="U12" s="215">
        <f t="shared" ca="1" si="16"/>
        <v>0</v>
      </c>
      <c r="V12" s="216" t="str">
        <f t="shared" ca="1" si="17"/>
        <v/>
      </c>
      <c r="W12" s="234"/>
      <c r="X12" s="186" t="s">
        <v>237</v>
      </c>
      <c r="Y12" s="186">
        <v>17</v>
      </c>
      <c r="Z12" s="186">
        <v>1</v>
      </c>
      <c r="AA12" s="185">
        <f t="shared" ca="1" si="18"/>
        <v>3</v>
      </c>
      <c r="AE12" s="184"/>
      <c r="AF12" s="169">
        <f t="shared" ca="1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20"/>
        <v>12</v>
      </c>
      <c r="AK12" s="169" t="str">
        <f t="shared" ca="1" si="21"/>
        <v>A-</v>
      </c>
      <c r="AL12" s="169">
        <f t="shared" ca="1" si="21"/>
        <v>20</v>
      </c>
      <c r="AM12" s="169" t="str">
        <f t="shared" ca="1" si="4"/>
        <v/>
      </c>
      <c r="AQ12" s="207" t="s">
        <v>238</v>
      </c>
      <c r="AR12" s="207" t="s">
        <v>141</v>
      </c>
      <c r="AS12" s="207">
        <v>18</v>
      </c>
      <c r="AT12" s="207" t="s">
        <v>239</v>
      </c>
      <c r="AV12" s="168">
        <f t="shared" ca="1" si="5"/>
        <v>30</v>
      </c>
      <c r="AW12" s="168">
        <f ca="1">COUNTIF( AV$7:AV12, AV12 )</f>
        <v>2</v>
      </c>
      <c r="AX12" s="208">
        <f t="shared" ca="1" si="22"/>
        <v>30.2</v>
      </c>
      <c r="AY12" s="168">
        <f t="shared" ca="1" si="6"/>
        <v>31</v>
      </c>
      <c r="AZ12" s="169"/>
      <c r="BA12" s="169"/>
      <c r="BC12" s="168">
        <f t="shared" ca="1" si="24"/>
        <v>6</v>
      </c>
      <c r="BD12" s="209">
        <f t="shared" ca="1" si="8"/>
        <v>20</v>
      </c>
      <c r="BF12" s="173" t="str">
        <f t="shared" ca="1" si="23"/>
        <v>Eversource Energy</v>
      </c>
      <c r="BG12" s="173" t="str">
        <f t="shared" ca="1" si="23"/>
        <v>A-</v>
      </c>
      <c r="BH12" s="173">
        <f t="shared" ca="1" si="23"/>
        <v>20</v>
      </c>
      <c r="BI12" s="173" t="str">
        <f t="shared" ca="1" si="23"/>
        <v>ES</v>
      </c>
    </row>
    <row r="13" spans="1:61" ht="13.8" x14ac:dyDescent="0.25">
      <c r="A13" s="223" t="s">
        <v>240</v>
      </c>
      <c r="B13" s="224" t="s">
        <v>139</v>
      </c>
      <c r="C13" s="224">
        <v>20</v>
      </c>
      <c r="D13" s="224" t="s">
        <v>241</v>
      </c>
      <c r="E13" s="225" t="str">
        <f t="shared" ca="1" si="9"/>
        <v>MR</v>
      </c>
      <c r="F13" s="348"/>
      <c r="G13" s="349">
        <f t="shared" ca="1" si="1"/>
        <v>30</v>
      </c>
      <c r="H13" s="350"/>
      <c r="I13" s="235"/>
      <c r="J13" s="217" t="s">
        <v>143</v>
      </c>
      <c r="K13" s="235"/>
      <c r="L13" s="217">
        <f t="shared" ca="1" si="10"/>
        <v>3</v>
      </c>
      <c r="M13" s="218">
        <f t="shared" ca="1" si="11"/>
        <v>6.8181818181818177E-2</v>
      </c>
      <c r="N13" s="235"/>
      <c r="O13" s="217">
        <f t="shared" ca="1" si="12"/>
        <v>3</v>
      </c>
      <c r="P13" s="218">
        <f t="shared" ca="1" si="13"/>
        <v>8.5714285714285715E-2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0</v>
      </c>
      <c r="V13" s="218" t="str">
        <f t="shared" ca="1" si="17"/>
        <v/>
      </c>
      <c r="W13" s="235"/>
      <c r="X13" s="186" t="s">
        <v>242</v>
      </c>
      <c r="Y13" s="186">
        <v>16</v>
      </c>
      <c r="Z13" s="186">
        <v>1</v>
      </c>
      <c r="AA13" s="188">
        <f t="shared" ca="1" si="18"/>
        <v>3</v>
      </c>
      <c r="AE13" s="184"/>
      <c r="AF13" s="169">
        <f t="shared" ca="1" si="2"/>
        <v>0</v>
      </c>
      <c r="AG13" s="169" t="str">
        <f t="shared" ca="1" si="3"/>
        <v/>
      </c>
      <c r="AH13" s="169" t="str">
        <f t="shared" ca="1" si="19"/>
        <v/>
      </c>
      <c r="AJ13" s="169">
        <f t="shared" ca="1" si="20"/>
        <v>13</v>
      </c>
      <c r="AK13" s="169" t="str">
        <f t="shared" ca="1" si="21"/>
        <v>A-</v>
      </c>
      <c r="AL13" s="169">
        <f t="shared" ca="1" si="21"/>
        <v>20</v>
      </c>
      <c r="AM13" s="169" t="str">
        <f t="shared" ca="1" si="4"/>
        <v/>
      </c>
      <c r="AQ13" s="207" t="s">
        <v>215</v>
      </c>
      <c r="AR13" s="207" t="s">
        <v>166</v>
      </c>
      <c r="AS13" s="207">
        <v>21</v>
      </c>
      <c r="AT13" s="207" t="s">
        <v>216</v>
      </c>
      <c r="AV13" s="168">
        <f t="shared" ca="1" si="5"/>
        <v>1</v>
      </c>
      <c r="AW13" s="168">
        <f ca="1">COUNTIF( AV$7:AV13, AV13 )</f>
        <v>1</v>
      </c>
      <c r="AX13" s="208">
        <f t="shared" ca="1" si="22"/>
        <v>1.1000000000000001</v>
      </c>
      <c r="AY13" s="168">
        <f t="shared" ca="1" si="6"/>
        <v>1</v>
      </c>
      <c r="AZ13" s="169"/>
      <c r="BA13" s="169"/>
      <c r="BC13" s="168">
        <f t="shared" ca="1" si="24"/>
        <v>7</v>
      </c>
      <c r="BD13" s="209">
        <f t="shared" ca="1" si="8"/>
        <v>27</v>
      </c>
      <c r="BF13" s="173" t="str">
        <f t="shared" ca="1" si="23"/>
        <v>NextEra Energy, Inc.</v>
      </c>
      <c r="BG13" s="173" t="str">
        <f t="shared" ca="1" si="23"/>
        <v>A-</v>
      </c>
      <c r="BH13" s="173">
        <f t="shared" ca="1" si="23"/>
        <v>20</v>
      </c>
      <c r="BI13" s="173" t="str">
        <f t="shared" ca="1" si="23"/>
        <v>NEE</v>
      </c>
    </row>
    <row r="14" spans="1:61" ht="13.8" x14ac:dyDescent="0.25">
      <c r="A14" s="223" t="s">
        <v>281</v>
      </c>
      <c r="B14" s="224" t="s">
        <v>139</v>
      </c>
      <c r="C14" s="224">
        <v>20</v>
      </c>
      <c r="D14" s="224" t="s">
        <v>282</v>
      </c>
      <c r="E14" s="225" t="str">
        <f t="shared" ca="1" si="9"/>
        <v>R</v>
      </c>
      <c r="F14" s="348"/>
      <c r="G14" s="349">
        <f t="shared" ca="1" si="1"/>
        <v>36</v>
      </c>
      <c r="H14" s="350"/>
      <c r="I14" s="236"/>
      <c r="J14" s="211" t="s">
        <v>144</v>
      </c>
      <c r="K14" s="236"/>
      <c r="L14" s="211">
        <f ca="1">SUM(L8:L13)</f>
        <v>44</v>
      </c>
      <c r="M14" s="212">
        <f ca="1"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9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 ca="1">SUMPRODUCT( L8:L13, Y8:Y13 ) / L14</f>
        <v>18.818181818181817</v>
      </c>
      <c r="Z14" s="190"/>
      <c r="AA14" s="189">
        <f ca="1">SUM(AA8:AA13)</f>
        <v>44</v>
      </c>
      <c r="AE14" s="184"/>
      <c r="AF14" s="169">
        <f t="shared" ca="1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20"/>
        <v>14</v>
      </c>
      <c r="AK14" s="169" t="str">
        <f t="shared" ca="1" si="21"/>
        <v>A-</v>
      </c>
      <c r="AL14" s="169">
        <f t="shared" ca="1" si="21"/>
        <v>20</v>
      </c>
      <c r="AM14" s="169" t="str">
        <f t="shared" ca="1" si="4"/>
        <v/>
      </c>
      <c r="AQ14" s="207" t="s">
        <v>245</v>
      </c>
      <c r="AR14" s="207" t="s">
        <v>140</v>
      </c>
      <c r="AS14" s="207">
        <v>19</v>
      </c>
      <c r="AT14" s="207" t="s">
        <v>246</v>
      </c>
      <c r="AV14" s="168">
        <f t="shared" ca="1" si="5"/>
        <v>13</v>
      </c>
      <c r="AW14" s="168">
        <f ca="1">COUNTIF( AV$7:AV14, AV14 )</f>
        <v>3</v>
      </c>
      <c r="AX14" s="208">
        <f t="shared" ca="1" si="22"/>
        <v>13.3</v>
      </c>
      <c r="AY14" s="168">
        <f t="shared" ca="1" si="6"/>
        <v>15</v>
      </c>
      <c r="AZ14" s="169"/>
      <c r="BA14" s="169"/>
      <c r="BC14" s="168">
        <f t="shared" ca="1" si="24"/>
        <v>8</v>
      </c>
      <c r="BD14" s="209">
        <f t="shared" ca="1" si="8"/>
        <v>33</v>
      </c>
      <c r="BF14" s="173" t="str">
        <f t="shared" ca="1" si="23"/>
        <v>Pinnacle West Capital Corporation</v>
      </c>
      <c r="BG14" s="173" t="str">
        <f t="shared" ca="1" si="23"/>
        <v>A-</v>
      </c>
      <c r="BH14" s="173">
        <f t="shared" ca="1" si="23"/>
        <v>20</v>
      </c>
      <c r="BI14" s="173" t="str">
        <f t="shared" ca="1" si="23"/>
        <v>PNW</v>
      </c>
    </row>
    <row r="15" spans="1:61" ht="13.8" x14ac:dyDescent="0.25">
      <c r="A15" s="223" t="s">
        <v>243</v>
      </c>
      <c r="B15" s="224" t="s">
        <v>139</v>
      </c>
      <c r="C15" s="224">
        <v>20</v>
      </c>
      <c r="D15" s="224" t="s">
        <v>244</v>
      </c>
      <c r="E15" s="225" t="str">
        <f t="shared" ca="1" si="9"/>
        <v>R</v>
      </c>
      <c r="F15" s="348"/>
      <c r="G15" s="349">
        <f t="shared" ca="1" si="1"/>
        <v>39</v>
      </c>
      <c r="H15" s="350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ca="1" si="2"/>
        <v>0</v>
      </c>
      <c r="AG15" s="169" t="str">
        <f t="shared" ca="1" si="3"/>
        <v/>
      </c>
      <c r="AH15" s="169" t="str">
        <f t="shared" ca="1" si="19"/>
        <v/>
      </c>
      <c r="AJ15" s="169">
        <f t="shared" ca="1" si="20"/>
        <v>15</v>
      </c>
      <c r="AK15" s="169" t="str">
        <f t="shared" ca="1" si="21"/>
        <v>A-</v>
      </c>
      <c r="AL15" s="169">
        <f t="shared" ca="1" si="21"/>
        <v>20</v>
      </c>
      <c r="AM15" s="169" t="str">
        <f t="shared" ca="1" si="4"/>
        <v/>
      </c>
      <c r="AQ15" s="207" t="s">
        <v>249</v>
      </c>
      <c r="AR15" s="207" t="s">
        <v>140</v>
      </c>
      <c r="AS15" s="207">
        <v>19</v>
      </c>
      <c r="AT15" s="207" t="s">
        <v>250</v>
      </c>
      <c r="AV15" s="168">
        <f t="shared" ca="1" si="5"/>
        <v>13</v>
      </c>
      <c r="AW15" s="168">
        <f ca="1">COUNTIF( AV$7:AV15, AV15 )</f>
        <v>4</v>
      </c>
      <c r="AX15" s="208">
        <f t="shared" ca="1" si="22"/>
        <v>13.4</v>
      </c>
      <c r="AY15" s="168">
        <f t="shared" ca="1" si="6"/>
        <v>16</v>
      </c>
      <c r="AZ15" s="169"/>
      <c r="BA15" s="169"/>
      <c r="BC15" s="168">
        <f t="shared" ca="1" si="24"/>
        <v>9</v>
      </c>
      <c r="BD15" s="209">
        <f t="shared" ca="1" si="8"/>
        <v>36</v>
      </c>
      <c r="BF15" s="173" t="str">
        <f t="shared" ca="1" si="23"/>
        <v>PPL Corporation</v>
      </c>
      <c r="BG15" s="173" t="str">
        <f t="shared" ca="1" si="23"/>
        <v>A-</v>
      </c>
      <c r="BH15" s="173">
        <f t="shared" ca="1" si="23"/>
        <v>20</v>
      </c>
      <c r="BI15" s="173" t="str">
        <f t="shared" ca="1" si="23"/>
        <v>PPL</v>
      </c>
    </row>
    <row r="16" spans="1:61" ht="13.8" x14ac:dyDescent="0.25">
      <c r="A16" s="223" t="s">
        <v>293</v>
      </c>
      <c r="B16" s="224" t="s">
        <v>139</v>
      </c>
      <c r="C16" s="224">
        <v>20</v>
      </c>
      <c r="D16" s="224" t="s">
        <v>294</v>
      </c>
      <c r="E16" s="225" t="str">
        <f t="shared" ca="1" si="9"/>
        <v>R</v>
      </c>
      <c r="F16" s="348"/>
      <c r="G16" s="349">
        <f t="shared" ca="1" si="1"/>
        <v>42</v>
      </c>
      <c r="H16" s="350"/>
      <c r="I16" s="232"/>
      <c r="J16" s="210" t="s">
        <v>253</v>
      </c>
      <c r="K16" s="232"/>
      <c r="L16" s="386">
        <f t="array" aca="1" ref="L16" ca="1">SUM( IF( LEN( $C$7:$C$65 ) = 0, 0, $C$7:$C$65 ) ) / SUM( IF( LEN( $C$7:$C$65 ) = 0, 0, 1  ) )</f>
        <v>18.795454545454547</v>
      </c>
      <c r="M16" s="387"/>
      <c r="N16" s="232"/>
      <c r="O16" s="386">
        <f t="array" aca="1" ref="O16" ca="1">SUM( IF( LEN( $C$7:$C$65 ) = 0, 0, IF( $E$7:$E$65 = O3, $C$7:$C$65, 0 ) ) ) / SUM( IF( LEN( $C$7:$C$65 ) = 0, 0, IF( $E$7:$E$65 = O3, 1, 0 ) ) )</f>
        <v>18.742857142857144</v>
      </c>
      <c r="P16" s="387"/>
      <c r="Q16" s="232"/>
      <c r="R16" s="386">
        <f t="array" aca="1" ref="R16" ca="1">SUM( IF( LEN( $C$7:$C$65 ) = 0, 0, IF( $E$7:$E$65 = R3, $C$7:$C$65, 0 ) ) ) / SUM( IF( LEN( $C$7:$C$65 ) = 0, 0, IF( $E$7:$E$65 = R3, 1, 0 ) ) )</f>
        <v>19</v>
      </c>
      <c r="S16" s="387"/>
      <c r="T16" s="232"/>
      <c r="U16" s="386" t="e">
        <f t="array" aca="1" ref="U16" ca="1">SUM( IF( LEN( $C$7:$C$65 ) = 0, 0, IF( $E$7:$E$65 = U3, $C$7:$C$65, 0 ) ) ) / SUM( IF( LEN( $C$7:$C$65 ) = 0, 0, IF( $E$7:$E$65 = U3, 1, 0 ) ) )</f>
        <v>#DIV/0!</v>
      </c>
      <c r="V16" s="388"/>
      <c r="W16" s="232"/>
      <c r="AE16" s="184"/>
      <c r="AF16" s="169">
        <f t="shared" ca="1" si="2"/>
        <v>0</v>
      </c>
      <c r="AG16" s="169" t="str">
        <f t="shared" ca="1" si="3"/>
        <v/>
      </c>
      <c r="AH16" s="169" t="str">
        <f t="shared" ca="1" si="19"/>
        <v/>
      </c>
      <c r="AJ16" s="169">
        <f t="shared" ca="1" si="20"/>
        <v>16</v>
      </c>
      <c r="AK16" s="169" t="str">
        <f t="shared" ca="1" si="21"/>
        <v>A-</v>
      </c>
      <c r="AL16" s="169">
        <f t="shared" ca="1" si="21"/>
        <v>20</v>
      </c>
      <c r="AM16" s="169" t="str">
        <f t="shared" ca="1" si="4"/>
        <v/>
      </c>
      <c r="AQ16" s="207" t="s">
        <v>254</v>
      </c>
      <c r="AR16" s="207" t="s">
        <v>142</v>
      </c>
      <c r="AS16" s="207">
        <v>17</v>
      </c>
      <c r="AT16" s="207" t="s">
        <v>255</v>
      </c>
      <c r="AV16" s="168">
        <f t="shared" ca="1" si="5"/>
        <v>38</v>
      </c>
      <c r="AW16" s="168">
        <f ca="1">COUNTIF( AV$7:AV16, AV16 )</f>
        <v>1</v>
      </c>
      <c r="AX16" s="208">
        <f t="shared" ca="1" si="22"/>
        <v>38.1</v>
      </c>
      <c r="AY16" s="168">
        <f t="shared" ca="1" si="6"/>
        <v>38</v>
      </c>
      <c r="AZ16" s="169"/>
      <c r="BA16" s="169"/>
      <c r="BC16" s="168">
        <f t="shared" ca="1" si="24"/>
        <v>10</v>
      </c>
      <c r="BD16" s="209">
        <f t="shared" ca="1" si="8"/>
        <v>40</v>
      </c>
      <c r="BF16" s="173" t="str">
        <f t="shared" ca="1" si="23"/>
        <v>Southern Company</v>
      </c>
      <c r="BG16" s="173" t="str">
        <f t="shared" ca="1" si="23"/>
        <v>A-</v>
      </c>
      <c r="BH16" s="173">
        <f t="shared" ca="1" si="23"/>
        <v>20</v>
      </c>
      <c r="BI16" s="173" t="str">
        <f t="shared" ca="1" si="23"/>
        <v>SO</v>
      </c>
    </row>
    <row r="17" spans="1:61" ht="13.8" x14ac:dyDescent="0.25">
      <c r="A17" s="223" t="s">
        <v>247</v>
      </c>
      <c r="B17" s="224" t="s">
        <v>139</v>
      </c>
      <c r="C17" s="224">
        <v>20</v>
      </c>
      <c r="D17" s="224" t="s">
        <v>248</v>
      </c>
      <c r="E17" s="225" t="str">
        <f t="shared" ca="1" si="9"/>
        <v>R</v>
      </c>
      <c r="F17" s="348"/>
      <c r="G17" s="349">
        <f t="shared" ca="1" si="1"/>
        <v>44</v>
      </c>
      <c r="H17" s="350"/>
      <c r="I17" s="237"/>
      <c r="K17" s="237"/>
      <c r="N17" s="237"/>
      <c r="O17" s="173"/>
      <c r="Q17" s="237"/>
      <c r="T17" s="237"/>
      <c r="W17" s="237"/>
      <c r="AE17" s="178"/>
      <c r="AF17" s="169">
        <f t="shared" ca="1" si="2"/>
        <v>0</v>
      </c>
      <c r="AG17" s="169" t="str">
        <f t="shared" ca="1" si="3"/>
        <v/>
      </c>
      <c r="AH17" s="169" t="str">
        <f t="shared" ca="1" si="19"/>
        <v/>
      </c>
      <c r="AJ17" s="169">
        <f t="shared" ca="1" si="20"/>
        <v>17</v>
      </c>
      <c r="AK17" s="169" t="str">
        <f t="shared" ca="1" si="21"/>
        <v>A-</v>
      </c>
      <c r="AL17" s="169">
        <f t="shared" ca="1" si="21"/>
        <v>20</v>
      </c>
      <c r="AM17" s="169" t="str">
        <f t="shared" ca="1" si="4"/>
        <v/>
      </c>
      <c r="AQ17" s="207" t="s">
        <v>256</v>
      </c>
      <c r="AR17" s="207" t="s">
        <v>140</v>
      </c>
      <c r="AS17" s="207">
        <v>19</v>
      </c>
      <c r="AT17" s="207" t="s">
        <v>257</v>
      </c>
      <c r="AV17" s="168">
        <f t="shared" ca="1" si="5"/>
        <v>13</v>
      </c>
      <c r="AW17" s="168">
        <f ca="1">COUNTIF( AV$7:AV17, AV17 )</f>
        <v>5</v>
      </c>
      <c r="AX17" s="208">
        <f t="shared" ca="1" si="22"/>
        <v>13.5</v>
      </c>
      <c r="AY17" s="168">
        <f t="shared" ca="1" si="6"/>
        <v>17</v>
      </c>
      <c r="AZ17" s="169"/>
      <c r="BA17" s="169"/>
      <c r="BC17" s="168">
        <f t="shared" ca="1" si="24"/>
        <v>11</v>
      </c>
      <c r="BD17" s="209">
        <f t="shared" ca="1" si="8"/>
        <v>42</v>
      </c>
      <c r="BF17" s="173" t="str">
        <f t="shared" ca="1" si="23"/>
        <v>Wisconsin Energy Corporation</v>
      </c>
      <c r="BG17" s="173" t="str">
        <f t="shared" ca="1" si="23"/>
        <v>A-</v>
      </c>
      <c r="BH17" s="173">
        <f t="shared" ca="1" si="23"/>
        <v>20</v>
      </c>
      <c r="BI17" s="173" t="str">
        <f t="shared" ca="1" si="23"/>
        <v>WEC</v>
      </c>
    </row>
    <row r="18" spans="1:61" ht="13.8" x14ac:dyDescent="0.25">
      <c r="A18" s="223" t="s">
        <v>251</v>
      </c>
      <c r="B18" s="224" t="s">
        <v>139</v>
      </c>
      <c r="C18" s="224">
        <v>20</v>
      </c>
      <c r="D18" s="224" t="s">
        <v>252</v>
      </c>
      <c r="E18" s="225" t="str">
        <f t="shared" ca="1" si="9"/>
        <v>R</v>
      </c>
      <c r="F18" s="348"/>
      <c r="G18" s="349">
        <f t="shared" ca="1" si="1"/>
        <v>45</v>
      </c>
      <c r="H18" s="350"/>
      <c r="I18" s="237"/>
      <c r="K18" s="237"/>
      <c r="N18" s="237"/>
      <c r="O18" s="173"/>
      <c r="Q18" s="237"/>
      <c r="T18" s="237"/>
      <c r="W18" s="237"/>
      <c r="AE18" s="184"/>
      <c r="AF18" s="169">
        <f t="shared" ca="1" si="2"/>
        <v>0</v>
      </c>
      <c r="AG18" s="169" t="str">
        <f t="shared" ca="1" si="3"/>
        <v/>
      </c>
      <c r="AH18" s="169" t="str">
        <f t="shared" ca="1" si="19"/>
        <v/>
      </c>
      <c r="AJ18" s="169">
        <f t="shared" ca="1" si="20"/>
        <v>18</v>
      </c>
      <c r="AK18" s="169" t="str">
        <f t="shared" ca="1" si="21"/>
        <v>A-</v>
      </c>
      <c r="AL18" s="169">
        <f t="shared" ca="1" si="21"/>
        <v>20</v>
      </c>
      <c r="AM18" s="169" t="str">
        <f t="shared" ca="1" si="4"/>
        <v/>
      </c>
      <c r="AQ18" s="207" t="s">
        <v>227</v>
      </c>
      <c r="AR18" s="207" t="s">
        <v>139</v>
      </c>
      <c r="AS18" s="207">
        <v>20</v>
      </c>
      <c r="AT18" s="207" t="s">
        <v>228</v>
      </c>
      <c r="AV18" s="168">
        <f t="shared" ca="1" si="5"/>
        <v>2</v>
      </c>
      <c r="AW18" s="168">
        <f ca="1">COUNTIF( AV$7:AV18, AV18 )</f>
        <v>3</v>
      </c>
      <c r="AX18" s="208">
        <f t="shared" ca="1" si="22"/>
        <v>2.2999999999999998</v>
      </c>
      <c r="AY18" s="168">
        <f t="shared" ca="1" si="6"/>
        <v>4</v>
      </c>
      <c r="AZ18" s="169"/>
      <c r="BA18" s="169"/>
      <c r="BC18" s="168">
        <f t="shared" ca="1" si="24"/>
        <v>12</v>
      </c>
      <c r="BD18" s="209">
        <f t="shared" ca="1" si="8"/>
        <v>43</v>
      </c>
      <c r="BF18" s="173" t="str">
        <f t="shared" ca="1" si="23"/>
        <v>Xcel Energy Inc.</v>
      </c>
      <c r="BG18" s="173" t="str">
        <f t="shared" ca="1" si="23"/>
        <v>A-</v>
      </c>
      <c r="BH18" s="173">
        <f t="shared" ca="1" si="23"/>
        <v>20</v>
      </c>
      <c r="BI18" s="173" t="str">
        <f t="shared" ca="1" si="23"/>
        <v>XEL</v>
      </c>
    </row>
    <row r="19" spans="1:61" ht="13.8" x14ac:dyDescent="0.25">
      <c r="A19" s="223" t="s">
        <v>225</v>
      </c>
      <c r="B19" s="224" t="s">
        <v>140</v>
      </c>
      <c r="C19" s="224">
        <v>19</v>
      </c>
      <c r="D19" s="224" t="s">
        <v>226</v>
      </c>
      <c r="E19" s="225" t="str">
        <f t="shared" ca="1" si="9"/>
        <v>R</v>
      </c>
      <c r="F19" s="348"/>
      <c r="G19" s="349">
        <f t="shared" ca="1" si="1"/>
        <v>9</v>
      </c>
      <c r="H19" s="350"/>
      <c r="I19" s="237"/>
      <c r="K19" s="237"/>
      <c r="N19" s="237"/>
      <c r="O19" s="173"/>
      <c r="Q19" s="237"/>
      <c r="T19" s="237"/>
      <c r="W19" s="237"/>
      <c r="AE19" s="184"/>
      <c r="AF19" s="169">
        <f t="shared" ca="1" si="2"/>
        <v>1</v>
      </c>
      <c r="AG19" s="169" t="str">
        <f t="shared" ca="1" si="3"/>
        <v/>
      </c>
      <c r="AH19" s="169" t="str">
        <f t="shared" ca="1" si="19"/>
        <v/>
      </c>
      <c r="AJ19" s="169">
        <f t="shared" ca="1" si="20"/>
        <v>19</v>
      </c>
      <c r="AK19" s="169" t="str">
        <f t="shared" ca="1" si="21"/>
        <v>BBB+</v>
      </c>
      <c r="AL19" s="169">
        <f t="shared" ca="1" si="21"/>
        <v>19</v>
      </c>
      <c r="AM19" s="169" t="str">
        <f t="shared" ca="1" si="4"/>
        <v/>
      </c>
      <c r="AQ19" s="207" t="s">
        <v>258</v>
      </c>
      <c r="AR19" s="207" t="s">
        <v>140</v>
      </c>
      <c r="AS19" s="207">
        <v>19</v>
      </c>
      <c r="AT19" s="207" t="s">
        <v>194</v>
      </c>
      <c r="AV19" s="168">
        <f t="shared" ca="1" si="5"/>
        <v>13</v>
      </c>
      <c r="AW19" s="168">
        <f ca="1">COUNTIF( AV$7:AV19, AV19 )</f>
        <v>6</v>
      </c>
      <c r="AX19" s="208">
        <f t="shared" ca="1" si="22"/>
        <v>13.6</v>
      </c>
      <c r="AY19" s="168">
        <f t="shared" ca="1" si="6"/>
        <v>18</v>
      </c>
      <c r="AZ19" s="169"/>
      <c r="BA19" s="169"/>
      <c r="BC19" s="168">
        <f t="shared" ca="1" si="24"/>
        <v>13</v>
      </c>
      <c r="BD19" s="209">
        <f t="shared" ca="1" si="8"/>
        <v>3</v>
      </c>
      <c r="BF19" s="173" t="str">
        <f t="shared" ca="1" si="23"/>
        <v>Ameren Corporation</v>
      </c>
      <c r="BG19" s="173" t="str">
        <f t="shared" ca="1" si="23"/>
        <v>BBB+</v>
      </c>
      <c r="BH19" s="173">
        <f t="shared" ca="1" si="23"/>
        <v>19</v>
      </c>
      <c r="BI19" s="173" t="str">
        <f t="shared" ca="1" si="23"/>
        <v>AEE</v>
      </c>
    </row>
    <row r="20" spans="1:61" ht="13.8" x14ac:dyDescent="0.25">
      <c r="A20" s="223" t="s">
        <v>233</v>
      </c>
      <c r="B20" s="224" t="s">
        <v>140</v>
      </c>
      <c r="C20" s="224">
        <v>19</v>
      </c>
      <c r="D20" s="224" t="s">
        <v>234</v>
      </c>
      <c r="E20" s="225" t="str">
        <f t="shared" ca="1" si="9"/>
        <v>MR</v>
      </c>
      <c r="F20" s="348"/>
      <c r="G20" s="349">
        <f t="shared" ca="1" si="1"/>
        <v>11</v>
      </c>
      <c r="H20" s="350"/>
      <c r="I20" s="352"/>
      <c r="K20" s="352"/>
      <c r="N20" s="352"/>
      <c r="O20" s="173"/>
      <c r="Q20" s="352"/>
      <c r="T20" s="352"/>
      <c r="W20" s="352"/>
      <c r="AE20" s="184"/>
      <c r="AF20" s="169">
        <f t="shared" ca="1" si="2"/>
        <v>1</v>
      </c>
      <c r="AG20" s="169" t="str">
        <f t="shared" ca="1" si="3"/>
        <v/>
      </c>
      <c r="AH20" s="169" t="str">
        <f t="shared" ca="1" si="19"/>
        <v/>
      </c>
      <c r="AJ20" s="169">
        <f t="shared" ca="1" si="20"/>
        <v>20</v>
      </c>
      <c r="AK20" s="169" t="str">
        <f t="shared" ca="1" si="21"/>
        <v>BBB+</v>
      </c>
      <c r="AL20" s="169">
        <f t="shared" ca="1" si="21"/>
        <v>19</v>
      </c>
      <c r="AM20" s="169" t="str">
        <f t="shared" ca="1" si="4"/>
        <v/>
      </c>
      <c r="AQ20" s="207" t="s">
        <v>259</v>
      </c>
      <c r="AR20" s="207" t="s">
        <v>173</v>
      </c>
      <c r="AS20" s="207">
        <v>16</v>
      </c>
      <c r="AT20" s="207" t="s">
        <v>260</v>
      </c>
      <c r="AV20" s="168">
        <f t="shared" ca="1" si="5"/>
        <v>41</v>
      </c>
      <c r="AW20" s="168">
        <f ca="1">COUNTIF( AV$7:AV20, AV20 )</f>
        <v>1</v>
      </c>
      <c r="AX20" s="208">
        <f t="shared" ca="1" si="22"/>
        <v>41.1</v>
      </c>
      <c r="AY20" s="168">
        <f t="shared" ca="1" si="6"/>
        <v>41</v>
      </c>
      <c r="AZ20" s="169"/>
      <c r="BA20" s="169"/>
      <c r="BC20" s="168">
        <f t="shared" ca="1" si="24"/>
        <v>14</v>
      </c>
      <c r="BD20" s="209">
        <f t="shared" ca="1" si="8"/>
        <v>5</v>
      </c>
      <c r="BF20" s="173" t="str">
        <f t="shared" ca="1" si="23"/>
        <v>AVANGRID, Inc.</v>
      </c>
      <c r="BG20" s="173" t="str">
        <f t="shared" ca="1" si="23"/>
        <v>BBB+</v>
      </c>
      <c r="BH20" s="173">
        <f t="shared" ca="1" si="23"/>
        <v>19</v>
      </c>
      <c r="BI20" s="173" t="str">
        <f t="shared" ca="1" si="23"/>
        <v>AGR</v>
      </c>
    </row>
    <row r="21" spans="1:61" ht="13.8" x14ac:dyDescent="0.25">
      <c r="A21" s="223" t="s">
        <v>245</v>
      </c>
      <c r="B21" s="224" t="s">
        <v>140</v>
      </c>
      <c r="C21" s="224">
        <v>19</v>
      </c>
      <c r="D21" s="224" t="s">
        <v>246</v>
      </c>
      <c r="E21" s="225" t="str">
        <f t="shared" ca="1" si="9"/>
        <v>R</v>
      </c>
      <c r="F21" s="348"/>
      <c r="G21" s="349">
        <f t="shared" ca="1" si="1"/>
        <v>13</v>
      </c>
      <c r="H21" s="350"/>
      <c r="I21" s="237"/>
      <c r="K21" s="237"/>
      <c r="N21" s="237"/>
      <c r="Q21" s="237"/>
      <c r="T21" s="237"/>
      <c r="W21" s="237"/>
      <c r="AE21" s="184"/>
      <c r="AF21" s="169">
        <f t="shared" ca="1" si="2"/>
        <v>1</v>
      </c>
      <c r="AG21" s="169" t="str">
        <f t="shared" ca="1" si="3"/>
        <v/>
      </c>
      <c r="AH21" s="169" t="str">
        <f t="shared" ca="1" si="19"/>
        <v/>
      </c>
      <c r="AJ21" s="169">
        <f t="shared" ca="1" si="20"/>
        <v>21</v>
      </c>
      <c r="AK21" s="169" t="str">
        <f t="shared" ca="1" si="21"/>
        <v>BBB+</v>
      </c>
      <c r="AL21" s="169">
        <f t="shared" ca="1" si="21"/>
        <v>19</v>
      </c>
      <c r="AM21" s="169" t="str">
        <f t="shared" ca="1" si="4"/>
        <v/>
      </c>
      <c r="AQ21" s="207" t="s">
        <v>261</v>
      </c>
      <c r="AR21" s="207" t="s">
        <v>140</v>
      </c>
      <c r="AS21" s="207">
        <v>19</v>
      </c>
      <c r="AT21" s="207" t="s">
        <v>262</v>
      </c>
      <c r="AV21" s="168">
        <f t="shared" ca="1" si="5"/>
        <v>13</v>
      </c>
      <c r="AW21" s="168">
        <f ca="1">COUNTIF( AV$7:AV21, AV21 )</f>
        <v>7</v>
      </c>
      <c r="AX21" s="208">
        <f t="shared" ca="1" si="22"/>
        <v>13.7</v>
      </c>
      <c r="AY21" s="168">
        <f t="shared" ca="1" si="6"/>
        <v>19</v>
      </c>
      <c r="AZ21" s="169"/>
      <c r="BA21" s="169"/>
      <c r="BC21" s="168">
        <f t="shared" ca="1" si="24"/>
        <v>15</v>
      </c>
      <c r="BD21" s="209">
        <f t="shared" ca="1" si="8"/>
        <v>8</v>
      </c>
      <c r="BF21" s="173" t="str">
        <f t="shared" ca="1" si="23"/>
        <v>Black Hills Corporation</v>
      </c>
      <c r="BG21" s="173" t="str">
        <f t="shared" ca="1" si="23"/>
        <v>BBB+</v>
      </c>
      <c r="BH21" s="173">
        <f t="shared" ca="1" si="23"/>
        <v>19</v>
      </c>
      <c r="BI21" s="173" t="str">
        <f t="shared" ca="1" si="23"/>
        <v>BKH</v>
      </c>
    </row>
    <row r="22" spans="1:61" ht="13.8" x14ac:dyDescent="0.25">
      <c r="A22" s="223" t="s">
        <v>249</v>
      </c>
      <c r="B22" s="224" t="s">
        <v>140</v>
      </c>
      <c r="C22" s="224">
        <v>19</v>
      </c>
      <c r="D22" s="224" t="s">
        <v>250</v>
      </c>
      <c r="E22" s="225" t="str">
        <f t="shared" ca="1" si="9"/>
        <v>R</v>
      </c>
      <c r="F22" s="348"/>
      <c r="G22" s="349">
        <f t="shared" ca="1" si="1"/>
        <v>14</v>
      </c>
      <c r="H22" s="350"/>
      <c r="I22" s="237"/>
      <c r="K22" s="237"/>
      <c r="N22" s="237"/>
      <c r="Q22" s="237"/>
      <c r="T22" s="237"/>
      <c r="W22" s="237"/>
      <c r="AE22" s="184"/>
      <c r="AF22" s="169">
        <f t="shared" ca="1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20"/>
        <v>22</v>
      </c>
      <c r="AK22" s="169" t="str">
        <f t="shared" ca="1" si="21"/>
        <v>BBB+</v>
      </c>
      <c r="AL22" s="169">
        <f t="shared" ca="1" si="21"/>
        <v>19</v>
      </c>
      <c r="AM22" s="169" t="str">
        <f t="shared" ca="1" si="4"/>
        <v/>
      </c>
      <c r="AQ22" s="207" t="s">
        <v>263</v>
      </c>
      <c r="AR22" s="207" t="s">
        <v>140</v>
      </c>
      <c r="AS22" s="207">
        <v>19</v>
      </c>
      <c r="AT22" s="207" t="s">
        <v>264</v>
      </c>
      <c r="AV22" s="168">
        <f t="shared" ca="1" si="5"/>
        <v>13</v>
      </c>
      <c r="AW22" s="168">
        <f ca="1">COUNTIF( AV$7:AV22, AV22 )</f>
        <v>8</v>
      </c>
      <c r="AX22" s="208">
        <f t="shared" ca="1" si="22"/>
        <v>13.8</v>
      </c>
      <c r="AY22" s="168">
        <f t="shared" ca="1" si="6"/>
        <v>20</v>
      </c>
      <c r="AZ22" s="169"/>
      <c r="BA22" s="169"/>
      <c r="BC22" s="168">
        <f t="shared" ca="1" si="24"/>
        <v>16</v>
      </c>
      <c r="BD22" s="209">
        <f t="shared" ca="1" si="8"/>
        <v>9</v>
      </c>
      <c r="BF22" s="173" t="str">
        <f t="shared" ca="1" si="23"/>
        <v>CenterPoint Energy, Inc.</v>
      </c>
      <c r="BG22" s="173" t="str">
        <f t="shared" ca="1" si="23"/>
        <v>BBB+</v>
      </c>
      <c r="BH22" s="173">
        <f t="shared" ca="1" si="23"/>
        <v>19</v>
      </c>
      <c r="BI22" s="173" t="str">
        <f t="shared" ca="1" si="23"/>
        <v>CNP</v>
      </c>
    </row>
    <row r="23" spans="1:61" ht="13.8" x14ac:dyDescent="0.25">
      <c r="A23" s="223" t="s">
        <v>256</v>
      </c>
      <c r="B23" s="224" t="s">
        <v>140</v>
      </c>
      <c r="C23" s="224">
        <v>19</v>
      </c>
      <c r="D23" s="224" t="s">
        <v>257</v>
      </c>
      <c r="E23" s="225" t="str">
        <f t="shared" ca="1" si="9"/>
        <v>R</v>
      </c>
      <c r="F23" s="348"/>
      <c r="G23" s="349">
        <f t="shared" ca="1" si="1"/>
        <v>15</v>
      </c>
      <c r="H23" s="350"/>
      <c r="I23" s="237"/>
      <c r="K23" s="237"/>
      <c r="N23" s="237"/>
      <c r="Q23" s="237"/>
      <c r="T23" s="237"/>
      <c r="W23" s="237"/>
      <c r="AE23" s="184"/>
      <c r="AF23" s="169">
        <f t="shared" ca="1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20"/>
        <v>23</v>
      </c>
      <c r="AK23" s="169" t="str">
        <f t="shared" ca="1" si="21"/>
        <v>BBB+</v>
      </c>
      <c r="AL23" s="169">
        <f t="shared" ca="1" si="21"/>
        <v>19</v>
      </c>
      <c r="AM23" s="169" t="str">
        <f t="shared" ca="1" si="4"/>
        <v/>
      </c>
      <c r="AQ23" s="207" t="s">
        <v>265</v>
      </c>
      <c r="AR23" s="207" t="s">
        <v>141</v>
      </c>
      <c r="AS23" s="207">
        <v>18</v>
      </c>
      <c r="AT23" s="207" t="s">
        <v>266</v>
      </c>
      <c r="AV23" s="168">
        <f t="shared" ca="1" si="5"/>
        <v>30</v>
      </c>
      <c r="AW23" s="168">
        <f ca="1">COUNTIF( AV$7:AV23, AV23 )</f>
        <v>3</v>
      </c>
      <c r="AX23" s="208">
        <f t="shared" ca="1" si="22"/>
        <v>30.3</v>
      </c>
      <c r="AY23" s="168">
        <f t="shared" ca="1" si="6"/>
        <v>32</v>
      </c>
      <c r="AZ23" s="169"/>
      <c r="BA23" s="169"/>
      <c r="BC23" s="168">
        <f t="shared" ca="1" si="24"/>
        <v>17</v>
      </c>
      <c r="BD23" s="209">
        <f t="shared" ca="1" si="8"/>
        <v>11</v>
      </c>
      <c r="BF23" s="173" t="str">
        <f t="shared" ca="1" si="23"/>
        <v>CMS Energy Corporation</v>
      </c>
      <c r="BG23" s="173" t="str">
        <f t="shared" ca="1" si="23"/>
        <v>BBB+</v>
      </c>
      <c r="BH23" s="173">
        <f t="shared" ca="1" si="23"/>
        <v>19</v>
      </c>
      <c r="BI23" s="173" t="str">
        <f t="shared" ca="1" si="23"/>
        <v>CMS</v>
      </c>
    </row>
    <row r="24" spans="1:61" ht="13.8" x14ac:dyDescent="0.25">
      <c r="A24" s="223" t="s">
        <v>258</v>
      </c>
      <c r="B24" s="224" t="s">
        <v>140</v>
      </c>
      <c r="C24" s="224">
        <v>19</v>
      </c>
      <c r="D24" s="224" t="s">
        <v>194</v>
      </c>
      <c r="E24" s="225" t="str">
        <f t="shared" ca="1" si="9"/>
        <v>R</v>
      </c>
      <c r="F24" s="348"/>
      <c r="G24" s="349">
        <f t="shared" ca="1" si="1"/>
        <v>17</v>
      </c>
      <c r="H24" s="350"/>
      <c r="I24" s="237"/>
      <c r="J24" s="191"/>
      <c r="K24" s="237"/>
      <c r="N24" s="237"/>
      <c r="Q24" s="237"/>
      <c r="T24" s="237"/>
      <c r="W24" s="237"/>
      <c r="AE24" s="184"/>
      <c r="AF24" s="169">
        <f t="shared" ca="1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20"/>
        <v>24</v>
      </c>
      <c r="AK24" s="169" t="str">
        <f t="shared" ca="1" si="21"/>
        <v>BBB+</v>
      </c>
      <c r="AL24" s="169">
        <f t="shared" ca="1" si="21"/>
        <v>19</v>
      </c>
      <c r="AM24" s="169" t="str">
        <f t="shared" ca="1" si="4"/>
        <v/>
      </c>
      <c r="AQ24" s="207" t="s">
        <v>267</v>
      </c>
      <c r="AR24" s="207" t="s">
        <v>140</v>
      </c>
      <c r="AS24" s="207">
        <v>19</v>
      </c>
      <c r="AT24" s="207" t="s">
        <v>268</v>
      </c>
      <c r="AV24" s="168">
        <f t="shared" ca="1" si="5"/>
        <v>13</v>
      </c>
      <c r="AW24" s="168">
        <f ca="1">COUNTIF( AV$7:AV24, AV24 )</f>
        <v>9</v>
      </c>
      <c r="AX24" s="208">
        <f t="shared" ca="1" si="22"/>
        <v>13.9</v>
      </c>
      <c r="AY24" s="168">
        <f t="shared" ca="1" si="6"/>
        <v>21</v>
      </c>
      <c r="AZ24" s="169"/>
      <c r="BA24" s="169"/>
      <c r="BC24" s="168">
        <f t="shared" ca="1" si="24"/>
        <v>18</v>
      </c>
      <c r="BD24" s="209">
        <f t="shared" ca="1" si="8"/>
        <v>13</v>
      </c>
      <c r="BF24" s="173" t="str">
        <f t="shared" ca="1" si="23"/>
        <v>Dominion Energy, Inc.</v>
      </c>
      <c r="BG24" s="173" t="str">
        <f t="shared" ca="1" si="23"/>
        <v>BBB+</v>
      </c>
      <c r="BH24" s="173">
        <f t="shared" ca="1" si="23"/>
        <v>19</v>
      </c>
      <c r="BI24" s="173" t="str">
        <f t="shared" ca="1" si="23"/>
        <v>D</v>
      </c>
    </row>
    <row r="25" spans="1:61" ht="13.8" x14ac:dyDescent="0.25">
      <c r="A25" s="223" t="s">
        <v>261</v>
      </c>
      <c r="B25" s="224" t="s">
        <v>140</v>
      </c>
      <c r="C25" s="224">
        <v>19</v>
      </c>
      <c r="D25" s="224" t="s">
        <v>262</v>
      </c>
      <c r="E25" s="225" t="str">
        <f t="shared" ca="1" si="9"/>
        <v>MR</v>
      </c>
      <c r="F25" s="348"/>
      <c r="G25" s="349">
        <f t="shared" ca="1" si="1"/>
        <v>18</v>
      </c>
      <c r="H25" s="350"/>
      <c r="I25" s="237"/>
      <c r="J25" s="191"/>
      <c r="K25" s="237"/>
      <c r="N25" s="237"/>
      <c r="Q25" s="237"/>
      <c r="T25" s="237"/>
      <c r="W25" s="237"/>
      <c r="AE25" s="184"/>
      <c r="AF25" s="169">
        <f t="shared" ca="1" si="2"/>
        <v>1</v>
      </c>
      <c r="AG25" s="169" t="str">
        <f t="shared" ca="1" si="3"/>
        <v/>
      </c>
      <c r="AH25" s="169" t="str">
        <f t="shared" ca="1" si="19"/>
        <v/>
      </c>
      <c r="AJ25" s="169">
        <f t="shared" ca="1" si="20"/>
        <v>25</v>
      </c>
      <c r="AK25" s="169" t="str">
        <f t="shared" ca="1" si="21"/>
        <v>BBB+</v>
      </c>
      <c r="AL25" s="169">
        <f t="shared" ca="1" si="21"/>
        <v>19</v>
      </c>
      <c r="AM25" s="169" t="str">
        <f t="shared" ca="1" si="4"/>
        <v/>
      </c>
      <c r="AQ25" s="207" t="s">
        <v>230</v>
      </c>
      <c r="AR25" s="207" t="s">
        <v>139</v>
      </c>
      <c r="AS25" s="207">
        <v>20</v>
      </c>
      <c r="AT25" s="207" t="s">
        <v>231</v>
      </c>
      <c r="AV25" s="168">
        <f t="shared" ca="1" si="5"/>
        <v>2</v>
      </c>
      <c r="AW25" s="168">
        <f ca="1">COUNTIF( AV$7:AV25, AV25 )</f>
        <v>4</v>
      </c>
      <c r="AX25" s="208">
        <f t="shared" ca="1" si="22"/>
        <v>2.4</v>
      </c>
      <c r="AY25" s="168">
        <f t="shared" ca="1" si="6"/>
        <v>5</v>
      </c>
      <c r="AZ25" s="169"/>
      <c r="BA25" s="169"/>
      <c r="BC25" s="168">
        <f t="shared" ca="1" si="24"/>
        <v>19</v>
      </c>
      <c r="BD25" s="209">
        <f t="shared" ca="1" si="8"/>
        <v>15</v>
      </c>
      <c r="BF25" s="173" t="str">
        <f t="shared" ca="1" si="23"/>
        <v>DTE Energy Company</v>
      </c>
      <c r="BG25" s="173" t="str">
        <f t="shared" ca="1" si="23"/>
        <v>BBB+</v>
      </c>
      <c r="BH25" s="173">
        <f t="shared" ca="1" si="23"/>
        <v>19</v>
      </c>
      <c r="BI25" s="173" t="str">
        <f t="shared" ca="1" si="23"/>
        <v>DTE</v>
      </c>
    </row>
    <row r="26" spans="1:61" ht="13.8" x14ac:dyDescent="0.25">
      <c r="A26" s="223" t="s">
        <v>263</v>
      </c>
      <c r="B26" s="224" t="s">
        <v>140</v>
      </c>
      <c r="C26" s="224">
        <v>19</v>
      </c>
      <c r="D26" s="224" t="s">
        <v>264</v>
      </c>
      <c r="E26" s="225" t="str">
        <f t="shared" ca="1" si="9"/>
        <v>R</v>
      </c>
      <c r="F26" s="348"/>
      <c r="G26" s="349">
        <f t="shared" ca="1" si="1"/>
        <v>19</v>
      </c>
      <c r="H26" s="350"/>
      <c r="I26" s="237"/>
      <c r="J26" s="191"/>
      <c r="K26" s="237"/>
      <c r="N26" s="237"/>
      <c r="Q26" s="237"/>
      <c r="T26" s="237"/>
      <c r="W26" s="237"/>
      <c r="AE26" s="184"/>
      <c r="AF26" s="169">
        <f t="shared" ca="1" si="2"/>
        <v>1</v>
      </c>
      <c r="AG26" s="169" t="str">
        <f t="shared" ca="1" si="3"/>
        <v/>
      </c>
      <c r="AH26" s="169" t="str">
        <f t="shared" ca="1" si="19"/>
        <v/>
      </c>
      <c r="AJ26" s="169">
        <f t="shared" ca="1" si="20"/>
        <v>26</v>
      </c>
      <c r="AK26" s="169" t="str">
        <f t="shared" ca="1" si="21"/>
        <v>BBB+</v>
      </c>
      <c r="AL26" s="169">
        <f t="shared" ca="1" si="21"/>
        <v>19</v>
      </c>
      <c r="AM26" s="169" t="str">
        <f t="shared" ca="1" si="4"/>
        <v/>
      </c>
      <c r="AQ26" s="207" t="s">
        <v>235</v>
      </c>
      <c r="AR26" s="207" t="s">
        <v>139</v>
      </c>
      <c r="AS26" s="207">
        <v>20</v>
      </c>
      <c r="AT26" s="207" t="s">
        <v>236</v>
      </c>
      <c r="AV26" s="168">
        <f t="shared" ca="1" si="5"/>
        <v>2</v>
      </c>
      <c r="AW26" s="168">
        <f ca="1">COUNTIF( AV$7:AV26, AV26 )</f>
        <v>5</v>
      </c>
      <c r="AX26" s="208">
        <f t="shared" ca="1" si="22"/>
        <v>2.5</v>
      </c>
      <c r="AY26" s="168">
        <f t="shared" ca="1" si="6"/>
        <v>6</v>
      </c>
      <c r="AZ26" s="169"/>
      <c r="BA26" s="169"/>
      <c r="BC26" s="168">
        <f t="shared" ca="1" si="24"/>
        <v>20</v>
      </c>
      <c r="BD26" s="209">
        <f t="shared" ca="1" si="8"/>
        <v>16</v>
      </c>
      <c r="BF26" s="173" t="str">
        <f t="shared" ca="1" si="23"/>
        <v>Duke Energy Corporation</v>
      </c>
      <c r="BG26" s="173" t="str">
        <f t="shared" ca="1" si="23"/>
        <v>BBB+</v>
      </c>
      <c r="BH26" s="173">
        <f t="shared" ca="1" si="23"/>
        <v>19</v>
      </c>
      <c r="BI26" s="173" t="str">
        <f t="shared" ca="1" si="23"/>
        <v>DUK</v>
      </c>
    </row>
    <row r="27" spans="1:61" ht="13.8" x14ac:dyDescent="0.25">
      <c r="A27" s="223" t="s">
        <v>267</v>
      </c>
      <c r="B27" s="224" t="s">
        <v>140</v>
      </c>
      <c r="C27" s="224">
        <v>19</v>
      </c>
      <c r="D27" s="224" t="s">
        <v>268</v>
      </c>
      <c r="E27" s="225" t="str">
        <f t="shared" ca="1" si="9"/>
        <v>R</v>
      </c>
      <c r="F27" s="348"/>
      <c r="G27" s="349">
        <f t="shared" ca="1" si="1"/>
        <v>21</v>
      </c>
      <c r="H27" s="350"/>
      <c r="I27" s="237"/>
      <c r="J27" s="191"/>
      <c r="K27" s="237"/>
      <c r="N27" s="237"/>
      <c r="Q27" s="237"/>
      <c r="T27" s="237"/>
      <c r="W27" s="237"/>
      <c r="AE27" s="184"/>
      <c r="AF27" s="169">
        <f t="shared" ca="1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20"/>
        <v>27</v>
      </c>
      <c r="AK27" s="169" t="str">
        <f t="shared" ca="1" si="21"/>
        <v>BBB+</v>
      </c>
      <c r="AL27" s="169">
        <f t="shared" ca="1" si="21"/>
        <v>19</v>
      </c>
      <c r="AM27" s="169" t="str">
        <f t="shared" ca="1" si="4"/>
        <v/>
      </c>
      <c r="AQ27" s="207" t="s">
        <v>269</v>
      </c>
      <c r="AR27" s="207" t="s">
        <v>140</v>
      </c>
      <c r="AS27" s="207">
        <v>19</v>
      </c>
      <c r="AT27" s="207" t="s">
        <v>270</v>
      </c>
      <c r="AV27" s="168">
        <f t="shared" ca="1" si="5"/>
        <v>13</v>
      </c>
      <c r="AW27" s="168">
        <f ca="1">COUNTIF( AV$7:AV27, AV27 )</f>
        <v>10</v>
      </c>
      <c r="AX27" s="208">
        <f t="shared" ca="1" si="22"/>
        <v>14</v>
      </c>
      <c r="AY27" s="168">
        <f t="shared" ca="1" si="6"/>
        <v>22</v>
      </c>
      <c r="AZ27" s="169"/>
      <c r="BA27" s="169"/>
      <c r="BC27" s="168">
        <f t="shared" ca="1" si="24"/>
        <v>21</v>
      </c>
      <c r="BD27" s="209">
        <f t="shared" ca="1" si="8"/>
        <v>18</v>
      </c>
      <c r="BF27" s="173" t="str">
        <f t="shared" ca="1" si="23"/>
        <v>Entergy Corporation</v>
      </c>
      <c r="BG27" s="173" t="str">
        <f t="shared" ca="1" si="23"/>
        <v>BBB+</v>
      </c>
      <c r="BH27" s="173">
        <f t="shared" ca="1" si="23"/>
        <v>19</v>
      </c>
      <c r="BI27" s="173" t="str">
        <f t="shared" ca="1" si="23"/>
        <v>ETR</v>
      </c>
    </row>
    <row r="28" spans="1:61" ht="13.8" x14ac:dyDescent="0.25">
      <c r="A28" s="223" t="s">
        <v>269</v>
      </c>
      <c r="B28" s="224" t="s">
        <v>140</v>
      </c>
      <c r="C28" s="224">
        <v>19</v>
      </c>
      <c r="D28" s="224" t="s">
        <v>270</v>
      </c>
      <c r="E28" s="225" t="str">
        <f t="shared" ca="1" si="9"/>
        <v>MR</v>
      </c>
      <c r="F28" s="348"/>
      <c r="G28" s="349">
        <f t="shared" ca="1" si="1"/>
        <v>24</v>
      </c>
      <c r="H28" s="350"/>
      <c r="I28" s="237"/>
      <c r="J28" s="191"/>
      <c r="K28" s="237"/>
      <c r="N28" s="237"/>
      <c r="Q28" s="237"/>
      <c r="T28" s="237"/>
      <c r="W28" s="237"/>
      <c r="AE28" s="178"/>
      <c r="AF28" s="169">
        <f t="shared" ca="1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20"/>
        <v>28</v>
      </c>
      <c r="AK28" s="169" t="str">
        <f t="shared" ca="1" si="21"/>
        <v>BBB+</v>
      </c>
      <c r="AL28" s="169">
        <f t="shared" ca="1" si="21"/>
        <v>19</v>
      </c>
      <c r="AM28" s="169" t="str">
        <f t="shared" ca="1" si="4"/>
        <v/>
      </c>
      <c r="AQ28" s="207" t="s">
        <v>275</v>
      </c>
      <c r="AR28" s="207" t="s">
        <v>175</v>
      </c>
      <c r="AS28" s="207">
        <v>15</v>
      </c>
      <c r="AT28" s="207" t="s">
        <v>276</v>
      </c>
      <c r="AV28" s="168">
        <f t="shared" ca="1" si="5"/>
        <v>42</v>
      </c>
      <c r="AW28" s="168">
        <f ca="1">COUNTIF( AV$7:AV28, AV28 )</f>
        <v>1</v>
      </c>
      <c r="AX28" s="208">
        <f t="shared" ca="1" si="22"/>
        <v>42.1</v>
      </c>
      <c r="AY28" s="168">
        <f t="shared" ca="1" si="6"/>
        <v>42</v>
      </c>
      <c r="AZ28" s="169"/>
      <c r="BA28" s="169"/>
      <c r="BC28" s="168">
        <f t="shared" ca="1" si="24"/>
        <v>22</v>
      </c>
      <c r="BD28" s="209">
        <f t="shared" ca="1" si="8"/>
        <v>21</v>
      </c>
      <c r="BF28" s="173" t="str">
        <f t="shared" ca="1" si="23"/>
        <v>Exelon Corporation</v>
      </c>
      <c r="BG28" s="173" t="str">
        <f t="shared" ca="1" si="23"/>
        <v>BBB+</v>
      </c>
      <c r="BH28" s="173">
        <f t="shared" ca="1" si="23"/>
        <v>19</v>
      </c>
      <c r="BI28" s="173" t="str">
        <f t="shared" ca="1" si="23"/>
        <v>EXC</v>
      </c>
    </row>
    <row r="29" spans="1:61" ht="13.8" x14ac:dyDescent="0.25">
      <c r="A29" s="223" t="s">
        <v>271</v>
      </c>
      <c r="B29" s="224" t="s">
        <v>140</v>
      </c>
      <c r="C29" s="224">
        <v>19</v>
      </c>
      <c r="D29" s="224" t="s">
        <v>272</v>
      </c>
      <c r="E29" s="225" t="str">
        <f t="shared" ca="1" si="9"/>
        <v>MR</v>
      </c>
      <c r="F29" s="348"/>
      <c r="G29" s="349">
        <f t="shared" ca="1" si="1"/>
        <v>28</v>
      </c>
      <c r="H29" s="350"/>
      <c r="I29" s="237"/>
      <c r="J29" s="191"/>
      <c r="K29" s="237"/>
      <c r="N29" s="237"/>
      <c r="Q29" s="237"/>
      <c r="T29" s="237"/>
      <c r="W29" s="237"/>
      <c r="AF29" s="169">
        <f t="shared" ca="1" si="2"/>
        <v>1</v>
      </c>
      <c r="AG29" s="169" t="str">
        <f t="shared" ca="1" si="3"/>
        <v/>
      </c>
      <c r="AH29" s="169" t="str">
        <f t="shared" ca="1" si="19"/>
        <v/>
      </c>
      <c r="AJ29" s="169">
        <f t="shared" ca="1" si="20"/>
        <v>29</v>
      </c>
      <c r="AK29" s="169" t="str">
        <f t="shared" ca="1" si="21"/>
        <v>BBB+</v>
      </c>
      <c r="AL29" s="169">
        <f t="shared" ca="1" si="21"/>
        <v>19</v>
      </c>
      <c r="AM29" s="169" t="str">
        <f t="shared" ca="1" si="4"/>
        <v/>
      </c>
      <c r="AQ29" s="207" t="s">
        <v>279</v>
      </c>
      <c r="AR29" s="207" t="s">
        <v>142</v>
      </c>
      <c r="AS29" s="207">
        <v>17</v>
      </c>
      <c r="AT29" s="207" t="s">
        <v>280</v>
      </c>
      <c r="AV29" s="168">
        <f t="shared" ca="1" si="5"/>
        <v>38</v>
      </c>
      <c r="AW29" s="168">
        <f ca="1">COUNTIF( AV$7:AV29, AV29 )</f>
        <v>2</v>
      </c>
      <c r="AX29" s="208">
        <f t="shared" ca="1" si="22"/>
        <v>38.200000000000003</v>
      </c>
      <c r="AY29" s="168">
        <f t="shared" ca="1" si="6"/>
        <v>39</v>
      </c>
      <c r="AZ29" s="169"/>
      <c r="BA29" s="169"/>
      <c r="BC29" s="168">
        <f t="shared" ca="1" si="24"/>
        <v>23</v>
      </c>
      <c r="BD29" s="209">
        <f t="shared" ca="1" si="8"/>
        <v>26</v>
      </c>
      <c r="BF29" s="173" t="str">
        <f t="shared" ca="1" si="23"/>
        <v>MDU Resources Group, Inc.</v>
      </c>
      <c r="BG29" s="173" t="str">
        <f t="shared" ca="1" si="23"/>
        <v>BBB+</v>
      </c>
      <c r="BH29" s="173">
        <f t="shared" ca="1" si="23"/>
        <v>19</v>
      </c>
      <c r="BI29" s="173" t="str">
        <f t="shared" ca="1" si="23"/>
        <v>MDU</v>
      </c>
    </row>
    <row r="30" spans="1:61" ht="13.8" x14ac:dyDescent="0.25">
      <c r="A30" s="223" t="s">
        <v>273</v>
      </c>
      <c r="B30" s="224" t="s">
        <v>140</v>
      </c>
      <c r="C30" s="224">
        <v>19</v>
      </c>
      <c r="D30" s="224" t="s">
        <v>274</v>
      </c>
      <c r="E30" s="225" t="str">
        <f t="shared" ca="1" si="9"/>
        <v>R</v>
      </c>
      <c r="F30" s="348"/>
      <c r="G30" s="349">
        <f t="shared" ca="1" si="1"/>
        <v>31</v>
      </c>
      <c r="H30" s="350"/>
      <c r="I30" s="237"/>
      <c r="J30" s="191"/>
      <c r="K30" s="237"/>
      <c r="N30" s="237"/>
      <c r="Q30" s="237"/>
      <c r="T30" s="237"/>
      <c r="W30" s="237"/>
      <c r="AF30" s="169">
        <f t="shared" ca="1" si="2"/>
        <v>1</v>
      </c>
      <c r="AG30" s="169" t="str">
        <f t="shared" ca="1" si="3"/>
        <v/>
      </c>
      <c r="AH30" s="169" t="str">
        <f t="shared" ca="1" si="19"/>
        <v/>
      </c>
      <c r="AJ30" s="169">
        <f t="shared" ca="1" si="20"/>
        <v>30</v>
      </c>
      <c r="AK30" s="169" t="str">
        <f t="shared" ca="1" si="21"/>
        <v>BBB+</v>
      </c>
      <c r="AL30" s="169">
        <f t="shared" ca="1" si="21"/>
        <v>19</v>
      </c>
      <c r="AM30" s="169" t="str">
        <f t="shared" ca="1" si="4"/>
        <v/>
      </c>
      <c r="AQ30" s="207" t="s">
        <v>283</v>
      </c>
      <c r="AR30" s="207" t="s">
        <v>141</v>
      </c>
      <c r="AS30" s="207">
        <v>18</v>
      </c>
      <c r="AT30" s="207" t="s">
        <v>284</v>
      </c>
      <c r="AV30" s="168">
        <f t="shared" ca="1" si="5"/>
        <v>30</v>
      </c>
      <c r="AW30" s="168">
        <f ca="1">COUNTIF( AV$7:AV30, AV30 )</f>
        <v>4</v>
      </c>
      <c r="AX30" s="208">
        <f t="shared" ca="1" si="22"/>
        <v>30.4</v>
      </c>
      <c r="AY30" s="168">
        <f t="shared" ca="1" si="6"/>
        <v>33</v>
      </c>
      <c r="AZ30" s="169"/>
      <c r="BA30" s="169"/>
      <c r="BC30" s="168">
        <f t="shared" ca="1" si="24"/>
        <v>24</v>
      </c>
      <c r="BD30" s="209">
        <f t="shared" ca="1" si="8"/>
        <v>28</v>
      </c>
      <c r="BF30" s="173" t="str">
        <f t="shared" ca="1" si="23"/>
        <v>NiSource Inc.</v>
      </c>
      <c r="BG30" s="173" t="str">
        <f t="shared" ca="1" si="23"/>
        <v>BBB+</v>
      </c>
      <c r="BH30" s="173">
        <f t="shared" ca="1" si="23"/>
        <v>19</v>
      </c>
      <c r="BI30" s="173" t="str">
        <f t="shared" ca="1" si="23"/>
        <v>NI</v>
      </c>
    </row>
    <row r="31" spans="1:61" ht="13.8" x14ac:dyDescent="0.25">
      <c r="A31" s="223" t="s">
        <v>277</v>
      </c>
      <c r="B31" s="224" t="s">
        <v>140</v>
      </c>
      <c r="C31" s="224">
        <v>19</v>
      </c>
      <c r="D31" s="224" t="s">
        <v>278</v>
      </c>
      <c r="E31" s="225" t="str">
        <f t="shared" ca="1" si="9"/>
        <v>R</v>
      </c>
      <c r="F31" s="348"/>
      <c r="G31" s="349">
        <f t="shared" ca="1" si="1"/>
        <v>33</v>
      </c>
      <c r="H31" s="350"/>
      <c r="I31" s="237"/>
      <c r="J31" s="191"/>
      <c r="K31" s="237"/>
      <c r="N31" s="237"/>
      <c r="O31" s="351"/>
      <c r="Q31" s="237"/>
      <c r="T31" s="237"/>
      <c r="W31" s="237"/>
      <c r="AF31" s="169">
        <f t="shared" ca="1" si="2"/>
        <v>1</v>
      </c>
      <c r="AG31" s="169" t="str">
        <f t="shared" ca="1" si="3"/>
        <v/>
      </c>
      <c r="AH31" s="169" t="str">
        <f t="shared" ca="1" si="19"/>
        <v/>
      </c>
      <c r="AJ31" s="169">
        <f t="shared" ca="1" si="20"/>
        <v>31</v>
      </c>
      <c r="AK31" s="169" t="str">
        <f t="shared" ca="1" si="21"/>
        <v>BBB+</v>
      </c>
      <c r="AL31" s="169">
        <f t="shared" ca="1" si="21"/>
        <v>19</v>
      </c>
      <c r="AM31" s="169" t="str">
        <f t="shared" ca="1" si="4"/>
        <v/>
      </c>
      <c r="AQ31" s="207" t="s">
        <v>287</v>
      </c>
      <c r="AR31" s="207" t="s">
        <v>141</v>
      </c>
      <c r="AS31" s="207">
        <v>18</v>
      </c>
      <c r="AT31" s="207" t="s">
        <v>288</v>
      </c>
      <c r="AV31" s="168">
        <f t="shared" ca="1" si="5"/>
        <v>30</v>
      </c>
      <c r="AW31" s="168">
        <f ca="1">COUNTIF( AV$7:AV31, AV31 )</f>
        <v>5</v>
      </c>
      <c r="AX31" s="208">
        <f t="shared" ca="1" si="22"/>
        <v>30.5</v>
      </c>
      <c r="AY31" s="168">
        <f t="shared" ca="1" si="6"/>
        <v>34</v>
      </c>
      <c r="AZ31" s="169"/>
      <c r="BA31" s="169"/>
      <c r="BC31" s="168">
        <f t="shared" ca="1" si="24"/>
        <v>25</v>
      </c>
      <c r="BD31" s="209">
        <f t="shared" ca="1" si="8"/>
        <v>30</v>
      </c>
      <c r="BF31" s="173" t="str">
        <f t="shared" ca="1" si="23"/>
        <v>OGE Energy Corp.</v>
      </c>
      <c r="BG31" s="173" t="str">
        <f t="shared" ca="1" si="23"/>
        <v>BBB+</v>
      </c>
      <c r="BH31" s="173">
        <f t="shared" ca="1" si="23"/>
        <v>19</v>
      </c>
      <c r="BI31" s="173" t="str">
        <f t="shared" ca="1" si="23"/>
        <v>OGE</v>
      </c>
    </row>
    <row r="32" spans="1:61" ht="13.8" x14ac:dyDescent="0.25">
      <c r="A32" s="223" t="s">
        <v>285</v>
      </c>
      <c r="B32" s="224" t="s">
        <v>140</v>
      </c>
      <c r="C32" s="224">
        <v>19</v>
      </c>
      <c r="D32" s="224" t="s">
        <v>286</v>
      </c>
      <c r="E32" s="225" t="str">
        <f t="shared" ca="1" si="9"/>
        <v>R</v>
      </c>
      <c r="F32" s="348"/>
      <c r="G32" s="349">
        <f t="shared" ca="1" si="1"/>
        <v>38</v>
      </c>
      <c r="H32" s="350"/>
      <c r="I32" s="237"/>
      <c r="J32" s="191"/>
      <c r="K32" s="237"/>
      <c r="N32" s="237"/>
      <c r="Q32" s="237"/>
      <c r="T32" s="237"/>
      <c r="W32" s="237"/>
      <c r="AF32" s="169">
        <f t="shared" ca="1" si="2"/>
        <v>1</v>
      </c>
      <c r="AG32" s="169" t="str">
        <f t="shared" ca="1" si="3"/>
        <v/>
      </c>
      <c r="AH32" s="169" t="str">
        <f t="shared" ca="1" si="19"/>
        <v/>
      </c>
      <c r="AJ32" s="169">
        <f t="shared" ca="1" si="20"/>
        <v>32</v>
      </c>
      <c r="AK32" s="169" t="str">
        <f t="shared" ca="1" si="21"/>
        <v>BBB+</v>
      </c>
      <c r="AL32" s="169">
        <f t="shared" ca="1" si="21"/>
        <v>19</v>
      </c>
      <c r="AM32" s="169" t="str">
        <f t="shared" ca="1" si="4"/>
        <v/>
      </c>
      <c r="AQ32" s="207" t="s">
        <v>271</v>
      </c>
      <c r="AR32" s="207" t="s">
        <v>140</v>
      </c>
      <c r="AS32" s="207">
        <v>19</v>
      </c>
      <c r="AT32" s="207" t="s">
        <v>272</v>
      </c>
      <c r="AV32" s="168">
        <f t="shared" ca="1" si="5"/>
        <v>13</v>
      </c>
      <c r="AW32" s="168">
        <f ca="1">COUNTIF( AV$7:AV32, AV32 )</f>
        <v>11</v>
      </c>
      <c r="AX32" s="208">
        <f t="shared" ca="1" si="22"/>
        <v>14.1</v>
      </c>
      <c r="AY32" s="168">
        <f t="shared" ca="1" si="6"/>
        <v>23</v>
      </c>
      <c r="AZ32" s="169"/>
      <c r="BA32" s="169"/>
      <c r="BC32" s="168">
        <f t="shared" ca="1" si="24"/>
        <v>26</v>
      </c>
      <c r="BD32" s="209">
        <f t="shared" ca="1" si="8"/>
        <v>35</v>
      </c>
      <c r="BF32" s="173" t="str">
        <f t="shared" ca="1" si="23"/>
        <v>Portland General Electric Company</v>
      </c>
      <c r="BG32" s="173" t="str">
        <f t="shared" ca="1" si="23"/>
        <v>BBB+</v>
      </c>
      <c r="BH32" s="173">
        <f t="shared" ca="1" si="23"/>
        <v>19</v>
      </c>
      <c r="BI32" s="173" t="str">
        <f t="shared" ca="1" si="23"/>
        <v>POR</v>
      </c>
    </row>
    <row r="33" spans="1:61" ht="13.8" x14ac:dyDescent="0.25">
      <c r="A33" s="223" t="s">
        <v>289</v>
      </c>
      <c r="B33" s="224" t="s">
        <v>140</v>
      </c>
      <c r="C33" s="224">
        <v>19</v>
      </c>
      <c r="D33" s="224" t="s">
        <v>290</v>
      </c>
      <c r="E33" s="225" t="str">
        <f t="shared" ca="1" si="9"/>
        <v>MR</v>
      </c>
      <c r="F33" s="348"/>
      <c r="G33" s="349">
        <f t="shared" ca="1" si="1"/>
        <v>40</v>
      </c>
      <c r="H33" s="350"/>
      <c r="I33" s="237"/>
      <c r="J33" s="191"/>
      <c r="K33" s="237"/>
      <c r="N33" s="237"/>
      <c r="Q33" s="237"/>
      <c r="T33" s="237"/>
      <c r="W33" s="237"/>
      <c r="AF33" s="169">
        <f t="shared" ca="1" si="2"/>
        <v>1</v>
      </c>
      <c r="AG33" s="169" t="str">
        <f t="shared" ca="1" si="3"/>
        <v/>
      </c>
      <c r="AH33" s="169" t="str">
        <f t="shared" ca="1" si="19"/>
        <v/>
      </c>
      <c r="AJ33" s="169">
        <f t="shared" ca="1" si="20"/>
        <v>33</v>
      </c>
      <c r="AK33" s="169" t="str">
        <f t="shared" ca="1" si="21"/>
        <v>BBB+</v>
      </c>
      <c r="AL33" s="169">
        <f t="shared" ca="1" si="21"/>
        <v>19</v>
      </c>
      <c r="AM33" s="169" t="str">
        <f t="shared" ca="1" si="4"/>
        <v/>
      </c>
      <c r="AQ33" s="207" t="s">
        <v>240</v>
      </c>
      <c r="AR33" s="207" t="s">
        <v>139</v>
      </c>
      <c r="AS33" s="207">
        <v>20</v>
      </c>
      <c r="AT33" s="207" t="s">
        <v>241</v>
      </c>
      <c r="AV33" s="168">
        <f t="shared" ca="1" si="5"/>
        <v>2</v>
      </c>
      <c r="AW33" s="168">
        <f ca="1">COUNTIF( AV$7:AV33, AV33 )</f>
        <v>6</v>
      </c>
      <c r="AX33" s="208">
        <f t="shared" ca="1" si="22"/>
        <v>2.6</v>
      </c>
      <c r="AY33" s="168">
        <f t="shared" ca="1" si="6"/>
        <v>7</v>
      </c>
      <c r="AZ33" s="169"/>
      <c r="BA33" s="169"/>
      <c r="BC33" s="168">
        <f t="shared" ca="1" si="24"/>
        <v>27</v>
      </c>
      <c r="BD33" s="209">
        <f t="shared" ca="1" si="8"/>
        <v>37</v>
      </c>
      <c r="BF33" s="173" t="str">
        <f t="shared" ca="1" si="23"/>
        <v>Public Service Enterprise Group Incorporated</v>
      </c>
      <c r="BG33" s="173" t="str">
        <f t="shared" ca="1" si="23"/>
        <v>BBB+</v>
      </c>
      <c r="BH33" s="173">
        <f t="shared" ca="1" si="23"/>
        <v>19</v>
      </c>
      <c r="BI33" s="173" t="str">
        <f t="shared" ca="1" si="23"/>
        <v>PEG</v>
      </c>
    </row>
    <row r="34" spans="1:61" ht="13.8" x14ac:dyDescent="0.25">
      <c r="A34" s="223" t="s">
        <v>291</v>
      </c>
      <c r="B34" s="224" t="s">
        <v>140</v>
      </c>
      <c r="C34" s="224">
        <v>19</v>
      </c>
      <c r="D34" s="224" t="s">
        <v>292</v>
      </c>
      <c r="E34" s="225" t="str">
        <f t="shared" ca="1" si="9"/>
        <v>R</v>
      </c>
      <c r="F34" s="348"/>
      <c r="G34" s="349">
        <f t="shared" ca="1" si="1"/>
        <v>41</v>
      </c>
      <c r="H34" s="350"/>
      <c r="I34" s="237"/>
      <c r="J34" s="191"/>
      <c r="K34" s="237"/>
      <c r="N34" s="237"/>
      <c r="Q34" s="237"/>
      <c r="T34" s="237"/>
      <c r="W34" s="237"/>
      <c r="AF34" s="169">
        <f t="shared" ca="1" si="2"/>
        <v>1</v>
      </c>
      <c r="AG34" s="169" t="str">
        <f t="shared" ca="1" si="3"/>
        <v/>
      </c>
      <c r="AH34" s="169" t="str">
        <f t="shared" ca="1" si="19"/>
        <v/>
      </c>
      <c r="AJ34" s="169">
        <f t="shared" ca="1" si="20"/>
        <v>34</v>
      </c>
      <c r="AK34" s="169" t="str">
        <f t="shared" ca="1" si="21"/>
        <v>BBB+</v>
      </c>
      <c r="AL34" s="169">
        <f t="shared" ca="1" si="21"/>
        <v>19</v>
      </c>
      <c r="AM34" s="169" t="str">
        <f t="shared" ca="1" si="4"/>
        <v/>
      </c>
      <c r="AQ34" s="207" t="s">
        <v>273</v>
      </c>
      <c r="AR34" s="207" t="s">
        <v>140</v>
      </c>
      <c r="AS34" s="207">
        <v>19</v>
      </c>
      <c r="AT34" s="207" t="s">
        <v>274</v>
      </c>
      <c r="AV34" s="168">
        <f t="shared" ca="1" si="5"/>
        <v>13</v>
      </c>
      <c r="AW34" s="168">
        <f ca="1">COUNTIF( AV$7:AV34, AV34 )</f>
        <v>12</v>
      </c>
      <c r="AX34" s="208">
        <f t="shared" ca="1" si="22"/>
        <v>14.2</v>
      </c>
      <c r="AY34" s="168">
        <f t="shared" ca="1" si="6"/>
        <v>24</v>
      </c>
      <c r="AZ34" s="169"/>
      <c r="BA34" s="169"/>
      <c r="BC34" s="168">
        <f t="shared" ca="1" si="24"/>
        <v>28</v>
      </c>
      <c r="BD34" s="209">
        <f t="shared" ca="1" si="8"/>
        <v>39</v>
      </c>
      <c r="BF34" s="173" t="str">
        <f t="shared" ca="1" si="23"/>
        <v>Sempra Energy</v>
      </c>
      <c r="BG34" s="173" t="str">
        <f t="shared" ca="1" si="23"/>
        <v>BBB+</v>
      </c>
      <c r="BH34" s="173">
        <f t="shared" ca="1" si="23"/>
        <v>19</v>
      </c>
      <c r="BI34" s="173" t="str">
        <f t="shared" ca="1" si="23"/>
        <v>SRE</v>
      </c>
    </row>
    <row r="35" spans="1:61" ht="13.8" x14ac:dyDescent="0.25">
      <c r="A35" s="223" t="s">
        <v>295</v>
      </c>
      <c r="B35" s="224" t="s">
        <v>140</v>
      </c>
      <c r="C35" s="224">
        <v>19</v>
      </c>
      <c r="D35" s="224" t="s">
        <v>296</v>
      </c>
      <c r="E35" s="225" t="str">
        <f t="shared" ca="1" si="9"/>
        <v>R</v>
      </c>
      <c r="F35" s="348"/>
      <c r="G35" s="349">
        <f t="shared" ca="1" si="1"/>
        <v>43</v>
      </c>
      <c r="H35" s="350"/>
      <c r="I35" s="237"/>
      <c r="K35" s="237"/>
      <c r="N35" s="237"/>
      <c r="Q35" s="237"/>
      <c r="T35" s="237"/>
      <c r="W35" s="237"/>
      <c r="AF35" s="169">
        <f t="shared" ca="1" si="2"/>
        <v>1</v>
      </c>
      <c r="AG35" s="169" t="str">
        <f t="shared" ca="1" si="3"/>
        <v/>
      </c>
      <c r="AH35" s="169" t="str">
        <f t="shared" ca="1" si="19"/>
        <v/>
      </c>
      <c r="AJ35" s="169">
        <f t="shared" ca="1" si="20"/>
        <v>35</v>
      </c>
      <c r="AK35" s="169" t="str">
        <f t="shared" ca="1" si="21"/>
        <v>BBB+</v>
      </c>
      <c r="AL35" s="169">
        <f t="shared" ca="1" si="21"/>
        <v>19</v>
      </c>
      <c r="AM35" s="169" t="str">
        <f t="shared" ca="1" si="4"/>
        <v/>
      </c>
      <c r="AQ35" s="207" t="s">
        <v>297</v>
      </c>
      <c r="AR35" s="207" t="s">
        <v>141</v>
      </c>
      <c r="AS35" s="207">
        <v>18</v>
      </c>
      <c r="AT35" s="207" t="s">
        <v>298</v>
      </c>
      <c r="AV35" s="168">
        <f t="shared" ca="1" si="5"/>
        <v>30</v>
      </c>
      <c r="AW35" s="168">
        <f ca="1">COUNTIF( AV$7:AV35, AV35 )</f>
        <v>6</v>
      </c>
      <c r="AX35" s="208">
        <f t="shared" ca="1" si="22"/>
        <v>30.6</v>
      </c>
      <c r="AY35" s="168">
        <f t="shared" ca="1" si="6"/>
        <v>35</v>
      </c>
      <c r="AZ35" s="169"/>
      <c r="BA35" s="169"/>
      <c r="BC35" s="168">
        <f t="shared" ca="1" si="24"/>
        <v>29</v>
      </c>
      <c r="BD35" s="209">
        <f t="shared" ca="1" si="8"/>
        <v>41</v>
      </c>
      <c r="BF35" s="173" t="str">
        <f t="shared" ca="1" si="23"/>
        <v>Unitil Corporation</v>
      </c>
      <c r="BG35" s="173" t="str">
        <f t="shared" ca="1" si="23"/>
        <v>BBB+</v>
      </c>
      <c r="BH35" s="173">
        <f t="shared" ca="1" si="23"/>
        <v>19</v>
      </c>
      <c r="BI35" s="173" t="str">
        <f t="shared" ca="1" si="23"/>
        <v>UTL</v>
      </c>
    </row>
    <row r="36" spans="1:61" ht="13.8" x14ac:dyDescent="0.25">
      <c r="A36" s="223" t="s">
        <v>217</v>
      </c>
      <c r="B36" s="224" t="s">
        <v>141</v>
      </c>
      <c r="C36" s="224">
        <v>18</v>
      </c>
      <c r="D36" s="224" t="s">
        <v>218</v>
      </c>
      <c r="E36" s="225" t="str">
        <f t="shared" ca="1" si="9"/>
        <v>MR</v>
      </c>
      <c r="F36" s="348"/>
      <c r="G36" s="349">
        <f t="shared" ca="1" si="1"/>
        <v>7</v>
      </c>
      <c r="H36" s="350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ca="1" si="2"/>
        <v>0</v>
      </c>
      <c r="AG36" s="169" t="str">
        <f t="shared" ca="1" si="3"/>
        <v/>
      </c>
      <c r="AH36" s="169" t="str">
        <f t="shared" ca="1" si="19"/>
        <v/>
      </c>
      <c r="AJ36" s="169">
        <f t="shared" ca="1" si="20"/>
        <v>36</v>
      </c>
      <c r="AK36" s="169" t="str">
        <f t="shared" ca="1" si="21"/>
        <v>BBB</v>
      </c>
      <c r="AL36" s="169">
        <f t="shared" ca="1" si="21"/>
        <v>18</v>
      </c>
      <c r="AM36" s="169" t="str">
        <f t="shared" ca="1" si="4"/>
        <v/>
      </c>
      <c r="AQ36" s="207" t="s">
        <v>277</v>
      </c>
      <c r="AR36" s="207" t="s">
        <v>140</v>
      </c>
      <c r="AS36" s="207">
        <v>19</v>
      </c>
      <c r="AT36" s="207" t="s">
        <v>278</v>
      </c>
      <c r="AV36" s="168">
        <f t="shared" ca="1" si="5"/>
        <v>13</v>
      </c>
      <c r="AW36" s="168">
        <f ca="1">COUNTIF( AV$7:AV36, AV36 )</f>
        <v>13</v>
      </c>
      <c r="AX36" s="208">
        <f t="shared" ca="1" si="22"/>
        <v>14.3</v>
      </c>
      <c r="AY36" s="168">
        <f t="shared" ca="1" si="6"/>
        <v>25</v>
      </c>
      <c r="AZ36" s="169"/>
      <c r="BA36" s="169"/>
      <c r="BC36" s="168">
        <f t="shared" ca="1" si="24"/>
        <v>30</v>
      </c>
      <c r="BD36" s="209">
        <f t="shared" ca="1" si="8"/>
        <v>1</v>
      </c>
      <c r="BF36" s="173" t="str">
        <f t="shared" ca="1" si="23"/>
        <v>ALLETE, Inc.</v>
      </c>
      <c r="BG36" s="173" t="str">
        <f t="shared" ca="1" si="23"/>
        <v>BBB</v>
      </c>
      <c r="BH36" s="173">
        <f t="shared" ca="1" si="23"/>
        <v>18</v>
      </c>
      <c r="BI36" s="173" t="str">
        <f t="shared" ca="1" si="23"/>
        <v>ALE</v>
      </c>
    </row>
    <row r="37" spans="1:61" ht="13.8" x14ac:dyDescent="0.25">
      <c r="A37" s="223" t="s">
        <v>238</v>
      </c>
      <c r="B37" s="224" t="s">
        <v>141</v>
      </c>
      <c r="C37" s="224">
        <v>18</v>
      </c>
      <c r="D37" s="224" t="s">
        <v>239</v>
      </c>
      <c r="E37" s="225" t="str">
        <f t="shared" ca="1" si="9"/>
        <v>R</v>
      </c>
      <c r="F37" s="348"/>
      <c r="G37" s="349">
        <f t="shared" ca="1" si="1"/>
        <v>12</v>
      </c>
      <c r="H37" s="350"/>
      <c r="I37" s="237"/>
      <c r="K37" s="237"/>
      <c r="L37" s="173"/>
      <c r="N37" s="237"/>
      <c r="Q37" s="237"/>
      <c r="T37" s="237"/>
      <c r="W37" s="237"/>
      <c r="AF37" s="169">
        <f t="shared" ca="1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20"/>
        <v>37</v>
      </c>
      <c r="AK37" s="169" t="str">
        <f t="shared" ca="1" si="21"/>
        <v>BBB</v>
      </c>
      <c r="AL37" s="169">
        <f t="shared" ca="1" si="21"/>
        <v>18</v>
      </c>
      <c r="AM37" s="169" t="str">
        <f t="shared" ca="1" si="4"/>
        <v/>
      </c>
      <c r="AQ37" s="207" t="s">
        <v>299</v>
      </c>
      <c r="AR37" s="207" t="s">
        <v>141</v>
      </c>
      <c r="AS37" s="207">
        <v>18</v>
      </c>
      <c r="AT37" s="207" t="s">
        <v>300</v>
      </c>
      <c r="AV37" s="168">
        <f t="shared" ca="1" si="5"/>
        <v>30</v>
      </c>
      <c r="AW37" s="168">
        <f ca="1">COUNTIF( AV$7:AV37, AV37 )</f>
        <v>7</v>
      </c>
      <c r="AX37" s="208">
        <f t="shared" ca="1" si="22"/>
        <v>30.7</v>
      </c>
      <c r="AY37" s="168">
        <f t="shared" ca="1" si="6"/>
        <v>36</v>
      </c>
      <c r="AZ37" s="169"/>
      <c r="BA37" s="169"/>
      <c r="BC37" s="168">
        <f t="shared" ca="1" si="24"/>
        <v>31</v>
      </c>
      <c r="BD37" s="209">
        <f t="shared" ca="1" si="8"/>
        <v>6</v>
      </c>
      <c r="BF37" s="173" t="str">
        <f t="shared" ca="1" si="23"/>
        <v>Avista Corporation</v>
      </c>
      <c r="BG37" s="173" t="str">
        <f t="shared" ca="1" si="23"/>
        <v>BBB</v>
      </c>
      <c r="BH37" s="173">
        <f t="shared" ca="1" si="23"/>
        <v>18</v>
      </c>
      <c r="BI37" s="173" t="str">
        <f t="shared" ca="1" si="23"/>
        <v>AVA</v>
      </c>
    </row>
    <row r="38" spans="1:61" ht="13.2" customHeight="1" x14ac:dyDescent="0.25">
      <c r="A38" s="223" t="s">
        <v>265</v>
      </c>
      <c r="B38" s="224" t="s">
        <v>141</v>
      </c>
      <c r="C38" s="224">
        <v>18</v>
      </c>
      <c r="D38" s="224" t="s">
        <v>266</v>
      </c>
      <c r="E38" s="225" t="str">
        <f t="shared" ca="1" si="9"/>
        <v>R</v>
      </c>
      <c r="F38" s="348"/>
      <c r="G38" s="349">
        <f t="shared" ca="1" si="1"/>
        <v>20</v>
      </c>
      <c r="H38" s="350"/>
      <c r="I38" s="237"/>
      <c r="J38" s="191"/>
      <c r="K38" s="237"/>
      <c r="L38" s="173"/>
      <c r="N38" s="237"/>
      <c r="Q38" s="237"/>
      <c r="T38" s="237"/>
      <c r="W38" s="237"/>
      <c r="AF38" s="169">
        <f t="shared" ca="1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20"/>
        <v>38</v>
      </c>
      <c r="AK38" s="169" t="str">
        <f t="shared" ca="1" si="21"/>
        <v>BBB</v>
      </c>
      <c r="AL38" s="169">
        <f t="shared" ca="1" si="21"/>
        <v>18</v>
      </c>
      <c r="AM38" s="169" t="str">
        <f t="shared" ca="1" si="4"/>
        <v/>
      </c>
      <c r="AQ38" s="207" t="s">
        <v>301</v>
      </c>
      <c r="AR38" s="207" t="s">
        <v>177</v>
      </c>
      <c r="AS38" s="207">
        <v>14</v>
      </c>
      <c r="AT38" s="207" t="s">
        <v>302</v>
      </c>
      <c r="AV38" s="168">
        <f t="shared" ca="1" si="5"/>
        <v>43</v>
      </c>
      <c r="AW38" s="168">
        <f ca="1">COUNTIF( AV$7:AV38, AV38 )</f>
        <v>1</v>
      </c>
      <c r="AX38" s="208">
        <f t="shared" ca="1" si="22"/>
        <v>43.1</v>
      </c>
      <c r="AY38" s="168">
        <f t="shared" ca="1" si="6"/>
        <v>43</v>
      </c>
      <c r="AZ38" s="169"/>
      <c r="BA38" s="169"/>
      <c r="BC38" s="168">
        <f t="shared" ca="1" si="24"/>
        <v>32</v>
      </c>
      <c r="BD38" s="209">
        <f t="shared" ca="1" si="8"/>
        <v>17</v>
      </c>
      <c r="BF38" s="173" t="str">
        <f t="shared" ca="1" si="23"/>
        <v>Edison International</v>
      </c>
      <c r="BG38" s="173" t="str">
        <f t="shared" ca="1" si="23"/>
        <v>BBB</v>
      </c>
      <c r="BH38" s="173">
        <f t="shared" ca="1" si="23"/>
        <v>18</v>
      </c>
      <c r="BI38" s="173" t="str">
        <f t="shared" ca="1" si="23"/>
        <v>EIX</v>
      </c>
    </row>
    <row r="39" spans="1:61" ht="13.8" x14ac:dyDescent="0.25">
      <c r="A39" s="223" t="s">
        <v>283</v>
      </c>
      <c r="B39" s="224" t="s">
        <v>141</v>
      </c>
      <c r="C39" s="224">
        <v>18</v>
      </c>
      <c r="D39" s="224" t="s">
        <v>284</v>
      </c>
      <c r="E39" s="225" t="str">
        <f t="shared" ca="1" si="9"/>
        <v>R</v>
      </c>
      <c r="F39" s="348"/>
      <c r="G39" s="349">
        <f t="shared" ca="1" si="1"/>
        <v>27</v>
      </c>
      <c r="H39" s="350"/>
      <c r="I39" s="237"/>
      <c r="K39" s="237"/>
      <c r="L39" s="173"/>
      <c r="N39" s="237"/>
      <c r="Q39" s="237"/>
      <c r="T39" s="237"/>
      <c r="W39" s="237"/>
      <c r="AF39" s="169">
        <f t="shared" ca="1" si="2"/>
        <v>0</v>
      </c>
      <c r="AG39" s="169" t="str">
        <f t="shared" ca="1" si="3"/>
        <v/>
      </c>
      <c r="AH39" s="169" t="str">
        <f t="shared" ca="1" si="19"/>
        <v/>
      </c>
      <c r="AJ39" s="169">
        <f t="shared" ca="1" si="20"/>
        <v>39</v>
      </c>
      <c r="AK39" s="169" t="str">
        <f t="shared" ca="1" si="21"/>
        <v>BBB</v>
      </c>
      <c r="AL39" s="169">
        <f t="shared" ca="1" si="21"/>
        <v>18</v>
      </c>
      <c r="AM39" s="169" t="str">
        <f t="shared" ca="1" si="4"/>
        <v/>
      </c>
      <c r="AQ39" s="207" t="s">
        <v>281</v>
      </c>
      <c r="AR39" s="207" t="s">
        <v>139</v>
      </c>
      <c r="AS39" s="207">
        <v>20</v>
      </c>
      <c r="AT39" s="207" t="s">
        <v>282</v>
      </c>
      <c r="AV39" s="168">
        <f t="shared" ca="1" si="5"/>
        <v>2</v>
      </c>
      <c r="AW39" s="168">
        <f ca="1">COUNTIF( AV$7:AV39, AV39 )</f>
        <v>7</v>
      </c>
      <c r="AX39" s="208">
        <f t="shared" ca="1" si="22"/>
        <v>2.7</v>
      </c>
      <c r="AY39" s="168">
        <f t="shared" ca="1" si="6"/>
        <v>8</v>
      </c>
      <c r="AZ39" s="169"/>
      <c r="BA39" s="169"/>
      <c r="BC39" s="168">
        <f t="shared" ca="1" si="24"/>
        <v>33</v>
      </c>
      <c r="BD39" s="209">
        <f t="shared" ca="1" si="8"/>
        <v>24</v>
      </c>
      <c r="BF39" s="173" t="str">
        <f t="shared" ca="1" si="23"/>
        <v>IDACORP, Inc.</v>
      </c>
      <c r="BG39" s="173" t="str">
        <f t="shared" ca="1" si="23"/>
        <v>BBB</v>
      </c>
      <c r="BH39" s="173">
        <f t="shared" ca="1" si="23"/>
        <v>18</v>
      </c>
      <c r="BI39" s="173" t="str">
        <f t="shared" ca="1" si="23"/>
        <v>IDA</v>
      </c>
    </row>
    <row r="40" spans="1:61" ht="13.8" x14ac:dyDescent="0.25">
      <c r="A40" s="223" t="s">
        <v>287</v>
      </c>
      <c r="B40" s="224" t="s">
        <v>141</v>
      </c>
      <c r="C40" s="224">
        <v>18</v>
      </c>
      <c r="D40" s="224" t="s">
        <v>288</v>
      </c>
      <c r="E40" s="225" t="str">
        <f t="shared" ca="1" si="9"/>
        <v>R</v>
      </c>
      <c r="F40" s="348"/>
      <c r="G40" s="349">
        <f t="shared" ca="1" si="1"/>
        <v>55</v>
      </c>
      <c r="H40" s="350"/>
      <c r="I40" s="237"/>
      <c r="J40" s="191"/>
      <c r="K40" s="237"/>
      <c r="L40" s="173"/>
      <c r="N40" s="237"/>
      <c r="Q40" s="237"/>
      <c r="T40" s="237"/>
      <c r="W40" s="237"/>
      <c r="AF40" s="169">
        <f t="shared" ca="1" si="2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20"/>
        <v>40</v>
      </c>
      <c r="AK40" s="169" t="str">
        <f t="shared" ca="1" si="21"/>
        <v>BBB</v>
      </c>
      <c r="AL40" s="169">
        <f t="shared" ca="1" si="21"/>
        <v>18</v>
      </c>
      <c r="AM40" s="169" t="str">
        <f t="shared" ca="1" si="4"/>
        <v/>
      </c>
      <c r="AQ40" s="207" t="s">
        <v>303</v>
      </c>
      <c r="AR40" s="207" t="s">
        <v>141</v>
      </c>
      <c r="AS40" s="207">
        <v>18</v>
      </c>
      <c r="AT40" s="207" t="s">
        <v>304</v>
      </c>
      <c r="AV40" s="168">
        <f t="shared" ca="1" si="5"/>
        <v>30</v>
      </c>
      <c r="AW40" s="168">
        <f ca="1">COUNTIF( AV$7:AV40, AV40 )</f>
        <v>8</v>
      </c>
      <c r="AX40" s="208">
        <f t="shared" ca="1" si="22"/>
        <v>30.8</v>
      </c>
      <c r="AY40" s="168">
        <f t="shared" ca="1" si="6"/>
        <v>37</v>
      </c>
      <c r="AZ40" s="169"/>
      <c r="BA40" s="169"/>
      <c r="BC40" s="168">
        <f t="shared" ca="1" si="24"/>
        <v>34</v>
      </c>
      <c r="BD40" s="209">
        <f t="shared" ca="1" si="8"/>
        <v>25</v>
      </c>
      <c r="BF40" s="173" t="str">
        <f t="shared" ca="1" si="23"/>
        <v>IPALCO Enterprises, Inc.</v>
      </c>
      <c r="BG40" s="173" t="str">
        <f t="shared" ca="1" si="23"/>
        <v>BBB</v>
      </c>
      <c r="BH40" s="173">
        <f t="shared" ca="1" si="23"/>
        <v>18</v>
      </c>
      <c r="BI40" s="173" t="str">
        <f t="shared" ca="1" si="23"/>
        <v>**IPALCO</v>
      </c>
    </row>
    <row r="41" spans="1:61" ht="13.8" x14ac:dyDescent="0.25">
      <c r="A41" s="223" t="s">
        <v>297</v>
      </c>
      <c r="B41" s="224" t="s">
        <v>141</v>
      </c>
      <c r="C41" s="224">
        <v>18</v>
      </c>
      <c r="D41" s="224" t="s">
        <v>298</v>
      </c>
      <c r="E41" s="225" t="str">
        <f t="shared" ca="1" si="9"/>
        <v>R</v>
      </c>
      <c r="F41" s="348"/>
      <c r="G41" s="349">
        <f t="shared" ca="1" si="1"/>
        <v>32</v>
      </c>
      <c r="H41" s="350"/>
      <c r="I41" s="237"/>
      <c r="J41" s="191"/>
      <c r="K41" s="237"/>
      <c r="L41" s="173"/>
      <c r="N41" s="237"/>
      <c r="Q41" s="237"/>
      <c r="T41" s="237"/>
      <c r="W41" s="237"/>
      <c r="AF41" s="169">
        <f t="shared" ca="1" si="2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20"/>
        <v>41</v>
      </c>
      <c r="AK41" s="169" t="str">
        <f t="shared" ca="1" si="21"/>
        <v>BBB</v>
      </c>
      <c r="AL41" s="169">
        <f t="shared" ca="1" si="21"/>
        <v>18</v>
      </c>
      <c r="AM41" s="169" t="str">
        <f t="shared" ca="1" si="4"/>
        <v/>
      </c>
      <c r="AQ41" s="207" t="s">
        <v>285</v>
      </c>
      <c r="AR41" s="207" t="s">
        <v>140</v>
      </c>
      <c r="AS41" s="207">
        <v>19</v>
      </c>
      <c r="AT41" s="207" t="s">
        <v>286</v>
      </c>
      <c r="AV41" s="168">
        <f t="shared" ca="1" si="5"/>
        <v>13</v>
      </c>
      <c r="AW41" s="168">
        <f ca="1">COUNTIF( AV$7:AV41, AV41 )</f>
        <v>14</v>
      </c>
      <c r="AX41" s="208">
        <f t="shared" ca="1" si="22"/>
        <v>14.4</v>
      </c>
      <c r="AY41" s="168">
        <f t="shared" ca="1" si="6"/>
        <v>26</v>
      </c>
      <c r="AZ41" s="169"/>
      <c r="BA41" s="169"/>
      <c r="BC41" s="168">
        <f t="shared" ca="1" si="24"/>
        <v>35</v>
      </c>
      <c r="BD41" s="209">
        <f t="shared" ca="1" si="8"/>
        <v>29</v>
      </c>
      <c r="BF41" s="173" t="str">
        <f t="shared" ca="1" si="23"/>
        <v>NorthWestern Corporation</v>
      </c>
      <c r="BG41" s="173" t="str">
        <f t="shared" ca="1" si="23"/>
        <v>BBB</v>
      </c>
      <c r="BH41" s="173">
        <f t="shared" ca="1" si="23"/>
        <v>18</v>
      </c>
      <c r="BI41" s="173" t="str">
        <f t="shared" ca="1" si="23"/>
        <v>NWE</v>
      </c>
    </row>
    <row r="42" spans="1:61" ht="13.8" x14ac:dyDescent="0.25">
      <c r="A42" s="223" t="s">
        <v>299</v>
      </c>
      <c r="B42" s="224" t="s">
        <v>141</v>
      </c>
      <c r="C42" s="224">
        <v>18</v>
      </c>
      <c r="D42" s="224" t="s">
        <v>300</v>
      </c>
      <c r="E42" s="225" t="str">
        <f t="shared" ca="1" si="9"/>
        <v>R</v>
      </c>
      <c r="F42" s="348"/>
      <c r="G42" s="349">
        <f t="shared" ca="1" si="1"/>
        <v>34</v>
      </c>
      <c r="H42" s="350"/>
      <c r="I42" s="237"/>
      <c r="J42" s="191"/>
      <c r="K42" s="237"/>
      <c r="L42" s="173"/>
      <c r="N42" s="237"/>
      <c r="Q42" s="237"/>
      <c r="T42" s="237"/>
      <c r="W42" s="237"/>
      <c r="AF42" s="169">
        <f t="shared" ca="1" si="2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20"/>
        <v>42</v>
      </c>
      <c r="AK42" s="169" t="str">
        <f t="shared" ca="1" si="21"/>
        <v>BBB</v>
      </c>
      <c r="AL42" s="169">
        <f t="shared" ca="1" si="21"/>
        <v>18</v>
      </c>
      <c r="AM42" s="169" t="str">
        <f t="shared" ca="1" si="4"/>
        <v/>
      </c>
      <c r="AQ42" s="207" t="s">
        <v>243</v>
      </c>
      <c r="AR42" s="207" t="s">
        <v>139</v>
      </c>
      <c r="AS42" s="207">
        <v>20</v>
      </c>
      <c r="AT42" s="207" t="s">
        <v>244</v>
      </c>
      <c r="AV42" s="168">
        <f t="shared" ca="1" si="5"/>
        <v>2</v>
      </c>
      <c r="AW42" s="168">
        <f ca="1">COUNTIF( AV$7:AV42, AV42 )</f>
        <v>8</v>
      </c>
      <c r="AX42" s="208">
        <f t="shared" ca="1" si="22"/>
        <v>2.8</v>
      </c>
      <c r="AY42" s="168">
        <f t="shared" ca="1" si="6"/>
        <v>9</v>
      </c>
      <c r="AZ42" s="169"/>
      <c r="BA42" s="169"/>
      <c r="BC42" s="168">
        <f t="shared" ca="1" si="24"/>
        <v>36</v>
      </c>
      <c r="BD42" s="209">
        <f t="shared" ca="1" si="8"/>
        <v>31</v>
      </c>
      <c r="BF42" s="173" t="str">
        <f t="shared" ca="1" si="23"/>
        <v>Otter Tail Corporation</v>
      </c>
      <c r="BG42" s="173" t="str">
        <f t="shared" ca="1" si="23"/>
        <v>BBB</v>
      </c>
      <c r="BH42" s="173">
        <f t="shared" ca="1" si="23"/>
        <v>18</v>
      </c>
      <c r="BI42" s="173" t="str">
        <f t="shared" ca="1" si="23"/>
        <v>OTTR</v>
      </c>
    </row>
    <row r="43" spans="1:61" ht="13.8" x14ac:dyDescent="0.25">
      <c r="A43" s="223" t="s">
        <v>303</v>
      </c>
      <c r="B43" s="224" t="s">
        <v>141</v>
      </c>
      <c r="C43" s="224">
        <v>18</v>
      </c>
      <c r="D43" s="224" t="s">
        <v>304</v>
      </c>
      <c r="E43" s="225" t="str">
        <f t="shared" ca="1" si="9"/>
        <v>R</v>
      </c>
      <c r="F43" s="348"/>
      <c r="G43" s="349">
        <f t="shared" ca="1" si="1"/>
        <v>37</v>
      </c>
      <c r="H43" s="350"/>
      <c r="I43" s="237"/>
      <c r="J43" s="191"/>
      <c r="K43" s="237"/>
      <c r="N43" s="237"/>
      <c r="Q43" s="237"/>
      <c r="T43" s="237"/>
      <c r="W43" s="237"/>
      <c r="AF43" s="169">
        <f t="shared" ca="1" si="2"/>
        <v>0</v>
      </c>
      <c r="AG43" s="169" t="str">
        <f t="shared" ca="1" si="3"/>
        <v/>
      </c>
      <c r="AH43" s="169" t="str">
        <f t="shared" ca="1" si="19"/>
        <v/>
      </c>
      <c r="AJ43" s="169">
        <f t="shared" ca="1" si="20"/>
        <v>43</v>
      </c>
      <c r="AK43" s="169" t="str">
        <f t="shared" ca="1" si="21"/>
        <v>BBB</v>
      </c>
      <c r="AL43" s="169">
        <f t="shared" ca="1" si="21"/>
        <v>18</v>
      </c>
      <c r="AM43" s="169" t="str">
        <f t="shared" ca="1" si="4"/>
        <v/>
      </c>
      <c r="AQ43" s="207" t="s">
        <v>289</v>
      </c>
      <c r="AR43" s="207" t="s">
        <v>140</v>
      </c>
      <c r="AS43" s="207">
        <v>19</v>
      </c>
      <c r="AT43" s="207" t="s">
        <v>290</v>
      </c>
      <c r="AV43" s="168">
        <f t="shared" ca="1" si="5"/>
        <v>13</v>
      </c>
      <c r="AW43" s="168">
        <f ca="1">COUNTIF( AV$7:AV43, AV43 )</f>
        <v>15</v>
      </c>
      <c r="AX43" s="208">
        <f t="shared" ca="1" si="22"/>
        <v>14.5</v>
      </c>
      <c r="AY43" s="168">
        <f t="shared" ca="1" si="6"/>
        <v>27</v>
      </c>
      <c r="AZ43" s="169"/>
      <c r="BA43" s="169"/>
      <c r="BC43" s="168">
        <f t="shared" ca="1" si="24"/>
        <v>37</v>
      </c>
      <c r="BD43" s="209">
        <f t="shared" ca="1" si="8"/>
        <v>34</v>
      </c>
      <c r="BF43" s="173" t="str">
        <f t="shared" ca="1" si="23"/>
        <v>PNM Resources, Inc.</v>
      </c>
      <c r="BG43" s="173" t="str">
        <f t="shared" ca="1" si="23"/>
        <v>BBB</v>
      </c>
      <c r="BH43" s="173">
        <f t="shared" ca="1" si="23"/>
        <v>18</v>
      </c>
      <c r="BI43" s="173" t="str">
        <f t="shared" ca="1" si="23"/>
        <v>PNM</v>
      </c>
    </row>
    <row r="44" spans="1:61" ht="13.8" x14ac:dyDescent="0.25">
      <c r="A44" s="223" t="s">
        <v>254</v>
      </c>
      <c r="B44" s="224" t="s">
        <v>142</v>
      </c>
      <c r="C44" s="224">
        <v>17</v>
      </c>
      <c r="D44" s="224" t="s">
        <v>255</v>
      </c>
      <c r="E44" s="225" t="str">
        <f t="shared" ca="1" si="9"/>
        <v>R</v>
      </c>
      <c r="F44" s="348"/>
      <c r="G44" s="349">
        <f t="shared" ca="1" si="1"/>
        <v>53</v>
      </c>
      <c r="H44" s="350"/>
      <c r="I44" s="237"/>
      <c r="J44" s="191"/>
      <c r="K44" s="237"/>
      <c r="N44" s="237"/>
      <c r="Q44" s="237"/>
      <c r="T44" s="237"/>
      <c r="W44" s="237"/>
      <c r="AF44" s="169">
        <f t="shared" ca="1" si="2"/>
        <v>1</v>
      </c>
      <c r="AG44" s="169" t="str">
        <f t="shared" ca="1" si="3"/>
        <v/>
      </c>
      <c r="AH44" s="169" t="str">
        <f t="shared" ca="1" si="19"/>
        <v/>
      </c>
      <c r="AJ44" s="169">
        <f t="shared" ca="1" si="20"/>
        <v>44</v>
      </c>
      <c r="AK44" s="169" t="str">
        <f t="shared" ca="1" si="21"/>
        <v>BBB-</v>
      </c>
      <c r="AL44" s="169">
        <f t="shared" ca="1" si="21"/>
        <v>17</v>
      </c>
      <c r="AM44" s="169" t="str">
        <f t="shared" ca="1" si="4"/>
        <v/>
      </c>
      <c r="AQ44" s="207" t="s">
        <v>305</v>
      </c>
      <c r="AR44" s="207" t="s">
        <v>142</v>
      </c>
      <c r="AS44" s="207">
        <v>17</v>
      </c>
      <c r="AT44" s="207" t="s">
        <v>306</v>
      </c>
      <c r="AV44" s="168">
        <f t="shared" ca="1" si="5"/>
        <v>38</v>
      </c>
      <c r="AW44" s="168">
        <f ca="1">COUNTIF( AV$7:AV44, AV44 )</f>
        <v>3</v>
      </c>
      <c r="AX44" s="208">
        <f t="shared" ca="1" si="22"/>
        <v>38.299999999999997</v>
      </c>
      <c r="AY44" s="168">
        <f t="shared" ca="1" si="6"/>
        <v>40</v>
      </c>
      <c r="AZ44" s="169"/>
      <c r="BA44" s="169"/>
      <c r="BC44" s="168">
        <f t="shared" ca="1" si="24"/>
        <v>38</v>
      </c>
      <c r="BD44" s="209">
        <f t="shared" ca="1" si="8"/>
        <v>10</v>
      </c>
      <c r="BF44" s="173" t="str">
        <f t="shared" ca="1" si="23"/>
        <v>Cleco Corporation</v>
      </c>
      <c r="BG44" s="173" t="str">
        <f t="shared" ca="1" si="23"/>
        <v>BBB-</v>
      </c>
      <c r="BH44" s="173">
        <f t="shared" ca="1" si="23"/>
        <v>17</v>
      </c>
      <c r="BI44" s="173" t="str">
        <f t="shared" ca="1" si="23"/>
        <v>**CNL</v>
      </c>
    </row>
    <row r="45" spans="1:61" ht="13.8" x14ac:dyDescent="0.25">
      <c r="A45" s="223" t="s">
        <v>279</v>
      </c>
      <c r="B45" s="224" t="s">
        <v>142</v>
      </c>
      <c r="C45" s="224">
        <v>17</v>
      </c>
      <c r="D45" s="224" t="s">
        <v>280</v>
      </c>
      <c r="E45" s="225" t="str">
        <f t="shared" ca="1" si="9"/>
        <v>MR</v>
      </c>
      <c r="F45" s="348"/>
      <c r="G45" s="349">
        <f t="shared" ca="1" si="1"/>
        <v>26</v>
      </c>
      <c r="H45" s="350"/>
      <c r="I45" s="237"/>
      <c r="J45" s="191"/>
      <c r="K45" s="237"/>
      <c r="N45" s="237"/>
      <c r="Q45" s="237"/>
      <c r="T45" s="237"/>
      <c r="W45" s="237"/>
      <c r="AF45" s="169">
        <f t="shared" ca="1" si="2"/>
        <v>1</v>
      </c>
      <c r="AG45" s="169" t="str">
        <f t="shared" ca="1" si="3"/>
        <v/>
      </c>
      <c r="AH45" s="169" t="str">
        <f t="shared" ca="1" si="19"/>
        <v/>
      </c>
      <c r="AJ45" s="169">
        <f t="shared" ca="1" si="20"/>
        <v>45</v>
      </c>
      <c r="AK45" s="169" t="str">
        <f t="shared" ca="1" si="21"/>
        <v>BBB-</v>
      </c>
      <c r="AL45" s="169">
        <f t="shared" ca="1" si="21"/>
        <v>17</v>
      </c>
      <c r="AM45" s="169" t="str">
        <f t="shared" ca="1" si="4"/>
        <v/>
      </c>
      <c r="AQ45" s="207" t="s">
        <v>291</v>
      </c>
      <c r="AR45" s="207" t="s">
        <v>140</v>
      </c>
      <c r="AS45" s="207">
        <v>19</v>
      </c>
      <c r="AT45" s="207" t="s">
        <v>292</v>
      </c>
      <c r="AV45" s="168">
        <f t="shared" ca="1" si="5"/>
        <v>13</v>
      </c>
      <c r="AW45" s="168">
        <f ca="1">COUNTIF( AV$7:AV45, AV45 )</f>
        <v>16</v>
      </c>
      <c r="AX45" s="208">
        <f t="shared" ca="1" si="22"/>
        <v>14.6</v>
      </c>
      <c r="AY45" s="168">
        <f t="shared" ca="1" si="6"/>
        <v>28</v>
      </c>
      <c r="AZ45" s="169"/>
      <c r="BA45" s="169"/>
      <c r="BC45" s="168">
        <f t="shared" ca="1" si="24"/>
        <v>39</v>
      </c>
      <c r="BD45" s="209">
        <f t="shared" ca="1" si="8"/>
        <v>23</v>
      </c>
      <c r="BF45" s="173" t="str">
        <f t="shared" ca="1" si="23"/>
        <v>Hawaiian Electric Industries, Inc.</v>
      </c>
      <c r="BG45" s="173" t="str">
        <f t="shared" ca="1" si="23"/>
        <v>BBB-</v>
      </c>
      <c r="BH45" s="173">
        <f t="shared" ca="1" si="23"/>
        <v>17</v>
      </c>
      <c r="BI45" s="173" t="str">
        <f t="shared" ca="1" si="23"/>
        <v>HE</v>
      </c>
    </row>
    <row r="46" spans="1:61" ht="13.8" x14ac:dyDescent="0.25">
      <c r="A46" s="223" t="s">
        <v>305</v>
      </c>
      <c r="B46" s="224" t="s">
        <v>142</v>
      </c>
      <c r="C46" s="224">
        <v>17</v>
      </c>
      <c r="D46" s="224" t="s">
        <v>306</v>
      </c>
      <c r="E46" s="225" t="str">
        <f t="shared" ca="1" si="9"/>
        <v>R</v>
      </c>
      <c r="F46" s="348"/>
      <c r="G46" s="349">
        <f t="shared" ca="1" si="1"/>
        <v>57</v>
      </c>
      <c r="H46" s="350"/>
      <c r="I46" s="191"/>
      <c r="K46" s="191"/>
      <c r="N46" s="351"/>
      <c r="W46" s="191"/>
      <c r="AF46" s="169">
        <f t="shared" ca="1" si="2"/>
        <v>1</v>
      </c>
      <c r="AG46" s="169" t="str">
        <f t="shared" ca="1" si="3"/>
        <v/>
      </c>
      <c r="AH46" s="169" t="str">
        <f t="shared" ca="1" si="19"/>
        <v/>
      </c>
      <c r="AJ46" s="169">
        <f t="shared" ca="1" si="20"/>
        <v>46</v>
      </c>
      <c r="AK46" s="169" t="str">
        <f t="shared" ca="1" si="21"/>
        <v>BBB-</v>
      </c>
      <c r="AL46" s="169">
        <f t="shared" ca="1" si="21"/>
        <v>17</v>
      </c>
      <c r="AM46" s="169" t="str">
        <f t="shared" ca="1" si="4"/>
        <v/>
      </c>
      <c r="AQ46" s="207" t="s">
        <v>293</v>
      </c>
      <c r="AR46" s="207" t="s">
        <v>139</v>
      </c>
      <c r="AS46" s="207">
        <v>20</v>
      </c>
      <c r="AT46" s="207" t="s">
        <v>294</v>
      </c>
      <c r="AV46" s="168">
        <f t="shared" ca="1" si="5"/>
        <v>2</v>
      </c>
      <c r="AW46" s="168">
        <f ca="1">COUNTIF( AV$7:AV46, AV46 )</f>
        <v>9</v>
      </c>
      <c r="AX46" s="208">
        <f t="shared" ca="1" si="22"/>
        <v>2.9</v>
      </c>
      <c r="AY46" s="168">
        <f t="shared" ca="1" si="6"/>
        <v>10</v>
      </c>
      <c r="AZ46" s="169"/>
      <c r="BA46" s="169"/>
      <c r="BC46" s="168">
        <f t="shared" ca="1" si="24"/>
        <v>40</v>
      </c>
      <c r="BD46" s="209">
        <f t="shared" ca="1" si="8"/>
        <v>38</v>
      </c>
      <c r="BF46" s="173" t="str">
        <f t="shared" ca="1" si="23"/>
        <v>Puget Energy, Inc.</v>
      </c>
      <c r="BG46" s="173" t="str">
        <f t="shared" ca="1" si="23"/>
        <v>BBB-</v>
      </c>
      <c r="BH46" s="173">
        <f t="shared" ca="1" si="23"/>
        <v>17</v>
      </c>
      <c r="BI46" s="173" t="str">
        <f t="shared" ca="1" si="23"/>
        <v>**PSD</v>
      </c>
    </row>
    <row r="47" spans="1:61" ht="13.8" x14ac:dyDescent="0.25">
      <c r="A47" s="223" t="s">
        <v>259</v>
      </c>
      <c r="B47" s="224" t="s">
        <v>173</v>
      </c>
      <c r="C47" s="224">
        <v>16</v>
      </c>
      <c r="D47" s="224" t="s">
        <v>260</v>
      </c>
      <c r="E47" s="225" t="str">
        <f t="shared" ca="1" si="9"/>
        <v>R</v>
      </c>
      <c r="F47" s="348"/>
      <c r="G47" s="349">
        <f t="shared" ca="1" si="1"/>
        <v>54</v>
      </c>
      <c r="H47" s="350"/>
      <c r="I47" s="350"/>
      <c r="J47" s="187" t="s">
        <v>307</v>
      </c>
      <c r="K47" s="191"/>
      <c r="M47" s="351"/>
      <c r="N47" s="351"/>
      <c r="AF47" s="169">
        <f t="shared" ca="1" si="2"/>
        <v>0</v>
      </c>
      <c r="AG47" s="169" t="str">
        <f t="shared" ca="1" si="3"/>
        <v/>
      </c>
      <c r="AH47" s="169" t="str">
        <f t="shared" ca="1" si="19"/>
        <v/>
      </c>
      <c r="AJ47" s="169">
        <f t="shared" ca="1" si="20"/>
        <v>47</v>
      </c>
      <c r="AK47" s="169" t="str">
        <f t="shared" ca="1" si="21"/>
        <v>BB+</v>
      </c>
      <c r="AL47" s="169">
        <f t="shared" ca="1" si="21"/>
        <v>16</v>
      </c>
      <c r="AM47" s="169" t="str">
        <f t="shared" ca="1" si="4"/>
        <v/>
      </c>
      <c r="AQ47" s="207" t="s">
        <v>295</v>
      </c>
      <c r="AR47" s="207" t="s">
        <v>140</v>
      </c>
      <c r="AS47" s="207">
        <v>19</v>
      </c>
      <c r="AT47" s="207" t="s">
        <v>296</v>
      </c>
      <c r="AV47" s="168">
        <f t="shared" ca="1" si="5"/>
        <v>13</v>
      </c>
      <c r="AW47" s="168">
        <f ca="1">COUNTIF( AV$7:AV47, AV47 )</f>
        <v>17</v>
      </c>
      <c r="AX47" s="208">
        <f t="shared" ca="1" si="22"/>
        <v>14.7</v>
      </c>
      <c r="AY47" s="168">
        <f t="shared" ca="1" si="6"/>
        <v>29</v>
      </c>
      <c r="AZ47" s="169"/>
      <c r="BA47" s="169"/>
      <c r="BC47" s="168">
        <f t="shared" ca="1" si="24"/>
        <v>41</v>
      </c>
      <c r="BD47" s="209">
        <f t="shared" ca="1" si="8"/>
        <v>14</v>
      </c>
      <c r="BF47" s="173" t="str">
        <f t="shared" ca="1" si="23"/>
        <v>DPL Inc.</v>
      </c>
      <c r="BG47" s="173" t="str">
        <f t="shared" ca="1" si="23"/>
        <v>BB+</v>
      </c>
      <c r="BH47" s="173">
        <f t="shared" ca="1" si="23"/>
        <v>16</v>
      </c>
      <c r="BI47" s="173" t="str">
        <f t="shared" ca="1" si="23"/>
        <v>**DPL</v>
      </c>
    </row>
    <row r="48" spans="1:61" ht="13.8" x14ac:dyDescent="0.25">
      <c r="A48" s="223" t="s">
        <v>275</v>
      </c>
      <c r="B48" s="224" t="s">
        <v>175</v>
      </c>
      <c r="C48" s="224">
        <v>15</v>
      </c>
      <c r="D48" s="224" t="s">
        <v>276</v>
      </c>
      <c r="E48" s="225" t="str">
        <f t="shared" ca="1" si="9"/>
        <v>R</v>
      </c>
      <c r="F48" s="348"/>
      <c r="G48" s="349">
        <f t="shared" ca="1" si="1"/>
        <v>25</v>
      </c>
      <c r="H48" s="350"/>
      <c r="I48" s="350"/>
      <c r="K48" s="191"/>
      <c r="M48" s="351"/>
      <c r="N48" s="351"/>
      <c r="AF48" s="169">
        <f t="shared" ca="1" si="2"/>
        <v>1</v>
      </c>
      <c r="AG48" s="169" t="str">
        <f t="shared" ca="1" si="3"/>
        <v/>
      </c>
      <c r="AH48" s="169" t="str">
        <f t="shared" ca="1" si="19"/>
        <v/>
      </c>
      <c r="AJ48" s="169">
        <f t="shared" ca="1" si="20"/>
        <v>48</v>
      </c>
      <c r="AK48" s="169" t="str">
        <f t="shared" ca="1" si="21"/>
        <v>BB</v>
      </c>
      <c r="AL48" s="169">
        <f t="shared" ca="1" si="21"/>
        <v>15</v>
      </c>
      <c r="AM48" s="169" t="str">
        <f t="shared" ca="1" si="4"/>
        <v/>
      </c>
      <c r="AQ48" s="207" t="s">
        <v>247</v>
      </c>
      <c r="AR48" s="207" t="s">
        <v>139</v>
      </c>
      <c r="AS48" s="207">
        <v>20</v>
      </c>
      <c r="AT48" s="207" t="s">
        <v>248</v>
      </c>
      <c r="AV48" s="168">
        <f t="shared" ca="1" si="5"/>
        <v>2</v>
      </c>
      <c r="AW48" s="168">
        <f ca="1">COUNTIF( AV$7:AV48, AV48 )</f>
        <v>10</v>
      </c>
      <c r="AX48" s="208">
        <f t="shared" ca="1" si="22"/>
        <v>3</v>
      </c>
      <c r="AY48" s="168">
        <f t="shared" ca="1" si="6"/>
        <v>11</v>
      </c>
      <c r="AZ48" s="169"/>
      <c r="BA48" s="169"/>
      <c r="BC48" s="168">
        <f t="shared" ca="1" si="24"/>
        <v>42</v>
      </c>
      <c r="BD48" s="209">
        <f t="shared" ca="1" si="8"/>
        <v>22</v>
      </c>
      <c r="BF48" s="173" t="str">
        <f t="shared" ca="1" si="23"/>
        <v>FirstEnergy Corp.</v>
      </c>
      <c r="BG48" s="173" t="str">
        <f t="shared" ca="1" si="23"/>
        <v>BB</v>
      </c>
      <c r="BH48" s="173">
        <f t="shared" ca="1" si="23"/>
        <v>15</v>
      </c>
      <c r="BI48" s="173" t="str">
        <f t="shared" ca="1" si="23"/>
        <v>FE</v>
      </c>
    </row>
    <row r="49" spans="1:61" ht="13.8" x14ac:dyDescent="0.25">
      <c r="A49" s="223" t="s">
        <v>301</v>
      </c>
      <c r="B49" s="224" t="s">
        <v>177</v>
      </c>
      <c r="C49" s="224">
        <v>14</v>
      </c>
      <c r="D49" s="224" t="s">
        <v>302</v>
      </c>
      <c r="E49" s="225" t="str">
        <f t="shared" ca="1" si="9"/>
        <v>R</v>
      </c>
      <c r="F49" s="348"/>
      <c r="G49" s="349">
        <f t="shared" ca="1" si="1"/>
        <v>35</v>
      </c>
      <c r="H49" s="350"/>
      <c r="I49" s="350"/>
      <c r="J49" s="191"/>
      <c r="K49" s="191"/>
      <c r="M49" s="351"/>
      <c r="N49" s="351"/>
      <c r="AF49" s="169">
        <f t="shared" ca="1" si="2"/>
        <v>0</v>
      </c>
      <c r="AG49" s="169" t="str">
        <f t="shared" ca="1" si="3"/>
        <v/>
      </c>
      <c r="AH49" s="169" t="str">
        <f t="shared" ca="1" si="19"/>
        <v/>
      </c>
      <c r="AJ49" s="169">
        <f t="shared" ca="1" si="20"/>
        <v>49</v>
      </c>
      <c r="AK49" s="169" t="str">
        <f t="shared" ca="1" si="21"/>
        <v>BB-</v>
      </c>
      <c r="AL49" s="169">
        <f t="shared" ca="1" si="21"/>
        <v>14</v>
      </c>
      <c r="AM49" s="169" t="str">
        <f t="shared" ca="1" si="4"/>
        <v/>
      </c>
      <c r="AQ49" s="207" t="s">
        <v>251</v>
      </c>
      <c r="AR49" s="207" t="s">
        <v>139</v>
      </c>
      <c r="AS49" s="207">
        <v>20</v>
      </c>
      <c r="AT49" s="207" t="s">
        <v>252</v>
      </c>
      <c r="AV49" s="168">
        <f t="shared" ca="1" si="5"/>
        <v>2</v>
      </c>
      <c r="AW49" s="168">
        <f ca="1">COUNTIF( AV$7:AV49, AV49 )</f>
        <v>11</v>
      </c>
      <c r="AX49" s="208">
        <f t="shared" ca="1" si="22"/>
        <v>3.1</v>
      </c>
      <c r="AY49" s="168">
        <f t="shared" ca="1" si="6"/>
        <v>12</v>
      </c>
      <c r="AZ49" s="169"/>
      <c r="BA49" s="169"/>
      <c r="BC49" s="168">
        <f t="shared" ca="1" si="24"/>
        <v>43</v>
      </c>
      <c r="BD49" s="209">
        <f t="shared" ca="1" si="8"/>
        <v>32</v>
      </c>
      <c r="BF49" s="173" t="str">
        <f t="shared" ca="1" si="23"/>
        <v>PG&amp;E Corporation</v>
      </c>
      <c r="BG49" s="173" t="str">
        <f t="shared" ca="1" si="23"/>
        <v>BB-</v>
      </c>
      <c r="BH49" s="173">
        <f t="shared" ca="1" si="23"/>
        <v>14</v>
      </c>
      <c r="BI49" s="173" t="str">
        <f t="shared" ca="1" si="23"/>
        <v>PCG</v>
      </c>
    </row>
    <row r="50" spans="1:61" ht="13.8" x14ac:dyDescent="0.25">
      <c r="A50" s="223"/>
      <c r="B50" s="224"/>
      <c r="C50" s="224"/>
      <c r="D50" s="224"/>
      <c r="E50" s="225"/>
      <c r="F50" s="348"/>
      <c r="G50" s="349"/>
      <c r="H50" s="350"/>
      <c r="I50" s="350"/>
      <c r="J50" s="191"/>
      <c r="K50" s="191"/>
      <c r="M50" s="351"/>
      <c r="N50" s="351"/>
      <c r="AF50" s="169">
        <f t="shared" ca="1" si="2"/>
        <v>0</v>
      </c>
      <c r="AG50" s="169" t="str">
        <f t="shared" ca="1" si="3"/>
        <v/>
      </c>
      <c r="AH50" s="169" t="str">
        <f t="shared" ca="1" si="19"/>
        <v/>
      </c>
      <c r="AJ50" s="169" t="e">
        <f t="shared" ca="1" si="20"/>
        <v>#N/A</v>
      </c>
      <c r="AK50" s="169" t="str">
        <f t="shared" ca="1" si="21"/>
        <v/>
      </c>
      <c r="AL50" s="169" t="str">
        <f t="shared" ca="1" si="21"/>
        <v/>
      </c>
      <c r="AM50" s="169" t="str">
        <f t="shared" ca="1" si="4"/>
        <v/>
      </c>
      <c r="AQ50" s="207"/>
      <c r="AR50" s="207"/>
      <c r="AS50" s="207"/>
      <c r="AT50" s="207"/>
      <c r="AV50" s="168">
        <f t="shared" ca="1" si="5"/>
        <v>99</v>
      </c>
      <c r="AW50" s="168">
        <f ca="1">COUNTIF( AV$7:AV50, AV50 )</f>
        <v>1</v>
      </c>
      <c r="AX50" s="208">
        <f t="shared" ca="1" si="22"/>
        <v>99.1</v>
      </c>
      <c r="AY50" s="168">
        <f t="shared" ca="1" si="6"/>
        <v>44</v>
      </c>
      <c r="AZ50" s="169"/>
      <c r="BA50" s="169"/>
      <c r="BC50" s="168">
        <f t="shared" ca="1" si="24"/>
        <v>44</v>
      </c>
      <c r="BD50" s="209">
        <f t="shared" ca="1" si="8"/>
        <v>44</v>
      </c>
      <c r="BF50" s="173">
        <f t="shared" ca="1" si="23"/>
        <v>0</v>
      </c>
      <c r="BG50" s="173">
        <f t="shared" ca="1" si="23"/>
        <v>0</v>
      </c>
      <c r="BH50" s="173">
        <f t="shared" ca="1" si="23"/>
        <v>0</v>
      </c>
      <c r="BI50" s="173">
        <f t="shared" ca="1" si="23"/>
        <v>0</v>
      </c>
    </row>
    <row r="51" spans="1:61" ht="13.8" x14ac:dyDescent="0.25">
      <c r="A51" s="223"/>
      <c r="B51" s="224"/>
      <c r="C51" s="224"/>
      <c r="D51" s="224"/>
      <c r="E51" s="225"/>
      <c r="F51" s="348"/>
      <c r="G51" s="349"/>
      <c r="H51" s="350"/>
      <c r="I51" s="350"/>
      <c r="J51" s="191"/>
      <c r="K51" s="191"/>
      <c r="M51" s="351"/>
      <c r="N51" s="351"/>
      <c r="AF51" s="169">
        <f t="shared" ca="1" si="2"/>
        <v>0</v>
      </c>
      <c r="AG51" s="169" t="str">
        <f t="shared" ca="1" si="3"/>
        <v/>
      </c>
      <c r="AH51" s="169" t="str">
        <f t="shared" ca="1" si="19"/>
        <v/>
      </c>
      <c r="AJ51" s="169" t="e">
        <f t="shared" ca="1" si="20"/>
        <v>#N/A</v>
      </c>
      <c r="AK51" s="169" t="str">
        <f t="shared" ca="1" si="21"/>
        <v/>
      </c>
      <c r="AL51" s="169" t="str">
        <f t="shared" ca="1" si="21"/>
        <v/>
      </c>
      <c r="AM51" s="169" t="str">
        <f t="shared" ca="1" si="4"/>
        <v/>
      </c>
      <c r="AQ51" s="207"/>
      <c r="AR51" s="207"/>
      <c r="AS51" s="207"/>
      <c r="AT51" s="207"/>
      <c r="AV51" s="168">
        <f t="shared" ca="1" si="5"/>
        <v>99</v>
      </c>
      <c r="AW51" s="168">
        <f ca="1">COUNTIF( AV$7:AV51, AV51 )</f>
        <v>2</v>
      </c>
      <c r="AX51" s="208">
        <f t="shared" ca="1" si="22"/>
        <v>99.2</v>
      </c>
      <c r="AY51" s="168">
        <f t="shared" ca="1" si="6"/>
        <v>45</v>
      </c>
      <c r="AZ51" s="169"/>
      <c r="BA51" s="169"/>
      <c r="BC51" s="168">
        <f t="shared" ca="1" si="24"/>
        <v>45</v>
      </c>
      <c r="BD51" s="209">
        <f t="shared" ca="1" si="8"/>
        <v>45</v>
      </c>
      <c r="BF51" s="173">
        <f t="shared" ref="BF51:BI63" ca="1" si="25">OFFSET( AQ$6, $BD52, 0 )</f>
        <v>0</v>
      </c>
      <c r="BG51" s="173">
        <f t="shared" ca="1" si="25"/>
        <v>0</v>
      </c>
      <c r="BH51" s="173">
        <f t="shared" ca="1" si="25"/>
        <v>0</v>
      </c>
      <c r="BI51" s="173">
        <f t="shared" ca="1" si="25"/>
        <v>0</v>
      </c>
    </row>
    <row r="52" spans="1:61" ht="13.8" x14ac:dyDescent="0.25">
      <c r="A52" s="223"/>
      <c r="B52" s="224"/>
      <c r="C52" s="224"/>
      <c r="D52" s="224"/>
      <c r="E52" s="225"/>
      <c r="F52" s="348"/>
      <c r="G52" s="349"/>
      <c r="H52" s="350"/>
      <c r="I52" s="350"/>
      <c r="J52" s="191"/>
      <c r="K52" s="191"/>
      <c r="AF52" s="169">
        <f t="shared" ca="1" si="2"/>
        <v>0</v>
      </c>
      <c r="AG52" s="169" t="str">
        <f t="shared" ca="1" si="3"/>
        <v/>
      </c>
      <c r="AH52" s="169" t="str">
        <f t="shared" ca="1" si="19"/>
        <v/>
      </c>
      <c r="AJ52" s="169" t="e">
        <f t="shared" ca="1" si="20"/>
        <v>#N/A</v>
      </c>
      <c r="AK52" s="169" t="str">
        <f t="shared" ca="1" si="21"/>
        <v/>
      </c>
      <c r="AL52" s="169" t="str">
        <f t="shared" ca="1" si="21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ca="1" si="5"/>
        <v>99</v>
      </c>
      <c r="AW52" s="168">
        <f ca="1">COUNTIF( AV$7:AV52, AV52 )</f>
        <v>3</v>
      </c>
      <c r="AX52" s="208">
        <f t="shared" ca="1" si="22"/>
        <v>99.3</v>
      </c>
      <c r="AY52" s="168">
        <f t="shared" ca="1" si="6"/>
        <v>46</v>
      </c>
      <c r="AZ52" s="169"/>
      <c r="BA52" s="169"/>
      <c r="BC52" s="168">
        <f t="shared" ca="1" si="24"/>
        <v>46</v>
      </c>
      <c r="BD52" s="209">
        <f t="shared" ca="1" si="8"/>
        <v>46</v>
      </c>
      <c r="BF52" s="173">
        <f t="shared" ca="1" si="25"/>
        <v>0</v>
      </c>
      <c r="BG52" s="173">
        <f t="shared" ca="1" si="25"/>
        <v>0</v>
      </c>
      <c r="BH52" s="173">
        <f t="shared" ca="1" si="25"/>
        <v>0</v>
      </c>
      <c r="BI52" s="173">
        <f t="shared" ca="1" si="25"/>
        <v>0</v>
      </c>
    </row>
    <row r="53" spans="1:61" ht="13.8" x14ac:dyDescent="0.25">
      <c r="A53" s="223"/>
      <c r="B53" s="224"/>
      <c r="C53" s="224"/>
      <c r="D53" s="224"/>
      <c r="E53" s="225"/>
      <c r="F53" s="348"/>
      <c r="G53" s="349" t="str">
        <f t="shared" ca="1" si="1"/>
        <v/>
      </c>
      <c r="H53" s="350"/>
      <c r="I53" s="350"/>
      <c r="J53" s="191"/>
      <c r="K53" s="191"/>
      <c r="AF53" s="169">
        <f t="shared" ca="1" si="2"/>
        <v>0</v>
      </c>
      <c r="AG53" s="169" t="str">
        <f t="shared" ca="1" si="3"/>
        <v/>
      </c>
      <c r="AH53" s="169" t="str">
        <f t="shared" ca="1" si="19"/>
        <v/>
      </c>
      <c r="AJ53" s="169" t="e">
        <f t="shared" ca="1" si="20"/>
        <v>#N/A</v>
      </c>
      <c r="AK53" s="169" t="str">
        <f t="shared" ca="1" si="21"/>
        <v/>
      </c>
      <c r="AL53" s="169" t="str">
        <f t="shared" ca="1" si="21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ca="1" si="5"/>
        <v>99</v>
      </c>
      <c r="AW53" s="168">
        <f ca="1">COUNTIF( AV$7:AV53, AV53 )</f>
        <v>4</v>
      </c>
      <c r="AX53" s="208">
        <f t="shared" ca="1" si="22"/>
        <v>99.4</v>
      </c>
      <c r="AY53" s="168">
        <f t="shared" ca="1" si="6"/>
        <v>47</v>
      </c>
      <c r="AZ53" s="169"/>
      <c r="BA53" s="169"/>
      <c r="BC53" s="168">
        <f t="shared" ca="1" si="24"/>
        <v>47</v>
      </c>
      <c r="BD53" s="209">
        <f t="shared" ca="1" si="8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ht="13.8" x14ac:dyDescent="0.25">
      <c r="A54" s="223"/>
      <c r="B54" s="224"/>
      <c r="C54" s="224"/>
      <c r="D54" s="224"/>
      <c r="E54" s="225"/>
      <c r="F54" s="348"/>
      <c r="G54" s="349" t="str">
        <f t="shared" ca="1" si="1"/>
        <v/>
      </c>
      <c r="H54" s="350"/>
      <c r="I54" s="350"/>
      <c r="J54" s="191"/>
      <c r="K54" s="191"/>
      <c r="AF54" s="169">
        <f t="shared" ca="1" si="2"/>
        <v>0</v>
      </c>
      <c r="AG54" s="169" t="str">
        <f t="shared" ca="1" si="3"/>
        <v/>
      </c>
      <c r="AH54" s="169" t="str">
        <f t="shared" ca="1" si="19"/>
        <v/>
      </c>
      <c r="AJ54" s="169" t="e">
        <f t="shared" ca="1" si="20"/>
        <v>#N/A</v>
      </c>
      <c r="AK54" s="169" t="str">
        <f t="shared" ca="1" si="21"/>
        <v/>
      </c>
      <c r="AL54" s="169" t="str">
        <f t="shared" ca="1" si="21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ca="1" si="5"/>
        <v>99</v>
      </c>
      <c r="AW54" s="168">
        <f ca="1">COUNTIF( AV$7:AV54, AV54 )</f>
        <v>5</v>
      </c>
      <c r="AX54" s="208">
        <f t="shared" ca="1" si="22"/>
        <v>99.5</v>
      </c>
      <c r="AY54" s="168">
        <f t="shared" ca="1" si="6"/>
        <v>48</v>
      </c>
      <c r="AZ54" s="169"/>
      <c r="BA54" s="169"/>
      <c r="BC54" s="168">
        <f t="shared" ca="1" si="24"/>
        <v>48</v>
      </c>
      <c r="BD54" s="209">
        <f t="shared" ca="1" si="8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ht="13.8" x14ac:dyDescent="0.25">
      <c r="A55" s="223"/>
      <c r="B55" s="224"/>
      <c r="C55" s="224"/>
      <c r="D55" s="224"/>
      <c r="E55" s="225"/>
      <c r="F55" s="348"/>
      <c r="G55" s="349" t="str">
        <f t="shared" ca="1" si="1"/>
        <v/>
      </c>
      <c r="H55" s="350"/>
      <c r="I55" s="350"/>
      <c r="J55" s="191"/>
      <c r="K55" s="191"/>
      <c r="AF55" s="169">
        <f t="shared" ca="1" si="2"/>
        <v>0</v>
      </c>
      <c r="AG55" s="169" t="str">
        <f t="shared" ca="1" si="3"/>
        <v/>
      </c>
      <c r="AH55" s="169" t="str">
        <f t="shared" ca="1" si="19"/>
        <v/>
      </c>
      <c r="AJ55" s="169" t="e">
        <f t="shared" ca="1" si="20"/>
        <v>#N/A</v>
      </c>
      <c r="AK55" s="169" t="str">
        <f t="shared" ca="1" si="21"/>
        <v/>
      </c>
      <c r="AL55" s="169" t="str">
        <f t="shared" ca="1" si="21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ca="1" si="5"/>
        <v>99</v>
      </c>
      <c r="AW55" s="168">
        <f ca="1">COUNTIF( AV$7:AV55, AV55 )</f>
        <v>6</v>
      </c>
      <c r="AX55" s="208">
        <f t="shared" ca="1" si="22"/>
        <v>99.6</v>
      </c>
      <c r="AY55" s="168">
        <f t="shared" ca="1" si="6"/>
        <v>49</v>
      </c>
      <c r="AZ55" s="169"/>
      <c r="BA55" s="169"/>
      <c r="BC55" s="168">
        <f t="shared" ca="1" si="24"/>
        <v>49</v>
      </c>
      <c r="BD55" s="209">
        <f t="shared" ca="1" si="8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ht="13.8" x14ac:dyDescent="0.25">
      <c r="A56" s="223"/>
      <c r="B56" s="224"/>
      <c r="C56" s="224"/>
      <c r="D56" s="224"/>
      <c r="E56" s="225"/>
      <c r="F56" s="348"/>
      <c r="G56" s="349" t="str">
        <f t="shared" ca="1" si="1"/>
        <v/>
      </c>
      <c r="H56" s="350"/>
      <c r="I56" s="350"/>
      <c r="J56" s="191"/>
      <c r="K56" s="191"/>
      <c r="AF56" s="169">
        <f t="shared" ca="1" si="2"/>
        <v>0</v>
      </c>
      <c r="AG56" s="169" t="str">
        <f t="shared" ca="1" si="3"/>
        <v/>
      </c>
      <c r="AH56" s="169" t="str">
        <f t="shared" ca="1" si="19"/>
        <v/>
      </c>
      <c r="AJ56" s="169" t="e">
        <f t="shared" ca="1" si="20"/>
        <v>#N/A</v>
      </c>
      <c r="AK56" s="169" t="str">
        <f t="shared" ca="1" si="21"/>
        <v/>
      </c>
      <c r="AL56" s="169" t="str">
        <f t="shared" ca="1" si="21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ca="1" si="5"/>
        <v>99</v>
      </c>
      <c r="AW56" s="168">
        <f ca="1">COUNTIF( AV$7:AV56, AV56 )</f>
        <v>7</v>
      </c>
      <c r="AX56" s="208">
        <f t="shared" ca="1" si="22"/>
        <v>99.7</v>
      </c>
      <c r="AY56" s="168">
        <f t="shared" ca="1" si="6"/>
        <v>50</v>
      </c>
      <c r="AZ56" s="169"/>
      <c r="BA56" s="169"/>
      <c r="BC56" s="168">
        <f t="shared" ca="1" si="24"/>
        <v>50</v>
      </c>
      <c r="BD56" s="209">
        <f t="shared" ca="1" si="8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ht="13.8" x14ac:dyDescent="0.25">
      <c r="A57" s="223"/>
      <c r="B57" s="224"/>
      <c r="C57" s="224"/>
      <c r="D57" s="224"/>
      <c r="E57" s="225"/>
      <c r="F57" s="348"/>
      <c r="G57" s="349" t="str">
        <f t="shared" ca="1" si="1"/>
        <v/>
      </c>
      <c r="H57" s="350"/>
      <c r="I57" s="350"/>
      <c r="J57" s="191"/>
      <c r="K57" s="191"/>
      <c r="AF57" s="169">
        <f t="shared" ca="1" si="2"/>
        <v>0</v>
      </c>
      <c r="AG57" s="169" t="str">
        <f t="shared" ca="1" si="3"/>
        <v/>
      </c>
      <c r="AH57" s="169" t="str">
        <f t="shared" ca="1" si="19"/>
        <v/>
      </c>
      <c r="AJ57" s="169" t="e">
        <f t="shared" ca="1" si="20"/>
        <v>#N/A</v>
      </c>
      <c r="AK57" s="169" t="str">
        <f t="shared" ca="1" si="21"/>
        <v/>
      </c>
      <c r="AL57" s="169" t="str">
        <f t="shared" ca="1" si="21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ca="1" si="5"/>
        <v>99</v>
      </c>
      <c r="AW57" s="168">
        <f ca="1">COUNTIF( AV$7:AV57, AV57 )</f>
        <v>8</v>
      </c>
      <c r="AX57" s="208">
        <f t="shared" ca="1" si="22"/>
        <v>99.8</v>
      </c>
      <c r="AY57" s="168">
        <f t="shared" ca="1" si="6"/>
        <v>51</v>
      </c>
      <c r="AZ57" s="169"/>
      <c r="BA57" s="169"/>
      <c r="BC57" s="168">
        <f t="shared" ca="1" si="24"/>
        <v>51</v>
      </c>
      <c r="BD57" s="209">
        <f t="shared" ca="1" si="8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ht="13.8" x14ac:dyDescent="0.25">
      <c r="A58" s="223"/>
      <c r="B58" s="224"/>
      <c r="C58" s="224"/>
      <c r="D58" s="224"/>
      <c r="E58" s="225"/>
      <c r="F58" s="348"/>
      <c r="G58" s="349" t="str">
        <f t="shared" ca="1" si="1"/>
        <v/>
      </c>
      <c r="H58" s="350"/>
      <c r="I58" s="350"/>
      <c r="J58" s="191"/>
      <c r="K58" s="191"/>
      <c r="AF58" s="169">
        <f t="shared" ca="1" si="2"/>
        <v>0</v>
      </c>
      <c r="AG58" s="169" t="str">
        <f t="shared" ca="1" si="3"/>
        <v/>
      </c>
      <c r="AH58" s="169" t="str">
        <f t="shared" ca="1" si="19"/>
        <v/>
      </c>
      <c r="AJ58" s="169" t="e">
        <f t="shared" ca="1" si="20"/>
        <v>#N/A</v>
      </c>
      <c r="AK58" s="169" t="str">
        <f t="shared" ca="1" si="21"/>
        <v/>
      </c>
      <c r="AL58" s="169" t="str">
        <f t="shared" ca="1" si="21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ca="1" si="5"/>
        <v>99</v>
      </c>
      <c r="AW58" s="168">
        <f ca="1">COUNTIF( AV$7:AV58, AV58 )</f>
        <v>9</v>
      </c>
      <c r="AX58" s="208">
        <f t="shared" ca="1" si="22"/>
        <v>99.9</v>
      </c>
      <c r="AY58" s="168">
        <f t="shared" ca="1" si="6"/>
        <v>52</v>
      </c>
      <c r="AZ58" s="169"/>
      <c r="BA58" s="169"/>
      <c r="BC58" s="168">
        <f t="shared" ca="1" si="24"/>
        <v>52</v>
      </c>
      <c r="BD58" s="209">
        <f t="shared" ca="1" si="8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ht="13.8" x14ac:dyDescent="0.25">
      <c r="A59" s="223"/>
      <c r="B59" s="224"/>
      <c r="C59" s="224"/>
      <c r="D59" s="224"/>
      <c r="E59" s="225" t="str">
        <f t="shared" ca="1" si="9"/>
        <v/>
      </c>
      <c r="F59" s="348"/>
      <c r="G59" s="349" t="str">
        <f t="shared" ca="1" si="1"/>
        <v/>
      </c>
      <c r="H59" s="350"/>
      <c r="I59" s="350"/>
      <c r="J59" s="191"/>
      <c r="K59" s="191"/>
      <c r="AF59" s="169">
        <f t="shared" ca="1" si="2"/>
        <v>0</v>
      </c>
      <c r="AG59" s="169" t="str">
        <f t="shared" ca="1" si="3"/>
        <v/>
      </c>
      <c r="AH59" s="169" t="str">
        <f t="shared" ca="1" si="19"/>
        <v/>
      </c>
      <c r="AJ59" s="169" t="e">
        <f t="shared" ca="1" si="20"/>
        <v>#N/A</v>
      </c>
      <c r="AK59" s="169" t="str">
        <f t="shared" ca="1" si="21"/>
        <v/>
      </c>
      <c r="AL59" s="169" t="str">
        <f t="shared" ca="1" si="21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ca="1" si="5"/>
        <v>99</v>
      </c>
      <c r="AW59" s="168">
        <f ca="1">COUNTIF( AV$7:AV59, AV59 )</f>
        <v>10</v>
      </c>
      <c r="AX59" s="208">
        <f t="shared" ca="1" si="22"/>
        <v>100</v>
      </c>
      <c r="AY59" s="168">
        <f t="shared" ca="1" si="6"/>
        <v>53</v>
      </c>
      <c r="AZ59" s="169"/>
      <c r="BA59" s="169"/>
      <c r="BC59" s="168">
        <f t="shared" ca="1" si="24"/>
        <v>53</v>
      </c>
      <c r="BD59" s="209">
        <f t="shared" ca="1" si="8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4.4" thickBot="1" x14ac:dyDescent="0.3">
      <c r="A60" s="192"/>
      <c r="B60" s="193"/>
      <c r="C60" s="193"/>
      <c r="D60" s="193"/>
      <c r="E60" s="194" t="str">
        <f t="shared" ca="1" si="9"/>
        <v/>
      </c>
      <c r="F60" s="350"/>
      <c r="G60" s="353" t="str">
        <f t="shared" ca="1" si="1"/>
        <v/>
      </c>
      <c r="H60" s="350"/>
      <c r="I60" s="350"/>
      <c r="AF60" s="169">
        <f t="shared" ca="1" si="2"/>
        <v>0</v>
      </c>
      <c r="AG60" s="169" t="str">
        <f t="shared" ca="1" si="3"/>
        <v/>
      </c>
      <c r="AH60" s="169" t="str">
        <f t="shared" ca="1" si="19"/>
        <v/>
      </c>
      <c r="AJ60" s="169" t="e">
        <f t="shared" ca="1" si="20"/>
        <v>#N/A</v>
      </c>
      <c r="AK60" s="169" t="str">
        <f t="shared" ca="1" si="21"/>
        <v/>
      </c>
      <c r="AL60" s="169" t="str">
        <f t="shared" ca="1" si="21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ca="1" si="5"/>
        <v>99</v>
      </c>
      <c r="AW60" s="168">
        <f ca="1">COUNTIF( AV$7:AV60, AV60 )</f>
        <v>11</v>
      </c>
      <c r="AX60" s="208">
        <f t="shared" ca="1" si="22"/>
        <v>100.1</v>
      </c>
      <c r="AY60" s="168">
        <f t="shared" ca="1" si="6"/>
        <v>54</v>
      </c>
      <c r="AZ60" s="169"/>
      <c r="BA60" s="169"/>
      <c r="BC60" s="168">
        <f t="shared" ca="1" si="24"/>
        <v>54</v>
      </c>
      <c r="BD60" s="209">
        <f t="shared" ca="1" si="8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8" x14ac:dyDescent="0.25">
      <c r="A61" s="226" t="s">
        <v>308</v>
      </c>
      <c r="B61" s="227" t="s">
        <v>162</v>
      </c>
      <c r="C61" s="227">
        <v>23</v>
      </c>
      <c r="D61" s="227" t="s">
        <v>309</v>
      </c>
      <c r="E61" s="228" t="str">
        <f t="shared" ca="1" si="9"/>
        <v>R</v>
      </c>
      <c r="F61" s="354"/>
      <c r="G61" s="355">
        <f t="shared" ca="1" si="1"/>
        <v>29</v>
      </c>
      <c r="H61" s="350"/>
      <c r="I61" s="350"/>
      <c r="AF61" s="169">
        <f t="shared" ca="1" si="2"/>
        <v>1</v>
      </c>
      <c r="AG61" s="169" t="str">
        <f t="shared" ca="1" si="3"/>
        <v/>
      </c>
      <c r="AH61" s="169" t="str">
        <f t="shared" ca="1" si="19"/>
        <v/>
      </c>
      <c r="AJ61" s="169">
        <f t="shared" ca="1" si="20"/>
        <v>61</v>
      </c>
      <c r="AK61" s="169" t="str">
        <f t="shared" ca="1" si="21"/>
        <v>AA-</v>
      </c>
      <c r="AL61" s="169">
        <f t="shared" ca="1" si="21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ca="1" si="5"/>
        <v>99</v>
      </c>
      <c r="AW61" s="168">
        <f ca="1">COUNTIF( AV$7:AV61, AV61 )</f>
        <v>12</v>
      </c>
      <c r="AX61" s="208">
        <f t="shared" ca="1" si="22"/>
        <v>100.2</v>
      </c>
      <c r="AY61" s="168">
        <f t="shared" ca="1" si="6"/>
        <v>55</v>
      </c>
      <c r="AZ61" s="169"/>
      <c r="BA61" s="169"/>
      <c r="BC61" s="168">
        <f t="shared" ca="1" si="24"/>
        <v>55</v>
      </c>
      <c r="BD61" s="209">
        <f t="shared" ca="1" si="8"/>
        <v>55</v>
      </c>
      <c r="BF61" s="173">
        <f ca="1">OFFSET( AQ$6, $BD62, 0 )</f>
        <v>0</v>
      </c>
      <c r="BG61" s="173">
        <f ca="1">OFFSET( AR$6, $BD62, 0 )</f>
        <v>0</v>
      </c>
      <c r="BH61" s="173">
        <f ca="1">OFFSET( AS$6, $BD62, 0 )</f>
        <v>0</v>
      </c>
      <c r="BI61" s="173">
        <f ca="1">OFFSET( AT$6, $BD62, 0 )</f>
        <v>0</v>
      </c>
    </row>
    <row r="62" spans="1:61" ht="13.8" x14ac:dyDescent="0.25">
      <c r="A62" s="223"/>
      <c r="B62" s="224"/>
      <c r="C62" s="224"/>
      <c r="D62" s="224"/>
      <c r="E62" s="225"/>
      <c r="F62" s="348"/>
      <c r="G62" s="349" t="str">
        <f t="shared" ca="1" si="1"/>
        <v/>
      </c>
      <c r="H62" s="350"/>
      <c r="I62" s="350"/>
      <c r="AF62" s="169">
        <f ca="1">IF( LEN( C62 ) = 0, 0, IF( C62 = C61, AF61, IF( AF61 = 1, 0, 1 ) ) )</f>
        <v>0</v>
      </c>
      <c r="AG62" s="169" t="str">
        <f t="shared" ca="1" si="3"/>
        <v/>
      </c>
      <c r="AH62" s="169" t="str">
        <f t="shared" ca="1" si="19"/>
        <v/>
      </c>
      <c r="AJ62" s="169" t="e">
        <f t="shared" ca="1" si="20"/>
        <v>#N/A</v>
      </c>
      <c r="AK62" s="169" t="str">
        <f t="shared" ca="1" si="21"/>
        <v/>
      </c>
      <c r="AL62" s="169" t="str">
        <f t="shared" ca="1" si="21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ca="1" si="5"/>
        <v>99</v>
      </c>
      <c r="AW62" s="168">
        <f ca="1">COUNTIF( AV$7:AV62, AV62 )</f>
        <v>13</v>
      </c>
      <c r="AX62" s="208">
        <f t="shared" ca="1" si="22"/>
        <v>100.3</v>
      </c>
      <c r="AY62" s="168">
        <f t="shared" ca="1" si="6"/>
        <v>56</v>
      </c>
      <c r="AZ62" s="169"/>
      <c r="BA62" s="169"/>
      <c r="BC62" s="168">
        <f t="shared" ca="1" si="24"/>
        <v>56</v>
      </c>
      <c r="BD62" s="209">
        <f t="shared" ca="1" si="8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ht="13.8" x14ac:dyDescent="0.25">
      <c r="A63" s="223"/>
      <c r="B63" s="229"/>
      <c r="C63" s="224"/>
      <c r="D63" s="224"/>
      <c r="E63" s="225"/>
      <c r="F63" s="348"/>
      <c r="G63" s="349"/>
      <c r="H63" s="350"/>
      <c r="I63" s="350"/>
      <c r="AF63" s="169">
        <f t="shared" ca="1" si="2"/>
        <v>0</v>
      </c>
      <c r="AG63" s="169" t="str">
        <f t="shared" ca="1" si="3"/>
        <v/>
      </c>
      <c r="AH63" s="169" t="str">
        <f t="shared" ca="1" si="19"/>
        <v/>
      </c>
      <c r="AJ63" s="169" t="e">
        <f t="shared" ca="1" si="20"/>
        <v>#N/A</v>
      </c>
      <c r="AK63" s="169" t="str">
        <f t="shared" ca="1" si="21"/>
        <v/>
      </c>
      <c r="AL63" s="169" t="str">
        <f t="shared" ca="1" si="21"/>
        <v/>
      </c>
      <c r="AM63" s="169" t="str">
        <f t="shared" ca="1" si="4"/>
        <v/>
      </c>
      <c r="AU63" s="207"/>
      <c r="AV63" s="168">
        <f t="shared" ca="1" si="5"/>
        <v>99</v>
      </c>
      <c r="AW63" s="168">
        <f ca="1">COUNTIF( AV$7:AV63, AV63 )</f>
        <v>14</v>
      </c>
      <c r="AX63" s="208">
        <f t="shared" ca="1" si="22"/>
        <v>100.4</v>
      </c>
      <c r="AY63" s="168">
        <f t="shared" ca="1" si="6"/>
        <v>57</v>
      </c>
      <c r="AZ63" s="169"/>
      <c r="BA63" s="169"/>
      <c r="BC63" s="168">
        <f t="shared" ca="1" si="24"/>
        <v>57</v>
      </c>
      <c r="BD63" s="209">
        <f t="shared" ca="1" si="8"/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ht="13.8" x14ac:dyDescent="0.25">
      <c r="A64" s="223"/>
      <c r="B64" s="229"/>
      <c r="C64" s="224"/>
      <c r="D64" s="224"/>
      <c r="E64" s="225"/>
      <c r="F64" s="348"/>
      <c r="G64" s="349"/>
      <c r="H64" s="350"/>
      <c r="I64" s="350"/>
      <c r="AF64" s="169">
        <f t="shared" ca="1" si="2"/>
        <v>0</v>
      </c>
      <c r="AG64" s="169" t="str">
        <f t="shared" ca="1" si="3"/>
        <v/>
      </c>
      <c r="AH64" s="169" t="str">
        <f t="shared" ca="1" si="19"/>
        <v/>
      </c>
      <c r="AJ64" s="169" t="e">
        <f t="shared" ca="1" si="20"/>
        <v>#N/A</v>
      </c>
      <c r="AK64" s="169" t="str">
        <f t="shared" ca="1" si="21"/>
        <v/>
      </c>
      <c r="AL64" s="169" t="str">
        <f t="shared" ca="1" si="21"/>
        <v/>
      </c>
      <c r="AM64" s="169" t="str">
        <f t="shared" ca="1" si="4"/>
        <v/>
      </c>
      <c r="AQ64" s="207" t="s">
        <v>308</v>
      </c>
      <c r="AR64" s="207" t="s">
        <v>162</v>
      </c>
      <c r="AS64" s="207">
        <v>23</v>
      </c>
      <c r="AT64" s="207" t="s">
        <v>309</v>
      </c>
      <c r="AU64" s="207"/>
      <c r="AZ64" s="169"/>
      <c r="BA64" s="169"/>
      <c r="BF64" s="169"/>
    </row>
    <row r="65" spans="1:61" ht="13.8" x14ac:dyDescent="0.25">
      <c r="A65" s="223"/>
      <c r="B65" s="229"/>
      <c r="C65" s="224"/>
      <c r="D65" s="224"/>
      <c r="E65" s="225"/>
      <c r="F65" s="348"/>
      <c r="G65" s="349"/>
      <c r="H65" s="350"/>
      <c r="I65" s="350"/>
      <c r="N65" s="168" t="s">
        <v>310</v>
      </c>
      <c r="AF65" s="169">
        <f t="shared" ca="1" si="2"/>
        <v>0</v>
      </c>
      <c r="AG65" s="169" t="str">
        <f ca="1">IF( LEN( $C65 ) = 0, "", IF( $C65 &gt; $AL65, 1, "" ) )</f>
        <v/>
      </c>
      <c r="AH65" s="169" t="str">
        <f t="shared" ca="1" si="19"/>
        <v/>
      </c>
      <c r="AJ65" s="169" t="e">
        <f t="shared" ca="1" si="20"/>
        <v>#N/A</v>
      </c>
      <c r="AK65" s="169" t="str">
        <f t="shared" ca="1" si="21"/>
        <v/>
      </c>
      <c r="AL65" s="169" t="str">
        <f t="shared" ca="1" si="21"/>
        <v/>
      </c>
      <c r="AM65" s="169" t="str">
        <f t="shared" ca="1" si="4"/>
        <v/>
      </c>
      <c r="AU65" s="207"/>
      <c r="AZ65" s="169"/>
      <c r="BA65" s="169"/>
      <c r="BF65" s="169"/>
    </row>
    <row r="66" spans="1:61" ht="13.8" x14ac:dyDescent="0.25">
      <c r="A66" s="195"/>
      <c r="B66" s="196"/>
      <c r="C66" s="185"/>
      <c r="D66" s="185"/>
      <c r="E66" s="182"/>
      <c r="F66" s="350"/>
      <c r="H66" s="350"/>
      <c r="I66" s="350"/>
      <c r="AF66" s="169">
        <f t="shared" ca="1" si="2"/>
        <v>0</v>
      </c>
      <c r="AG66" s="169" t="str">
        <f t="shared" ref="AG66:AG67" ca="1" si="26">IF( LEN( $C66 ) = 0, "", IF( $C66 &gt; $AL66, 1, "" ) )</f>
        <v/>
      </c>
      <c r="AH66" s="169" t="str">
        <f t="shared" ca="1" si="19"/>
        <v/>
      </c>
      <c r="AJ66" s="169" t="e">
        <f t="shared" ca="1" si="20"/>
        <v>#N/A</v>
      </c>
      <c r="AK66" s="169" t="str">
        <f t="shared" ca="1" si="21"/>
        <v/>
      </c>
      <c r="AL66" s="169" t="str">
        <f t="shared" ca="1" si="21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61" ht="14.4" thickBot="1" x14ac:dyDescent="0.3">
      <c r="A67" s="197"/>
      <c r="B67" s="198"/>
      <c r="C67" s="248"/>
      <c r="D67" s="198"/>
      <c r="E67" s="199"/>
      <c r="F67" s="350"/>
      <c r="H67" s="350"/>
      <c r="I67" s="350"/>
      <c r="AF67" s="169">
        <f t="shared" ca="1" si="2"/>
        <v>0</v>
      </c>
      <c r="AG67" s="169" t="str">
        <f t="shared" ca="1" si="26"/>
        <v/>
      </c>
      <c r="AH67" s="169" t="str">
        <f t="shared" ca="1" si="19"/>
        <v/>
      </c>
      <c r="AJ67" s="169" t="e">
        <f t="shared" ca="1" si="20"/>
        <v>#N/A</v>
      </c>
      <c r="AK67" s="169" t="str">
        <f t="shared" ca="1" si="21"/>
        <v/>
      </c>
      <c r="AL67" s="169" t="str">
        <f t="shared" ca="1" si="21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61" ht="13.8" x14ac:dyDescent="0.25">
      <c r="A68" s="200" t="s">
        <v>311</v>
      </c>
      <c r="B68" s="189" t="str">
        <f ca="1">OFFSET( Scale!$H$5, ROUND( C68, 0 ) - 1, 1 )</f>
        <v>BBB+</v>
      </c>
      <c r="C68" s="201">
        <f ca="1">AVERAGE(C7:C65)</f>
        <v>18.795454545454547</v>
      </c>
      <c r="D68" s="201"/>
      <c r="E68" s="201"/>
      <c r="F68" s="350"/>
      <c r="H68" s="350"/>
      <c r="I68" s="350"/>
      <c r="J68" s="351"/>
      <c r="K68" s="351"/>
      <c r="AX68" s="208"/>
      <c r="AZ68" s="169"/>
      <c r="BA68" s="169"/>
      <c r="BD68" s="209"/>
      <c r="BF68" s="169"/>
    </row>
    <row r="69" spans="1:61" x14ac:dyDescent="0.25">
      <c r="A69" s="202"/>
      <c r="B69" s="202"/>
      <c r="F69" s="350"/>
      <c r="H69" s="350"/>
      <c r="I69" s="350"/>
      <c r="AX69" s="208"/>
      <c r="AZ69" s="169"/>
      <c r="BA69" s="169"/>
      <c r="BD69" s="209"/>
    </row>
    <row r="70" spans="1:61" x14ac:dyDescent="0.25">
      <c r="A70" s="202"/>
      <c r="B70" s="202"/>
      <c r="F70" s="173"/>
      <c r="H70" s="173"/>
      <c r="I70" s="173"/>
      <c r="J70" s="351"/>
      <c r="K70" s="351"/>
    </row>
    <row r="71" spans="1:61" x14ac:dyDescent="0.25">
      <c r="A71" s="203" t="s">
        <v>312</v>
      </c>
      <c r="F71" s="173"/>
      <c r="H71" s="173"/>
      <c r="I71" s="173"/>
    </row>
    <row r="72" spans="1:61" x14ac:dyDescent="0.25">
      <c r="A72" s="203" t="s">
        <v>313</v>
      </c>
      <c r="B72" s="173"/>
      <c r="D72" s="173"/>
      <c r="E72" s="173"/>
      <c r="F72" s="204"/>
      <c r="H72" s="204"/>
      <c r="I72" s="204"/>
    </row>
    <row r="73" spans="1:61" x14ac:dyDescent="0.25">
      <c r="A73" s="205" t="s">
        <v>314</v>
      </c>
      <c r="B73" s="173"/>
      <c r="D73" s="173"/>
      <c r="E73" s="173"/>
      <c r="F73" s="204"/>
      <c r="H73" s="204"/>
      <c r="I73" s="204"/>
      <c r="AQ73" s="207"/>
      <c r="AR73" s="207"/>
      <c r="AS73" s="207"/>
    </row>
    <row r="74" spans="1:61" x14ac:dyDescent="0.25">
      <c r="A74" s="203" t="s">
        <v>315</v>
      </c>
      <c r="D74" s="204"/>
      <c r="F74" s="206"/>
      <c r="H74" s="206"/>
      <c r="I74" s="206"/>
      <c r="AQ74" s="207"/>
      <c r="AR74" s="207"/>
      <c r="AS74" s="207"/>
    </row>
    <row r="75" spans="1:61" x14ac:dyDescent="0.25">
      <c r="A75" s="203" t="s">
        <v>316</v>
      </c>
      <c r="D75" s="204"/>
      <c r="F75" s="206"/>
      <c r="H75" s="206"/>
      <c r="I75" s="206"/>
      <c r="AQ75" s="207"/>
      <c r="AR75" s="207"/>
      <c r="AS75" s="207"/>
    </row>
    <row r="76" spans="1:61" x14ac:dyDescent="0.25">
      <c r="A76" s="203"/>
      <c r="AQ76" s="207"/>
      <c r="AR76" s="207"/>
      <c r="AS76" s="207"/>
    </row>
    <row r="77" spans="1:61" x14ac:dyDescent="0.25">
      <c r="C77" s="190">
        <f ca="1">SUMPRODUCT( L8:L13, Y8:Y13 ) / L14</f>
        <v>18.818181818181817</v>
      </c>
      <c r="E77" s="191"/>
      <c r="G77" s="353"/>
      <c r="J77" s="173"/>
      <c r="K77" s="173"/>
      <c r="AQ77" s="207"/>
      <c r="AR77" s="207"/>
      <c r="AS77" s="207"/>
      <c r="AT77" s="173"/>
      <c r="BF77" s="173"/>
      <c r="BG77" s="173"/>
      <c r="BH77" s="173"/>
      <c r="BI77" s="173"/>
    </row>
    <row r="78" spans="1:61" s="173" customFormat="1" ht="13.8" x14ac:dyDescent="0.25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168"/>
      <c r="AR78" s="168"/>
      <c r="AS78" s="168"/>
      <c r="AT78" s="168"/>
      <c r="BF78" s="168"/>
      <c r="BG78" s="168"/>
      <c r="BH78" s="168"/>
      <c r="BI78" s="168"/>
    </row>
  </sheetData>
  <sortState ref="AQ7:AT51">
    <sortCondition ref="AQ7:AQ51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451" priority="31" stopIfTrue="1">
      <formula>IF( $AH7 = 1, TRUE, FALSE )</formula>
    </cfRule>
    <cfRule type="expression" dxfId="1450" priority="32" stopIfTrue="1">
      <formula>IF( $AG7 = 1, TRUE, FALSE )</formula>
    </cfRule>
    <cfRule type="expression" dxfId="1449" priority="33" stopIfTrue="1">
      <formula>IF( $AF7 = 1, TRUE, FALSE )</formula>
    </cfRule>
  </conditionalFormatting>
  <conditionalFormatting sqref="A67:E67">
    <cfRule type="expression" dxfId="1448" priority="34" stopIfTrue="1">
      <formula>IF( $AH67 = 1, TRUE, FALSE )</formula>
    </cfRule>
    <cfRule type="expression" dxfId="1447" priority="35" stopIfTrue="1">
      <formula>IF( $AG67 = 1, TRUE, FALSE )</formula>
    </cfRule>
    <cfRule type="expression" dxfId="1446" priority="36" stopIfTrue="1">
      <formula>IF( $AF67 = 1, TRUE, FALSE )</formula>
    </cfRule>
  </conditionalFormatting>
  <conditionalFormatting sqref="A66:E66">
    <cfRule type="expression" dxfId="1445" priority="28" stopIfTrue="1">
      <formula>IF( $AH66 = 1, TRUE, FALSE )</formula>
    </cfRule>
    <cfRule type="expression" dxfId="1444" priority="29" stopIfTrue="1">
      <formula>IF( $AG66 = 1, TRUE, FALSE )</formula>
    </cfRule>
    <cfRule type="expression" dxfId="1443" priority="30" stopIfTrue="1">
      <formula>IF( $AF66 = 1, TRUE, FALSE )</formula>
    </cfRule>
  </conditionalFormatting>
  <conditionalFormatting sqref="A8:D33 B7:D7 A35:D58">
    <cfRule type="expression" dxfId="1442" priority="25" stopIfTrue="1">
      <formula>IF( $AH7 = 1, TRUE, FALSE )</formula>
    </cfRule>
    <cfRule type="expression" dxfId="1441" priority="26" stopIfTrue="1">
      <formula>IF( $AG7 = 1, TRUE, FALSE )</formula>
    </cfRule>
    <cfRule type="expression" dxfId="1440" priority="27" stopIfTrue="1">
      <formula>IF( $AF7 = 1, TRUE, FALSE )</formula>
    </cfRule>
  </conditionalFormatting>
  <conditionalFormatting sqref="A59:D59">
    <cfRule type="expression" dxfId="1439" priority="22" stopIfTrue="1">
      <formula>IF( $AH59 = 1, TRUE, FALSE )</formula>
    </cfRule>
    <cfRule type="expression" dxfId="1438" priority="23" stopIfTrue="1">
      <formula>IF( $AG59 = 1, TRUE, FALSE )</formula>
    </cfRule>
    <cfRule type="expression" dxfId="1437" priority="24" stopIfTrue="1">
      <formula>IF( $AF59 = 1, TRUE, FALSE )</formula>
    </cfRule>
  </conditionalFormatting>
  <conditionalFormatting sqref="A61:D65">
    <cfRule type="expression" dxfId="1436" priority="19" stopIfTrue="1">
      <formula>IF( $AH61 = 1, TRUE, FALSE )</formula>
    </cfRule>
    <cfRule type="expression" dxfId="1435" priority="20" stopIfTrue="1">
      <formula>IF( $AG61 = 1, TRUE, FALSE )</formula>
    </cfRule>
    <cfRule type="expression" dxfId="1434" priority="21" stopIfTrue="1">
      <formula>IF( $AF61 = 1, TRUE, FALSE )</formula>
    </cfRule>
  </conditionalFormatting>
  <conditionalFormatting sqref="U8:U12">
    <cfRule type="cellIs" dxfId="1433" priority="18" operator="equal">
      <formula>0</formula>
    </cfRule>
  </conditionalFormatting>
  <conditionalFormatting sqref="O8:O12 Q8:Q12">
    <cfRule type="cellIs" dxfId="1432" priority="17" operator="equal">
      <formula>0</formula>
    </cfRule>
  </conditionalFormatting>
  <conditionalFormatting sqref="V8:V12">
    <cfRule type="cellIs" dxfId="1431" priority="16" operator="equal">
      <formula>0</formula>
    </cfRule>
  </conditionalFormatting>
  <conditionalFormatting sqref="S8:S12">
    <cfRule type="cellIs" dxfId="1430" priority="14" operator="equal">
      <formula>0</formula>
    </cfRule>
  </conditionalFormatting>
  <conditionalFormatting sqref="R8:R12">
    <cfRule type="cellIs" dxfId="1429" priority="15" operator="equal">
      <formula>0</formula>
    </cfRule>
  </conditionalFormatting>
  <conditionalFormatting sqref="P8:P12">
    <cfRule type="cellIs" dxfId="1428" priority="13" operator="equal">
      <formula>0</formula>
    </cfRule>
  </conditionalFormatting>
  <conditionalFormatting sqref="M8:M12">
    <cfRule type="cellIs" dxfId="1427" priority="12" operator="equal">
      <formula>0</formula>
    </cfRule>
  </conditionalFormatting>
  <conditionalFormatting sqref="T8:T12">
    <cfRule type="cellIs" dxfId="1426" priority="11" operator="equal">
      <formula>0</formula>
    </cfRule>
  </conditionalFormatting>
  <conditionalFormatting sqref="N8:N12">
    <cfRule type="cellIs" dxfId="1425" priority="10" operator="equal">
      <formula>0</formula>
    </cfRule>
  </conditionalFormatting>
  <conditionalFormatting sqref="K8:K12">
    <cfRule type="cellIs" dxfId="1424" priority="9" operator="equal">
      <formula>0</formula>
    </cfRule>
  </conditionalFormatting>
  <conditionalFormatting sqref="I8:I12">
    <cfRule type="cellIs" dxfId="1423" priority="8" operator="equal">
      <formula>0</formula>
    </cfRule>
  </conditionalFormatting>
  <conditionalFormatting sqref="W8:W12">
    <cfRule type="cellIs" dxfId="1422" priority="7" operator="equal">
      <formula>0</formula>
    </cfRule>
  </conditionalFormatting>
  <conditionalFormatting sqref="A7">
    <cfRule type="expression" dxfId="1421" priority="4" stopIfTrue="1">
      <formula>IF( $AH7 = 1, TRUE, FALSE )</formula>
    </cfRule>
    <cfRule type="expression" dxfId="1420" priority="5" stopIfTrue="1">
      <formula>IF( $AG7 = 1, TRUE, FALSE )</formula>
    </cfRule>
    <cfRule type="expression" dxfId="1419" priority="6" stopIfTrue="1">
      <formula>IF( $AF7 = 1, TRUE, FALSE )</formula>
    </cfRule>
  </conditionalFormatting>
  <conditionalFormatting sqref="A34:D34">
    <cfRule type="expression" dxfId="1418" priority="1" stopIfTrue="1">
      <formula>IF( $AH34 = 1, TRUE, FALSE )</formula>
    </cfRule>
    <cfRule type="expression" dxfId="1417" priority="2" stopIfTrue="1">
      <formula>IF( $AG34 = 1, TRUE, FALSE )</formula>
    </cfRule>
    <cfRule type="expression" dxfId="1416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LongProperties xmlns="http://schemas.microsoft.com/office/2006/metadata/longProperties"/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DD9FCF9956A52419A332866A5789BC3" ma:contentTypeVersion="12" ma:contentTypeDescription="Create a new document." ma:contentTypeScope="" ma:versionID="96fd9718936efdc60014fb83459b8bfc">
  <xsd:schema xmlns:xsd="http://www.w3.org/2001/XMLSchema" xmlns:xs="http://www.w3.org/2001/XMLSchema" xmlns:p="http://schemas.microsoft.com/office/2006/metadata/properties" xmlns:ns2="d964b0a4-682e-4bda-b6b2-77439f345c49" xmlns:ns3="7a7db55e-2b16-4e8e-9efb-fab6e669a343" targetNamespace="http://schemas.microsoft.com/office/2006/metadata/properties" ma:root="true" ma:fieldsID="c1f263712fcfc8c15a5b2721bd28319c" ns2:_="" ns3:_="">
    <xsd:import namespace="d964b0a4-682e-4bda-b6b2-77439f345c49"/>
    <xsd:import namespace="7a7db55e-2b16-4e8e-9efb-fab6e669a34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964b0a4-682e-4bda-b6b2-77439f345c4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7db55e-2b16-4e8e-9efb-fab6e669a343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F0C69A9-BAE6-498F-BDDE-3FE106CF61B1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246C76E5-BF75-48CE-A6B5-1CCAC67E65E7}">
  <ds:schemaRefs>
    <ds:schemaRef ds:uri="http://purl.org/dc/dcmitype/"/>
    <ds:schemaRef ds:uri="http://schemas.microsoft.com/office/2006/documentManagement/types"/>
    <ds:schemaRef ds:uri="http://www.w3.org/XML/1998/namespace"/>
    <ds:schemaRef ds:uri="http://purl.org/dc/terms/"/>
    <ds:schemaRef ds:uri="7a7db55e-2b16-4e8e-9efb-fab6e669a343"/>
    <ds:schemaRef ds:uri="d964b0a4-682e-4bda-b6b2-77439f345c49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AD208671-E534-4270-ADA2-92DC490220A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EE43B903-A4AD-49B4-A493-F3B1A903093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964b0a4-682e-4bda-b6b2-77439f345c49"/>
    <ds:schemaRef ds:uri="7a7db55e-2b16-4e8e-9efb-fab6e669a34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69</vt:i4>
      </vt:variant>
      <vt:variant>
        <vt:lpstr>Named Ranges</vt:lpstr>
      </vt:variant>
      <vt:variant>
        <vt:i4>4</vt:i4>
      </vt:variant>
    </vt:vector>
  </HeadingPairs>
  <TitlesOfParts>
    <vt:vector size="73" baseType="lpstr">
      <vt:lpstr>II. Upgrades &amp; Downgrades</vt:lpstr>
      <vt:lpstr>III. Total Ratings Actions</vt:lpstr>
      <vt:lpstr>IV. Direction of Rating Action</vt:lpstr>
      <vt:lpstr>V. S&amp;P Rating by Comp. Category</vt:lpstr>
      <vt:lpstr>VI. Credit Ratings Scales</vt:lpstr>
      <vt:lpstr>Credit_2022Q1</vt:lpstr>
      <vt:lpstr>Credit_2021Q4</vt:lpstr>
      <vt:lpstr>Credit_2021Q3</vt:lpstr>
      <vt:lpstr>Credit_2021Q2</vt:lpstr>
      <vt:lpstr>Credit_2021Q1</vt:lpstr>
      <vt:lpstr>Credit_2020Q4</vt:lpstr>
      <vt:lpstr>Credit_2020Q3</vt:lpstr>
      <vt:lpstr>Credit_2020Q2</vt:lpstr>
      <vt:lpstr>Credit_2020Q1</vt:lpstr>
      <vt:lpstr>Credit_2019Q4</vt:lpstr>
      <vt:lpstr>Credit_2019Q3</vt:lpstr>
      <vt:lpstr>Credit_2019Q2</vt:lpstr>
      <vt:lpstr>Credit_2019Q1</vt:lpstr>
      <vt:lpstr>Credit_2018Q4</vt:lpstr>
      <vt:lpstr>Credit_2018Q3</vt:lpstr>
      <vt:lpstr>Credit_2018Q2</vt:lpstr>
      <vt:lpstr>Credit_2018Q1</vt:lpstr>
      <vt:lpstr>Credit_2017Q4</vt:lpstr>
      <vt:lpstr>Credit_2017Q3</vt:lpstr>
      <vt:lpstr>Credit_2017Q2</vt:lpstr>
      <vt:lpstr>Credit_2017Q1</vt:lpstr>
      <vt:lpstr>Credit_2016Q4</vt:lpstr>
      <vt:lpstr>Credit_2016Q3</vt:lpstr>
      <vt:lpstr>Credit_2016Q2</vt:lpstr>
      <vt:lpstr>Credit_2016Q1</vt:lpstr>
      <vt:lpstr>Credit_2015Q4</vt:lpstr>
      <vt:lpstr>Credit_2015Q3</vt:lpstr>
      <vt:lpstr>Credit_2015Q2</vt:lpstr>
      <vt:lpstr>Credit_2015Q1</vt:lpstr>
      <vt:lpstr>Credit_2014Q4</vt:lpstr>
      <vt:lpstr>Credit_2014Q3</vt:lpstr>
      <vt:lpstr>Credit_2014Q2</vt:lpstr>
      <vt:lpstr>Credit_2014Q1</vt:lpstr>
      <vt:lpstr>Credit_2013Q4</vt:lpstr>
      <vt:lpstr>Credit_2013Q3</vt:lpstr>
      <vt:lpstr>Credit_2013Q2</vt:lpstr>
      <vt:lpstr>Credit_2013Q1</vt:lpstr>
      <vt:lpstr>Credit_2012Q4</vt:lpstr>
      <vt:lpstr>Credit_2012Q3</vt:lpstr>
      <vt:lpstr>Credit_2012Q2</vt:lpstr>
      <vt:lpstr>Credit_2012Q1</vt:lpstr>
      <vt:lpstr>Credit_2011Q4</vt:lpstr>
      <vt:lpstr>Credit_2011Q3</vt:lpstr>
      <vt:lpstr>Credit_2011Q2</vt:lpstr>
      <vt:lpstr>Credit_2011Q1</vt:lpstr>
      <vt:lpstr>Credit_2010Q4</vt:lpstr>
      <vt:lpstr>Credit_2009Q4</vt:lpstr>
      <vt:lpstr>Credit_2008Q4</vt:lpstr>
      <vt:lpstr>Credit_2007Q4</vt:lpstr>
      <vt:lpstr>Credit_2006Q4</vt:lpstr>
      <vt:lpstr>Credit_2001Q4</vt:lpstr>
      <vt:lpstr>Reg_Percent_2021</vt:lpstr>
      <vt:lpstr>Reg_Percent_2020</vt:lpstr>
      <vt:lpstr>Reg_Percent_2019</vt:lpstr>
      <vt:lpstr>Reg_Percent_2018</vt:lpstr>
      <vt:lpstr>Reg_Percent_2017</vt:lpstr>
      <vt:lpstr>Reg_Percent_2016</vt:lpstr>
      <vt:lpstr>Reg_Percent_2015</vt:lpstr>
      <vt:lpstr>Reg_Percent_2014</vt:lpstr>
      <vt:lpstr>Reg_Percent_2013</vt:lpstr>
      <vt:lpstr>Reg_Percent_2012</vt:lpstr>
      <vt:lpstr>Reg_Percent_2011</vt:lpstr>
      <vt:lpstr>Reg_Percent_2010</vt:lpstr>
      <vt:lpstr>Scale</vt:lpstr>
      <vt:lpstr>rating_scale_Fitch</vt:lpstr>
      <vt:lpstr>rating_scale_Moody</vt:lpstr>
      <vt:lpstr>rating_scale_SP</vt:lpstr>
      <vt:lpstr>rating_scale_SP_invest</vt:lpstr>
    </vt:vector>
  </TitlesOfParts>
  <Manager/>
  <Company>mindSHIFT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/issuesandpolicy/Finance and Tax/QFU_Credit/2021_Q2_Credit_Ratings.xlsx</dc:title>
  <dc:subject/>
  <dc:creator>Mathew Martin</dc:creator>
  <cp:keywords/>
  <dc:description/>
  <cp:lastModifiedBy>Zhang, Wenni</cp:lastModifiedBy>
  <cp:revision/>
  <dcterms:created xsi:type="dcterms:W3CDTF">2005-10-18T14:13:46Z</dcterms:created>
  <dcterms:modified xsi:type="dcterms:W3CDTF">2022-04-28T17:49:01Z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">
    <vt:lpwstr>EEI Document</vt:lpwstr>
  </property>
  <property fmtid="{D5CDD505-2E9C-101B-9397-08002B2CF9AE}" pid="3" name="{A44787D4-0540-4523-9961-78E4036D8C6D}">
    <vt:lpwstr>{415A0981-1D73-417C-8CE6-DD81D7B238B6}</vt:lpwstr>
  </property>
  <property fmtid="{D5CDD505-2E9C-101B-9397-08002B2CF9AE}" pid="4" name="ContentTypeId">
    <vt:lpwstr>0x010100BDD9FCF9956A52419A332866A5789BC3</vt:lpwstr>
  </property>
  <property fmtid="{D5CDD505-2E9C-101B-9397-08002B2CF9AE}" pid="5" name="WorkflowChangePath">
    <vt:lpwstr>d25fe73d-fcec-4a07-bd5f-0dc3409157cc,11;</vt:lpwstr>
  </property>
  <property fmtid="{D5CDD505-2E9C-101B-9397-08002B2CF9AE}" pid="6" name="Tags">
    <vt:lpwstr/>
  </property>
</Properties>
</file>